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7.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9.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drawings/drawing10.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drawings/drawing11.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drawings/drawing12.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3.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drawings/drawing14.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drawings/drawing15.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drawings/drawing16.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17.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8.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19.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20.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21.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drawings/drawing22.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drawings/drawing23.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24.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25.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26.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drawings/drawing27.xml" ContentType="application/vnd.openxmlformats-officedocument.drawing+xml"/>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drawings/drawing28.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29.xml" ContentType="application/vnd.openxmlformats-officedocument.drawing+xml"/>
  <Override PartName="/xl/drawings/drawing30.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drawings/drawing3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32.xml" ContentType="application/vnd.openxmlformats-officedocument.drawing+xml"/>
  <Override PartName="/xl/activeX/activeX126.xml" ContentType="application/vnd.ms-office.activeX+xml"/>
  <Override PartName="/xl/activeX/activeX126.bin" ContentType="application/vnd.ms-office.activeX"/>
  <Override PartName="/xl/drawings/drawing33.xml" ContentType="application/vnd.openxmlformats-officedocument.drawing+xml"/>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drawings/drawing34.xml" ContentType="application/vnd.openxmlformats-officedocument.drawing+xml"/>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tables/table26.xml" ContentType="application/vnd.openxmlformats-officedocument.spreadsheetml.table+xml"/>
  <Override PartName="/xl/drawings/drawing35.xml" ContentType="application/vnd.openxmlformats-officedocument.drawing+xml"/>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36.xml" ContentType="application/vnd.openxmlformats-officedocument.drawing+xml"/>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tables/table27.xml" ContentType="application/vnd.openxmlformats-officedocument.spreadsheetml.table+xml"/>
  <Override PartName="/xl/drawings/drawing37.xml" ContentType="application/vnd.openxmlformats-officedocument.drawing+xml"/>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activeX/activeX353.xml" ContentType="application/vnd.ms-office.activeX+xml"/>
  <Override PartName="/xl/activeX/activeX353.bin" ContentType="application/vnd.ms-office.activeX"/>
  <Override PartName="/xl/activeX/activeX354.xml" ContentType="application/vnd.ms-office.activeX+xml"/>
  <Override PartName="/xl/activeX/activeX354.bin" ContentType="application/vnd.ms-office.activeX"/>
  <Override PartName="/xl/activeX/activeX355.xml" ContentType="application/vnd.ms-office.activeX+xml"/>
  <Override PartName="/xl/activeX/activeX355.bin" ContentType="application/vnd.ms-office.activeX"/>
  <Override PartName="/xl/activeX/activeX356.xml" ContentType="application/vnd.ms-office.activeX+xml"/>
  <Override PartName="/xl/activeX/activeX356.bin" ContentType="application/vnd.ms-office.activeX"/>
  <Override PartName="/xl/activeX/activeX357.xml" ContentType="application/vnd.ms-office.activeX+xml"/>
  <Override PartName="/xl/activeX/activeX357.bin" ContentType="application/vnd.ms-office.activeX"/>
  <Override PartName="/xl/activeX/activeX358.xml" ContentType="application/vnd.ms-office.activeX+xml"/>
  <Override PartName="/xl/activeX/activeX358.bin" ContentType="application/vnd.ms-office.activeX"/>
  <Override PartName="/xl/activeX/activeX359.xml" ContentType="application/vnd.ms-office.activeX+xml"/>
  <Override PartName="/xl/activeX/activeX359.bin" ContentType="application/vnd.ms-office.activeX"/>
  <Override PartName="/xl/activeX/activeX360.xml" ContentType="application/vnd.ms-office.activeX+xml"/>
  <Override PartName="/xl/activeX/activeX360.bin" ContentType="application/vnd.ms-office.activeX"/>
  <Override PartName="/xl/activeX/activeX361.xml" ContentType="application/vnd.ms-office.activeX+xml"/>
  <Override PartName="/xl/activeX/activeX361.bin" ContentType="application/vnd.ms-office.activeX"/>
  <Override PartName="/xl/activeX/activeX362.xml" ContentType="application/vnd.ms-office.activeX+xml"/>
  <Override PartName="/xl/activeX/activeX362.bin" ContentType="application/vnd.ms-office.activeX"/>
  <Override PartName="/xl/activeX/activeX363.xml" ContentType="application/vnd.ms-office.activeX+xml"/>
  <Override PartName="/xl/activeX/activeX363.bin" ContentType="application/vnd.ms-office.activeX"/>
  <Override PartName="/xl/activeX/activeX364.xml" ContentType="application/vnd.ms-office.activeX+xml"/>
  <Override PartName="/xl/activeX/activeX364.bin" ContentType="application/vnd.ms-office.activeX"/>
  <Override PartName="/xl/activeX/activeX365.xml" ContentType="application/vnd.ms-office.activeX+xml"/>
  <Override PartName="/xl/activeX/activeX365.bin" ContentType="application/vnd.ms-office.activeX"/>
  <Override PartName="/xl/activeX/activeX366.xml" ContentType="application/vnd.ms-office.activeX+xml"/>
  <Override PartName="/xl/activeX/activeX366.bin" ContentType="application/vnd.ms-office.activeX"/>
  <Override PartName="/xl/activeX/activeX367.xml" ContentType="application/vnd.ms-office.activeX+xml"/>
  <Override PartName="/xl/activeX/activeX367.bin" ContentType="application/vnd.ms-office.activeX"/>
  <Override PartName="/xl/activeX/activeX368.xml" ContentType="application/vnd.ms-office.activeX+xml"/>
  <Override PartName="/xl/activeX/activeX368.bin" ContentType="application/vnd.ms-office.activeX"/>
  <Override PartName="/xl/activeX/activeX369.xml" ContentType="application/vnd.ms-office.activeX+xml"/>
  <Override PartName="/xl/activeX/activeX369.bin" ContentType="application/vnd.ms-office.activeX"/>
  <Override PartName="/xl/activeX/activeX370.xml" ContentType="application/vnd.ms-office.activeX+xml"/>
  <Override PartName="/xl/activeX/activeX370.bin" ContentType="application/vnd.ms-office.activeX"/>
  <Override PartName="/xl/activeX/activeX371.xml" ContentType="application/vnd.ms-office.activeX+xml"/>
  <Override PartName="/xl/activeX/activeX371.bin" ContentType="application/vnd.ms-office.activeX"/>
  <Override PartName="/xl/activeX/activeX372.xml" ContentType="application/vnd.ms-office.activeX+xml"/>
  <Override PartName="/xl/activeX/activeX372.bin" ContentType="application/vnd.ms-office.activeX"/>
  <Override PartName="/xl/activeX/activeX373.xml" ContentType="application/vnd.ms-office.activeX+xml"/>
  <Override PartName="/xl/activeX/activeX373.bin" ContentType="application/vnd.ms-office.activeX"/>
  <Override PartName="/xl/activeX/activeX374.xml" ContentType="application/vnd.ms-office.activeX+xml"/>
  <Override PartName="/xl/activeX/activeX374.bin" ContentType="application/vnd.ms-office.activeX"/>
  <Override PartName="/xl/activeX/activeX375.xml" ContentType="application/vnd.ms-office.activeX+xml"/>
  <Override PartName="/xl/activeX/activeX375.bin" ContentType="application/vnd.ms-office.activeX"/>
  <Override PartName="/xl/activeX/activeX376.xml" ContentType="application/vnd.ms-office.activeX+xml"/>
  <Override PartName="/xl/activeX/activeX376.bin" ContentType="application/vnd.ms-office.activeX"/>
  <Override PartName="/xl/activeX/activeX377.xml" ContentType="application/vnd.ms-office.activeX+xml"/>
  <Override PartName="/xl/activeX/activeX377.bin" ContentType="application/vnd.ms-office.activeX"/>
  <Override PartName="/xl/activeX/activeX378.xml" ContentType="application/vnd.ms-office.activeX+xml"/>
  <Override PartName="/xl/activeX/activeX378.bin" ContentType="application/vnd.ms-office.activeX"/>
  <Override PartName="/xl/activeX/activeX379.xml" ContentType="application/vnd.ms-office.activeX+xml"/>
  <Override PartName="/xl/activeX/activeX379.bin" ContentType="application/vnd.ms-office.activeX"/>
  <Override PartName="/xl/activeX/activeX380.xml" ContentType="application/vnd.ms-office.activeX+xml"/>
  <Override PartName="/xl/activeX/activeX380.bin" ContentType="application/vnd.ms-office.activeX"/>
  <Override PartName="/xl/activeX/activeX381.xml" ContentType="application/vnd.ms-office.activeX+xml"/>
  <Override PartName="/xl/activeX/activeX381.bin" ContentType="application/vnd.ms-office.activeX"/>
  <Override PartName="/xl/activeX/activeX382.xml" ContentType="application/vnd.ms-office.activeX+xml"/>
  <Override PartName="/xl/activeX/activeX382.bin" ContentType="application/vnd.ms-office.activeX"/>
  <Override PartName="/xl/activeX/activeX383.xml" ContentType="application/vnd.ms-office.activeX+xml"/>
  <Override PartName="/xl/activeX/activeX383.bin" ContentType="application/vnd.ms-office.activeX"/>
  <Override PartName="/xl/activeX/activeX384.xml" ContentType="application/vnd.ms-office.activeX+xml"/>
  <Override PartName="/xl/activeX/activeX384.bin" ContentType="application/vnd.ms-office.activeX"/>
  <Override PartName="/xl/activeX/activeX385.xml" ContentType="application/vnd.ms-office.activeX+xml"/>
  <Override PartName="/xl/activeX/activeX385.bin" ContentType="application/vnd.ms-office.activeX"/>
  <Override PartName="/xl/activeX/activeX386.xml" ContentType="application/vnd.ms-office.activeX+xml"/>
  <Override PartName="/xl/activeX/activeX386.bin" ContentType="application/vnd.ms-office.activeX"/>
  <Override PartName="/xl/activeX/activeX387.xml" ContentType="application/vnd.ms-office.activeX+xml"/>
  <Override PartName="/xl/activeX/activeX387.bin" ContentType="application/vnd.ms-office.activeX"/>
  <Override PartName="/xl/activeX/activeX388.xml" ContentType="application/vnd.ms-office.activeX+xml"/>
  <Override PartName="/xl/activeX/activeX388.bin" ContentType="application/vnd.ms-office.activeX"/>
  <Override PartName="/xl/activeX/activeX389.xml" ContentType="application/vnd.ms-office.activeX+xml"/>
  <Override PartName="/xl/activeX/activeX389.bin" ContentType="application/vnd.ms-office.activeX"/>
  <Override PartName="/xl/activeX/activeX390.xml" ContentType="application/vnd.ms-office.activeX+xml"/>
  <Override PartName="/xl/activeX/activeX390.bin" ContentType="application/vnd.ms-office.activeX"/>
  <Override PartName="/xl/activeX/activeX391.xml" ContentType="application/vnd.ms-office.activeX+xml"/>
  <Override PartName="/xl/activeX/activeX391.bin" ContentType="application/vnd.ms-office.activeX"/>
  <Override PartName="/xl/activeX/activeX392.xml" ContentType="application/vnd.ms-office.activeX+xml"/>
  <Override PartName="/xl/activeX/activeX392.bin" ContentType="application/vnd.ms-office.activeX"/>
  <Override PartName="/xl/activeX/activeX393.xml" ContentType="application/vnd.ms-office.activeX+xml"/>
  <Override PartName="/xl/activeX/activeX393.bin" ContentType="application/vnd.ms-office.activeX"/>
  <Override PartName="/xl/activeX/activeX394.xml" ContentType="application/vnd.ms-office.activeX+xml"/>
  <Override PartName="/xl/activeX/activeX394.bin" ContentType="application/vnd.ms-office.activeX"/>
  <Override PartName="/xl/activeX/activeX395.xml" ContentType="application/vnd.ms-office.activeX+xml"/>
  <Override PartName="/xl/activeX/activeX395.bin" ContentType="application/vnd.ms-office.activeX"/>
  <Override PartName="/xl/activeX/activeX396.xml" ContentType="application/vnd.ms-office.activeX+xml"/>
  <Override PartName="/xl/activeX/activeX396.bin" ContentType="application/vnd.ms-office.activeX"/>
  <Override PartName="/xl/activeX/activeX397.xml" ContentType="application/vnd.ms-office.activeX+xml"/>
  <Override PartName="/xl/activeX/activeX397.bin" ContentType="application/vnd.ms-office.activeX"/>
  <Override PartName="/xl/activeX/activeX398.xml" ContentType="application/vnd.ms-office.activeX+xml"/>
  <Override PartName="/xl/activeX/activeX398.bin" ContentType="application/vnd.ms-office.activeX"/>
  <Override PartName="/xl/activeX/activeX399.xml" ContentType="application/vnd.ms-office.activeX+xml"/>
  <Override PartName="/xl/activeX/activeX399.bin" ContentType="application/vnd.ms-office.activeX"/>
  <Override PartName="/xl/activeX/activeX400.xml" ContentType="application/vnd.ms-office.activeX+xml"/>
  <Override PartName="/xl/activeX/activeX400.bin" ContentType="application/vnd.ms-office.activeX"/>
  <Override PartName="/xl/activeX/activeX401.xml" ContentType="application/vnd.ms-office.activeX+xml"/>
  <Override PartName="/xl/activeX/activeX401.bin" ContentType="application/vnd.ms-office.activeX"/>
  <Override PartName="/xl/activeX/activeX402.xml" ContentType="application/vnd.ms-office.activeX+xml"/>
  <Override PartName="/xl/activeX/activeX402.bin" ContentType="application/vnd.ms-office.activeX"/>
  <Override PartName="/xl/activeX/activeX403.xml" ContentType="application/vnd.ms-office.activeX+xml"/>
  <Override PartName="/xl/activeX/activeX403.bin" ContentType="application/vnd.ms-office.activeX"/>
  <Override PartName="/xl/activeX/activeX404.xml" ContentType="application/vnd.ms-office.activeX+xml"/>
  <Override PartName="/xl/activeX/activeX404.bin" ContentType="application/vnd.ms-office.activeX"/>
  <Override PartName="/xl/activeX/activeX405.xml" ContentType="application/vnd.ms-office.activeX+xml"/>
  <Override PartName="/xl/activeX/activeX405.bin" ContentType="application/vnd.ms-office.activeX"/>
  <Override PartName="/xl/activeX/activeX406.xml" ContentType="application/vnd.ms-office.activeX+xml"/>
  <Override PartName="/xl/activeX/activeX406.bin" ContentType="application/vnd.ms-office.activeX"/>
  <Override PartName="/xl/activeX/activeX407.xml" ContentType="application/vnd.ms-office.activeX+xml"/>
  <Override PartName="/xl/activeX/activeX407.bin" ContentType="application/vnd.ms-office.activeX"/>
  <Override PartName="/xl/activeX/activeX408.xml" ContentType="application/vnd.ms-office.activeX+xml"/>
  <Override PartName="/xl/activeX/activeX408.bin" ContentType="application/vnd.ms-office.activeX"/>
  <Override PartName="/xl/activeX/activeX409.xml" ContentType="application/vnd.ms-office.activeX+xml"/>
  <Override PartName="/xl/activeX/activeX409.bin" ContentType="application/vnd.ms-office.activeX"/>
  <Override PartName="/xl/activeX/activeX410.xml" ContentType="application/vnd.ms-office.activeX+xml"/>
  <Override PartName="/xl/activeX/activeX410.bin" ContentType="application/vnd.ms-office.activeX"/>
  <Override PartName="/xl/activeX/activeX411.xml" ContentType="application/vnd.ms-office.activeX+xml"/>
  <Override PartName="/xl/activeX/activeX411.bin" ContentType="application/vnd.ms-office.activeX"/>
  <Override PartName="/xl/activeX/activeX412.xml" ContentType="application/vnd.ms-office.activeX+xml"/>
  <Override PartName="/xl/activeX/activeX412.bin" ContentType="application/vnd.ms-office.activeX"/>
  <Override PartName="/xl/activeX/activeX413.xml" ContentType="application/vnd.ms-office.activeX+xml"/>
  <Override PartName="/xl/activeX/activeX413.bin" ContentType="application/vnd.ms-office.activeX"/>
  <Override PartName="/xl/activeX/activeX414.xml" ContentType="application/vnd.ms-office.activeX+xml"/>
  <Override PartName="/xl/activeX/activeX414.bin" ContentType="application/vnd.ms-office.activeX"/>
  <Override PartName="/xl/activeX/activeX415.xml" ContentType="application/vnd.ms-office.activeX+xml"/>
  <Override PartName="/xl/activeX/activeX415.bin" ContentType="application/vnd.ms-office.activeX"/>
  <Override PartName="/xl/activeX/activeX416.xml" ContentType="application/vnd.ms-office.activeX+xml"/>
  <Override PartName="/xl/activeX/activeX416.bin" ContentType="application/vnd.ms-office.activeX"/>
  <Override PartName="/xl/activeX/activeX417.xml" ContentType="application/vnd.ms-office.activeX+xml"/>
  <Override PartName="/xl/activeX/activeX417.bin" ContentType="application/vnd.ms-office.activeX"/>
  <Override PartName="/xl/activeX/activeX418.xml" ContentType="application/vnd.ms-office.activeX+xml"/>
  <Override PartName="/xl/activeX/activeX418.bin" ContentType="application/vnd.ms-office.activeX"/>
  <Override PartName="/xl/activeX/activeX419.xml" ContentType="application/vnd.ms-office.activeX+xml"/>
  <Override PartName="/xl/activeX/activeX419.bin" ContentType="application/vnd.ms-office.activeX"/>
  <Override PartName="/xl/activeX/activeX420.xml" ContentType="application/vnd.ms-office.activeX+xml"/>
  <Override PartName="/xl/activeX/activeX420.bin" ContentType="application/vnd.ms-office.activeX"/>
  <Override PartName="/xl/activeX/activeX421.xml" ContentType="application/vnd.ms-office.activeX+xml"/>
  <Override PartName="/xl/activeX/activeX421.bin" ContentType="application/vnd.ms-office.activeX"/>
  <Override PartName="/xl/activeX/activeX422.xml" ContentType="application/vnd.ms-office.activeX+xml"/>
  <Override PartName="/xl/activeX/activeX422.bin" ContentType="application/vnd.ms-office.activeX"/>
  <Override PartName="/xl/activeX/activeX423.xml" ContentType="application/vnd.ms-office.activeX+xml"/>
  <Override PartName="/xl/activeX/activeX423.bin" ContentType="application/vnd.ms-office.activeX"/>
  <Override PartName="/xl/activeX/activeX424.xml" ContentType="application/vnd.ms-office.activeX+xml"/>
  <Override PartName="/xl/activeX/activeX424.bin" ContentType="application/vnd.ms-office.activeX"/>
  <Override PartName="/xl/activeX/activeX425.xml" ContentType="application/vnd.ms-office.activeX+xml"/>
  <Override PartName="/xl/activeX/activeX425.bin" ContentType="application/vnd.ms-office.activeX"/>
  <Override PartName="/xl/activeX/activeX426.xml" ContentType="application/vnd.ms-office.activeX+xml"/>
  <Override PartName="/xl/activeX/activeX426.bin" ContentType="application/vnd.ms-office.activeX"/>
  <Override PartName="/xl/activeX/activeX427.xml" ContentType="application/vnd.ms-office.activeX+xml"/>
  <Override PartName="/xl/activeX/activeX427.bin" ContentType="application/vnd.ms-office.activeX"/>
  <Override PartName="/xl/activeX/activeX428.xml" ContentType="application/vnd.ms-office.activeX+xml"/>
  <Override PartName="/xl/activeX/activeX428.bin" ContentType="application/vnd.ms-office.activeX"/>
  <Override PartName="/xl/activeX/activeX429.xml" ContentType="application/vnd.ms-office.activeX+xml"/>
  <Override PartName="/xl/activeX/activeX429.bin" ContentType="application/vnd.ms-office.activeX"/>
  <Override PartName="/xl/activeX/activeX430.xml" ContentType="application/vnd.ms-office.activeX+xml"/>
  <Override PartName="/xl/activeX/activeX430.bin" ContentType="application/vnd.ms-office.activeX"/>
  <Override PartName="/xl/activeX/activeX431.xml" ContentType="application/vnd.ms-office.activeX+xml"/>
  <Override PartName="/xl/activeX/activeX431.bin" ContentType="application/vnd.ms-office.activeX"/>
  <Override PartName="/xl/activeX/activeX432.xml" ContentType="application/vnd.ms-office.activeX+xml"/>
  <Override PartName="/xl/activeX/activeX432.bin" ContentType="application/vnd.ms-office.activeX"/>
  <Override PartName="/xl/activeX/activeX433.xml" ContentType="application/vnd.ms-office.activeX+xml"/>
  <Override PartName="/xl/activeX/activeX433.bin" ContentType="application/vnd.ms-office.activeX"/>
  <Override PartName="/xl/activeX/activeX434.xml" ContentType="application/vnd.ms-office.activeX+xml"/>
  <Override PartName="/xl/activeX/activeX434.bin" ContentType="application/vnd.ms-office.activeX"/>
  <Override PartName="/xl/activeX/activeX435.xml" ContentType="application/vnd.ms-office.activeX+xml"/>
  <Override PartName="/xl/activeX/activeX435.bin" ContentType="application/vnd.ms-office.activeX"/>
  <Override PartName="/xl/activeX/activeX436.xml" ContentType="application/vnd.ms-office.activeX+xml"/>
  <Override PartName="/xl/activeX/activeX436.bin" ContentType="application/vnd.ms-office.activeX"/>
  <Override PartName="/xl/activeX/activeX437.xml" ContentType="application/vnd.ms-office.activeX+xml"/>
  <Override PartName="/xl/activeX/activeX437.bin" ContentType="application/vnd.ms-office.activeX"/>
  <Override PartName="/xl/activeX/activeX438.xml" ContentType="application/vnd.ms-office.activeX+xml"/>
  <Override PartName="/xl/activeX/activeX438.bin" ContentType="application/vnd.ms-office.activeX"/>
  <Override PartName="/xl/activeX/activeX439.xml" ContentType="application/vnd.ms-office.activeX+xml"/>
  <Override PartName="/xl/activeX/activeX439.bin" ContentType="application/vnd.ms-office.activeX"/>
  <Override PartName="/xl/activeX/activeX440.xml" ContentType="application/vnd.ms-office.activeX+xml"/>
  <Override PartName="/xl/activeX/activeX440.bin" ContentType="application/vnd.ms-office.activeX"/>
  <Override PartName="/xl/activeX/activeX441.xml" ContentType="application/vnd.ms-office.activeX+xml"/>
  <Override PartName="/xl/activeX/activeX441.bin" ContentType="application/vnd.ms-office.activeX"/>
  <Override PartName="/xl/activeX/activeX442.xml" ContentType="application/vnd.ms-office.activeX+xml"/>
  <Override PartName="/xl/activeX/activeX442.bin" ContentType="application/vnd.ms-office.activeX"/>
  <Override PartName="/xl/activeX/activeX443.xml" ContentType="application/vnd.ms-office.activeX+xml"/>
  <Override PartName="/xl/activeX/activeX443.bin" ContentType="application/vnd.ms-office.activeX"/>
  <Override PartName="/xl/activeX/activeX444.xml" ContentType="application/vnd.ms-office.activeX+xml"/>
  <Override PartName="/xl/activeX/activeX444.bin" ContentType="application/vnd.ms-office.activeX"/>
  <Override PartName="/xl/activeX/activeX445.xml" ContentType="application/vnd.ms-office.activeX+xml"/>
  <Override PartName="/xl/activeX/activeX445.bin" ContentType="application/vnd.ms-office.activeX"/>
  <Override PartName="/xl/activeX/activeX446.xml" ContentType="application/vnd.ms-office.activeX+xml"/>
  <Override PartName="/xl/activeX/activeX446.bin" ContentType="application/vnd.ms-office.activeX"/>
  <Override PartName="/xl/activeX/activeX447.xml" ContentType="application/vnd.ms-office.activeX+xml"/>
  <Override PartName="/xl/activeX/activeX447.bin" ContentType="application/vnd.ms-office.activeX"/>
  <Override PartName="/xl/activeX/activeX448.xml" ContentType="application/vnd.ms-office.activeX+xml"/>
  <Override PartName="/xl/activeX/activeX448.bin" ContentType="application/vnd.ms-office.activeX"/>
  <Override PartName="/xl/activeX/activeX449.xml" ContentType="application/vnd.ms-office.activeX+xml"/>
  <Override PartName="/xl/activeX/activeX449.bin" ContentType="application/vnd.ms-office.activeX"/>
  <Override PartName="/xl/activeX/activeX450.xml" ContentType="application/vnd.ms-office.activeX+xml"/>
  <Override PartName="/xl/activeX/activeX450.bin" ContentType="application/vnd.ms-office.activeX"/>
  <Override PartName="/xl/activeX/activeX451.xml" ContentType="application/vnd.ms-office.activeX+xml"/>
  <Override PartName="/xl/activeX/activeX451.bin" ContentType="application/vnd.ms-office.activeX"/>
  <Override PartName="/xl/activeX/activeX452.xml" ContentType="application/vnd.ms-office.activeX+xml"/>
  <Override PartName="/xl/activeX/activeX452.bin" ContentType="application/vnd.ms-office.activeX"/>
  <Override PartName="/xl/activeX/activeX453.xml" ContentType="application/vnd.ms-office.activeX+xml"/>
  <Override PartName="/xl/activeX/activeX453.bin" ContentType="application/vnd.ms-office.activeX"/>
  <Override PartName="/xl/activeX/activeX454.xml" ContentType="application/vnd.ms-office.activeX+xml"/>
  <Override PartName="/xl/activeX/activeX454.bin" ContentType="application/vnd.ms-office.activeX"/>
  <Override PartName="/xl/activeX/activeX455.xml" ContentType="application/vnd.ms-office.activeX+xml"/>
  <Override PartName="/xl/activeX/activeX455.bin" ContentType="application/vnd.ms-office.activeX"/>
  <Override PartName="/xl/activeX/activeX456.xml" ContentType="application/vnd.ms-office.activeX+xml"/>
  <Override PartName="/xl/activeX/activeX456.bin" ContentType="application/vnd.ms-office.activeX"/>
  <Override PartName="/xl/activeX/activeX457.xml" ContentType="application/vnd.ms-office.activeX+xml"/>
  <Override PartName="/xl/activeX/activeX457.bin" ContentType="application/vnd.ms-office.activeX"/>
  <Override PartName="/xl/activeX/activeX458.xml" ContentType="application/vnd.ms-office.activeX+xml"/>
  <Override PartName="/xl/activeX/activeX458.bin" ContentType="application/vnd.ms-office.activeX"/>
  <Override PartName="/xl/activeX/activeX459.xml" ContentType="application/vnd.ms-office.activeX+xml"/>
  <Override PartName="/xl/activeX/activeX459.bin" ContentType="application/vnd.ms-office.activeX"/>
  <Override PartName="/xl/activeX/activeX460.xml" ContentType="application/vnd.ms-office.activeX+xml"/>
  <Override PartName="/xl/activeX/activeX460.bin" ContentType="application/vnd.ms-office.activeX"/>
  <Override PartName="/xl/activeX/activeX461.xml" ContentType="application/vnd.ms-office.activeX+xml"/>
  <Override PartName="/xl/activeX/activeX461.bin" ContentType="application/vnd.ms-office.activeX"/>
  <Override PartName="/xl/activeX/activeX462.xml" ContentType="application/vnd.ms-office.activeX+xml"/>
  <Override PartName="/xl/activeX/activeX462.bin" ContentType="application/vnd.ms-office.activeX"/>
  <Override PartName="/xl/activeX/activeX463.xml" ContentType="application/vnd.ms-office.activeX+xml"/>
  <Override PartName="/xl/activeX/activeX463.bin" ContentType="application/vnd.ms-office.activeX"/>
  <Override PartName="/xl/activeX/activeX464.xml" ContentType="application/vnd.ms-office.activeX+xml"/>
  <Override PartName="/xl/activeX/activeX464.bin" ContentType="application/vnd.ms-office.activeX"/>
  <Override PartName="/xl/activeX/activeX465.xml" ContentType="application/vnd.ms-office.activeX+xml"/>
  <Override PartName="/xl/activeX/activeX465.bin" ContentType="application/vnd.ms-office.activeX"/>
  <Override PartName="/xl/activeX/activeX466.xml" ContentType="application/vnd.ms-office.activeX+xml"/>
  <Override PartName="/xl/activeX/activeX466.bin" ContentType="application/vnd.ms-office.activeX"/>
  <Override PartName="/xl/activeX/activeX467.xml" ContentType="application/vnd.ms-office.activeX+xml"/>
  <Override PartName="/xl/activeX/activeX467.bin" ContentType="application/vnd.ms-office.activeX"/>
  <Override PartName="/xl/activeX/activeX468.xml" ContentType="application/vnd.ms-office.activeX+xml"/>
  <Override PartName="/xl/activeX/activeX468.bin" ContentType="application/vnd.ms-office.activeX"/>
  <Override PartName="/xl/activeX/activeX469.xml" ContentType="application/vnd.ms-office.activeX+xml"/>
  <Override PartName="/xl/activeX/activeX469.bin" ContentType="application/vnd.ms-office.activeX"/>
  <Override PartName="/xl/activeX/activeX470.xml" ContentType="application/vnd.ms-office.activeX+xml"/>
  <Override PartName="/xl/activeX/activeX470.bin" ContentType="application/vnd.ms-office.activeX"/>
  <Override PartName="/xl/activeX/activeX471.xml" ContentType="application/vnd.ms-office.activeX+xml"/>
  <Override PartName="/xl/activeX/activeX471.bin" ContentType="application/vnd.ms-office.activeX"/>
  <Override PartName="/xl/activeX/activeX472.xml" ContentType="application/vnd.ms-office.activeX+xml"/>
  <Override PartName="/xl/activeX/activeX472.bin" ContentType="application/vnd.ms-office.activeX"/>
  <Override PartName="/xl/activeX/activeX473.xml" ContentType="application/vnd.ms-office.activeX+xml"/>
  <Override PartName="/xl/activeX/activeX473.bin" ContentType="application/vnd.ms-office.activeX"/>
  <Override PartName="/xl/activeX/activeX474.xml" ContentType="application/vnd.ms-office.activeX+xml"/>
  <Override PartName="/xl/activeX/activeX474.bin" ContentType="application/vnd.ms-office.activeX"/>
  <Override PartName="/xl/activeX/activeX475.xml" ContentType="application/vnd.ms-office.activeX+xml"/>
  <Override PartName="/xl/activeX/activeX475.bin" ContentType="application/vnd.ms-office.activeX"/>
  <Override PartName="/xl/activeX/activeX476.xml" ContentType="application/vnd.ms-office.activeX+xml"/>
  <Override PartName="/xl/activeX/activeX476.bin" ContentType="application/vnd.ms-office.activeX"/>
  <Override PartName="/xl/activeX/activeX477.xml" ContentType="application/vnd.ms-office.activeX+xml"/>
  <Override PartName="/xl/activeX/activeX477.bin" ContentType="application/vnd.ms-office.activeX"/>
  <Override PartName="/xl/activeX/activeX478.xml" ContentType="application/vnd.ms-office.activeX+xml"/>
  <Override PartName="/xl/activeX/activeX478.bin" ContentType="application/vnd.ms-office.activeX"/>
  <Override PartName="/xl/activeX/activeX479.xml" ContentType="application/vnd.ms-office.activeX+xml"/>
  <Override PartName="/xl/activeX/activeX479.bin" ContentType="application/vnd.ms-office.activeX"/>
  <Override PartName="/xl/activeX/activeX480.xml" ContentType="application/vnd.ms-office.activeX+xml"/>
  <Override PartName="/xl/activeX/activeX480.bin" ContentType="application/vnd.ms-office.activeX"/>
  <Override PartName="/xl/activeX/activeX481.xml" ContentType="application/vnd.ms-office.activeX+xml"/>
  <Override PartName="/xl/activeX/activeX481.bin" ContentType="application/vnd.ms-office.activeX"/>
  <Override PartName="/xl/activeX/activeX482.xml" ContentType="application/vnd.ms-office.activeX+xml"/>
  <Override PartName="/xl/activeX/activeX482.bin" ContentType="application/vnd.ms-office.activeX"/>
  <Override PartName="/xl/activeX/activeX483.xml" ContentType="application/vnd.ms-office.activeX+xml"/>
  <Override PartName="/xl/activeX/activeX483.bin" ContentType="application/vnd.ms-office.activeX"/>
  <Override PartName="/xl/activeX/activeX484.xml" ContentType="application/vnd.ms-office.activeX+xml"/>
  <Override PartName="/xl/activeX/activeX484.bin" ContentType="application/vnd.ms-office.activeX"/>
  <Override PartName="/xl/activeX/activeX485.xml" ContentType="application/vnd.ms-office.activeX+xml"/>
  <Override PartName="/xl/activeX/activeX485.bin" ContentType="application/vnd.ms-office.activeX"/>
  <Override PartName="/xl/activeX/activeX486.xml" ContentType="application/vnd.ms-office.activeX+xml"/>
  <Override PartName="/xl/activeX/activeX486.bin" ContentType="application/vnd.ms-office.activeX"/>
  <Override PartName="/xl/tables/table28.xml" ContentType="application/vnd.openxmlformats-officedocument.spreadsheetml.table+xml"/>
  <Override PartName="/xl/tables/table29.xml" ContentType="application/vnd.openxmlformats-officedocument.spreadsheetml.table+xml"/>
  <Override PartName="/xl/drawings/drawing38.xml" ContentType="application/vnd.openxmlformats-officedocument.drawing+xml"/>
  <Override PartName="/xl/activeX/activeX487.xml" ContentType="application/vnd.ms-office.activeX+xml"/>
  <Override PartName="/xl/activeX/activeX487.bin" ContentType="application/vnd.ms-office.activeX"/>
  <Override PartName="/xl/activeX/activeX488.xml" ContentType="application/vnd.ms-office.activeX+xml"/>
  <Override PartName="/xl/activeX/activeX488.bin" ContentType="application/vnd.ms-office.activeX"/>
  <Override PartName="/xl/activeX/activeX489.xml" ContentType="application/vnd.ms-office.activeX+xml"/>
  <Override PartName="/xl/activeX/activeX489.bin" ContentType="application/vnd.ms-office.activeX"/>
  <Override PartName="/xl/activeX/activeX490.xml" ContentType="application/vnd.ms-office.activeX+xml"/>
  <Override PartName="/xl/activeX/activeX490.bin" ContentType="application/vnd.ms-office.activeX"/>
  <Override PartName="/xl/activeX/activeX491.xml" ContentType="application/vnd.ms-office.activeX+xml"/>
  <Override PartName="/xl/activeX/activeX491.bin" ContentType="application/vnd.ms-office.activeX"/>
  <Override PartName="/xl/activeX/activeX492.xml" ContentType="application/vnd.ms-office.activeX+xml"/>
  <Override PartName="/xl/activeX/activeX492.bin" ContentType="application/vnd.ms-office.activeX"/>
  <Override PartName="/xl/activeX/activeX493.xml" ContentType="application/vnd.ms-office.activeX+xml"/>
  <Override PartName="/xl/activeX/activeX493.bin" ContentType="application/vnd.ms-office.activeX"/>
  <Override PartName="/xl/activeX/activeX494.xml" ContentType="application/vnd.ms-office.activeX+xml"/>
  <Override PartName="/xl/activeX/activeX494.bin" ContentType="application/vnd.ms-office.activeX"/>
  <Override PartName="/xl/activeX/activeX495.xml" ContentType="application/vnd.ms-office.activeX+xml"/>
  <Override PartName="/xl/activeX/activeX495.bin" ContentType="application/vnd.ms-office.activeX"/>
  <Override PartName="/xl/activeX/activeX496.xml" ContentType="application/vnd.ms-office.activeX+xml"/>
  <Override PartName="/xl/activeX/activeX496.bin" ContentType="application/vnd.ms-office.activeX"/>
  <Override PartName="/xl/activeX/activeX497.xml" ContentType="application/vnd.ms-office.activeX+xml"/>
  <Override PartName="/xl/activeX/activeX497.bin" ContentType="application/vnd.ms-office.activeX"/>
  <Override PartName="/xl/activeX/activeX498.xml" ContentType="application/vnd.ms-office.activeX+xml"/>
  <Override PartName="/xl/activeX/activeX498.bin" ContentType="application/vnd.ms-office.activeX"/>
  <Override PartName="/xl/activeX/activeX499.xml" ContentType="application/vnd.ms-office.activeX+xml"/>
  <Override PartName="/xl/activeX/activeX499.bin" ContentType="application/vnd.ms-office.activeX"/>
  <Override PartName="/xl/activeX/activeX500.xml" ContentType="application/vnd.ms-office.activeX+xml"/>
  <Override PartName="/xl/activeX/activeX500.bin" ContentType="application/vnd.ms-office.activeX"/>
  <Override PartName="/xl/activeX/activeX501.xml" ContentType="application/vnd.ms-office.activeX+xml"/>
  <Override PartName="/xl/activeX/activeX501.bin" ContentType="application/vnd.ms-office.activeX"/>
  <Override PartName="/xl/activeX/activeX502.xml" ContentType="application/vnd.ms-office.activeX+xml"/>
  <Override PartName="/xl/activeX/activeX502.bin" ContentType="application/vnd.ms-office.activeX"/>
  <Override PartName="/xl/activeX/activeX503.xml" ContentType="application/vnd.ms-office.activeX+xml"/>
  <Override PartName="/xl/activeX/activeX503.bin" ContentType="application/vnd.ms-office.activeX"/>
  <Override PartName="/xl/activeX/activeX504.xml" ContentType="application/vnd.ms-office.activeX+xml"/>
  <Override PartName="/xl/activeX/activeX504.bin" ContentType="application/vnd.ms-office.activeX"/>
  <Override PartName="/xl/activeX/activeX505.xml" ContentType="application/vnd.ms-office.activeX+xml"/>
  <Override PartName="/xl/activeX/activeX505.bin" ContentType="application/vnd.ms-office.activeX"/>
  <Override PartName="/xl/activeX/activeX506.xml" ContentType="application/vnd.ms-office.activeX+xml"/>
  <Override PartName="/xl/activeX/activeX506.bin" ContentType="application/vnd.ms-office.activeX"/>
  <Override PartName="/xl/activeX/activeX507.xml" ContentType="application/vnd.ms-office.activeX+xml"/>
  <Override PartName="/xl/activeX/activeX507.bin" ContentType="application/vnd.ms-office.activeX"/>
  <Override PartName="/xl/activeX/activeX508.xml" ContentType="application/vnd.ms-office.activeX+xml"/>
  <Override PartName="/xl/activeX/activeX508.bin" ContentType="application/vnd.ms-office.activeX"/>
  <Override PartName="/xl/activeX/activeX509.xml" ContentType="application/vnd.ms-office.activeX+xml"/>
  <Override PartName="/xl/activeX/activeX509.bin" ContentType="application/vnd.ms-office.activeX"/>
  <Override PartName="/xl/activeX/activeX510.xml" ContentType="application/vnd.ms-office.activeX+xml"/>
  <Override PartName="/xl/activeX/activeX510.bin" ContentType="application/vnd.ms-office.activeX"/>
  <Override PartName="/xl/activeX/activeX511.xml" ContentType="application/vnd.ms-office.activeX+xml"/>
  <Override PartName="/xl/activeX/activeX511.bin" ContentType="application/vnd.ms-office.activeX"/>
  <Override PartName="/xl/activeX/activeX512.xml" ContentType="application/vnd.ms-office.activeX+xml"/>
  <Override PartName="/xl/activeX/activeX512.bin" ContentType="application/vnd.ms-office.activeX"/>
  <Override PartName="/xl/activeX/activeX513.xml" ContentType="application/vnd.ms-office.activeX+xml"/>
  <Override PartName="/xl/activeX/activeX513.bin" ContentType="application/vnd.ms-office.activeX"/>
  <Override PartName="/xl/activeX/activeX514.xml" ContentType="application/vnd.ms-office.activeX+xml"/>
  <Override PartName="/xl/activeX/activeX514.bin" ContentType="application/vnd.ms-office.activeX"/>
  <Override PartName="/xl/activeX/activeX515.xml" ContentType="application/vnd.ms-office.activeX+xml"/>
  <Override PartName="/xl/activeX/activeX515.bin" ContentType="application/vnd.ms-office.activeX"/>
  <Override PartName="/xl/activeX/activeX516.xml" ContentType="application/vnd.ms-office.activeX+xml"/>
  <Override PartName="/xl/activeX/activeX516.bin" ContentType="application/vnd.ms-office.activeX"/>
  <Override PartName="/xl/activeX/activeX517.xml" ContentType="application/vnd.ms-office.activeX+xml"/>
  <Override PartName="/xl/activeX/activeX517.bin" ContentType="application/vnd.ms-office.activeX"/>
  <Override PartName="/xl/activeX/activeX518.xml" ContentType="application/vnd.ms-office.activeX+xml"/>
  <Override PartName="/xl/activeX/activeX518.bin" ContentType="application/vnd.ms-office.activeX"/>
  <Override PartName="/xl/activeX/activeX519.xml" ContentType="application/vnd.ms-office.activeX+xml"/>
  <Override PartName="/xl/activeX/activeX519.bin" ContentType="application/vnd.ms-office.activeX"/>
  <Override PartName="/xl/activeX/activeX520.xml" ContentType="application/vnd.ms-office.activeX+xml"/>
  <Override PartName="/xl/activeX/activeX520.bin" ContentType="application/vnd.ms-office.activeX"/>
  <Override PartName="/xl/activeX/activeX521.xml" ContentType="application/vnd.ms-office.activeX+xml"/>
  <Override PartName="/xl/activeX/activeX521.bin" ContentType="application/vnd.ms-office.activeX"/>
  <Override PartName="/xl/activeX/activeX522.xml" ContentType="application/vnd.ms-office.activeX+xml"/>
  <Override PartName="/xl/activeX/activeX522.bin" ContentType="application/vnd.ms-office.activeX"/>
  <Override PartName="/xl/activeX/activeX523.xml" ContentType="application/vnd.ms-office.activeX+xml"/>
  <Override PartName="/xl/activeX/activeX523.bin" ContentType="application/vnd.ms-office.activeX"/>
  <Override PartName="/xl/activeX/activeX524.xml" ContentType="application/vnd.ms-office.activeX+xml"/>
  <Override PartName="/xl/activeX/activeX524.bin" ContentType="application/vnd.ms-office.activeX"/>
  <Override PartName="/xl/activeX/activeX525.xml" ContentType="application/vnd.ms-office.activeX+xml"/>
  <Override PartName="/xl/activeX/activeX525.bin" ContentType="application/vnd.ms-office.activeX"/>
  <Override PartName="/xl/activeX/activeX526.xml" ContentType="application/vnd.ms-office.activeX+xml"/>
  <Override PartName="/xl/activeX/activeX526.bin" ContentType="application/vnd.ms-office.activeX"/>
  <Override PartName="/xl/activeX/activeX527.xml" ContentType="application/vnd.ms-office.activeX+xml"/>
  <Override PartName="/xl/activeX/activeX527.bin" ContentType="application/vnd.ms-office.activeX"/>
  <Override PartName="/xl/activeX/activeX528.xml" ContentType="application/vnd.ms-office.activeX+xml"/>
  <Override PartName="/xl/activeX/activeX528.bin" ContentType="application/vnd.ms-office.activeX"/>
  <Override PartName="/xl/activeX/activeX529.xml" ContentType="application/vnd.ms-office.activeX+xml"/>
  <Override PartName="/xl/activeX/activeX529.bin" ContentType="application/vnd.ms-office.activeX"/>
  <Override PartName="/xl/activeX/activeX530.xml" ContentType="application/vnd.ms-office.activeX+xml"/>
  <Override PartName="/xl/activeX/activeX530.bin" ContentType="application/vnd.ms-office.activeX"/>
  <Override PartName="/xl/activeX/activeX531.xml" ContentType="application/vnd.ms-office.activeX+xml"/>
  <Override PartName="/xl/activeX/activeX531.bin" ContentType="application/vnd.ms-office.activeX"/>
  <Override PartName="/xl/activeX/activeX532.xml" ContentType="application/vnd.ms-office.activeX+xml"/>
  <Override PartName="/xl/activeX/activeX532.bin" ContentType="application/vnd.ms-office.activeX"/>
  <Override PartName="/xl/activeX/activeX533.xml" ContentType="application/vnd.ms-office.activeX+xml"/>
  <Override PartName="/xl/activeX/activeX533.bin" ContentType="application/vnd.ms-office.activeX"/>
  <Override PartName="/xl/activeX/activeX534.xml" ContentType="application/vnd.ms-office.activeX+xml"/>
  <Override PartName="/xl/activeX/activeX534.bin" ContentType="application/vnd.ms-office.activeX"/>
  <Override PartName="/xl/activeX/activeX535.xml" ContentType="application/vnd.ms-office.activeX+xml"/>
  <Override PartName="/xl/activeX/activeX535.bin" ContentType="application/vnd.ms-office.activeX"/>
  <Override PartName="/xl/activeX/activeX536.xml" ContentType="application/vnd.ms-office.activeX+xml"/>
  <Override PartName="/xl/activeX/activeX536.bin" ContentType="application/vnd.ms-office.activeX"/>
  <Override PartName="/xl/activeX/activeX537.xml" ContentType="application/vnd.ms-office.activeX+xml"/>
  <Override PartName="/xl/activeX/activeX537.bin" ContentType="application/vnd.ms-office.activeX"/>
  <Override PartName="/xl/activeX/activeX538.xml" ContentType="application/vnd.ms-office.activeX+xml"/>
  <Override PartName="/xl/activeX/activeX538.bin" ContentType="application/vnd.ms-office.activeX"/>
  <Override PartName="/xl/activeX/activeX539.xml" ContentType="application/vnd.ms-office.activeX+xml"/>
  <Override PartName="/xl/activeX/activeX539.bin" ContentType="application/vnd.ms-office.activeX"/>
  <Override PartName="/xl/activeX/activeX540.xml" ContentType="application/vnd.ms-office.activeX+xml"/>
  <Override PartName="/xl/activeX/activeX540.bin" ContentType="application/vnd.ms-office.activeX"/>
  <Override PartName="/xl/activeX/activeX541.xml" ContentType="application/vnd.ms-office.activeX+xml"/>
  <Override PartName="/xl/activeX/activeX541.bin" ContentType="application/vnd.ms-office.activeX"/>
  <Override PartName="/xl/activeX/activeX542.xml" ContentType="application/vnd.ms-office.activeX+xml"/>
  <Override PartName="/xl/activeX/activeX542.bin" ContentType="application/vnd.ms-office.activeX"/>
  <Override PartName="/xl/activeX/activeX543.xml" ContentType="application/vnd.ms-office.activeX+xml"/>
  <Override PartName="/xl/activeX/activeX543.bin" ContentType="application/vnd.ms-office.activeX"/>
  <Override PartName="/xl/activeX/activeX544.xml" ContentType="application/vnd.ms-office.activeX+xml"/>
  <Override PartName="/xl/activeX/activeX544.bin" ContentType="application/vnd.ms-office.activeX"/>
  <Override PartName="/xl/activeX/activeX545.xml" ContentType="application/vnd.ms-office.activeX+xml"/>
  <Override PartName="/xl/activeX/activeX545.bin" ContentType="application/vnd.ms-office.activeX"/>
  <Override PartName="/xl/activeX/activeX546.xml" ContentType="application/vnd.ms-office.activeX+xml"/>
  <Override PartName="/xl/activeX/activeX546.bin" ContentType="application/vnd.ms-office.activeX"/>
  <Override PartName="/xl/activeX/activeX547.xml" ContentType="application/vnd.ms-office.activeX+xml"/>
  <Override PartName="/xl/activeX/activeX547.bin" ContentType="application/vnd.ms-office.activeX"/>
  <Override PartName="/xl/activeX/activeX548.xml" ContentType="application/vnd.ms-office.activeX+xml"/>
  <Override PartName="/xl/activeX/activeX548.bin" ContentType="application/vnd.ms-office.activeX"/>
  <Override PartName="/xl/activeX/activeX549.xml" ContentType="application/vnd.ms-office.activeX+xml"/>
  <Override PartName="/xl/activeX/activeX549.bin" ContentType="application/vnd.ms-office.activeX"/>
  <Override PartName="/xl/activeX/activeX550.xml" ContentType="application/vnd.ms-office.activeX+xml"/>
  <Override PartName="/xl/activeX/activeX550.bin" ContentType="application/vnd.ms-office.activeX"/>
  <Override PartName="/xl/activeX/activeX551.xml" ContentType="application/vnd.ms-office.activeX+xml"/>
  <Override PartName="/xl/activeX/activeX551.bin" ContentType="application/vnd.ms-office.activeX"/>
  <Override PartName="/xl/activeX/activeX552.xml" ContentType="application/vnd.ms-office.activeX+xml"/>
  <Override PartName="/xl/activeX/activeX552.bin" ContentType="application/vnd.ms-office.activeX"/>
  <Override PartName="/xl/activeX/activeX553.xml" ContentType="application/vnd.ms-office.activeX+xml"/>
  <Override PartName="/xl/activeX/activeX553.bin" ContentType="application/vnd.ms-office.activeX"/>
  <Override PartName="/xl/activeX/activeX554.xml" ContentType="application/vnd.ms-office.activeX+xml"/>
  <Override PartName="/xl/activeX/activeX554.bin" ContentType="application/vnd.ms-office.activeX"/>
  <Override PartName="/xl/activeX/activeX555.xml" ContentType="application/vnd.ms-office.activeX+xml"/>
  <Override PartName="/xl/activeX/activeX555.bin" ContentType="application/vnd.ms-office.activeX"/>
  <Override PartName="/xl/activeX/activeX556.xml" ContentType="application/vnd.ms-office.activeX+xml"/>
  <Override PartName="/xl/activeX/activeX556.bin" ContentType="application/vnd.ms-office.activeX"/>
  <Override PartName="/xl/activeX/activeX557.xml" ContentType="application/vnd.ms-office.activeX+xml"/>
  <Override PartName="/xl/activeX/activeX557.bin" ContentType="application/vnd.ms-office.activeX"/>
  <Override PartName="/xl/activeX/activeX558.xml" ContentType="application/vnd.ms-office.activeX+xml"/>
  <Override PartName="/xl/activeX/activeX558.bin" ContentType="application/vnd.ms-office.activeX"/>
  <Override PartName="/xl/activeX/activeX559.xml" ContentType="application/vnd.ms-office.activeX+xml"/>
  <Override PartName="/xl/activeX/activeX559.bin" ContentType="application/vnd.ms-office.activeX"/>
  <Override PartName="/xl/activeX/activeX560.xml" ContentType="application/vnd.ms-office.activeX+xml"/>
  <Override PartName="/xl/activeX/activeX560.bin" ContentType="application/vnd.ms-office.activeX"/>
  <Override PartName="/xl/activeX/activeX561.xml" ContentType="application/vnd.ms-office.activeX+xml"/>
  <Override PartName="/xl/activeX/activeX561.bin" ContentType="application/vnd.ms-office.activeX"/>
  <Override PartName="/xl/activeX/activeX562.xml" ContentType="application/vnd.ms-office.activeX+xml"/>
  <Override PartName="/xl/activeX/activeX562.bin" ContentType="application/vnd.ms-office.activeX"/>
  <Override PartName="/xl/activeX/activeX563.xml" ContentType="application/vnd.ms-office.activeX+xml"/>
  <Override PartName="/xl/activeX/activeX563.bin" ContentType="application/vnd.ms-office.activeX"/>
  <Override PartName="/xl/activeX/activeX564.xml" ContentType="application/vnd.ms-office.activeX+xml"/>
  <Override PartName="/xl/activeX/activeX564.bin" ContentType="application/vnd.ms-office.activeX"/>
  <Override PartName="/xl/activeX/activeX565.xml" ContentType="application/vnd.ms-office.activeX+xml"/>
  <Override PartName="/xl/activeX/activeX565.bin" ContentType="application/vnd.ms-office.activeX"/>
  <Override PartName="/xl/activeX/activeX566.xml" ContentType="application/vnd.ms-office.activeX+xml"/>
  <Override PartName="/xl/activeX/activeX566.bin" ContentType="application/vnd.ms-office.activeX"/>
  <Override PartName="/xl/tables/table30.xml" ContentType="application/vnd.openxmlformats-officedocument.spreadsheetml.table+xml"/>
  <Override PartName="/xl/drawings/drawing39.xml" ContentType="application/vnd.openxmlformats-officedocument.drawing+xml"/>
  <Override PartName="/xl/activeX/activeX567.xml" ContentType="application/vnd.ms-office.activeX+xml"/>
  <Override PartName="/xl/activeX/activeX567.bin" ContentType="application/vnd.ms-office.activeX"/>
  <Override PartName="/xl/activeX/activeX568.xml" ContentType="application/vnd.ms-office.activeX+xml"/>
  <Override PartName="/xl/activeX/activeX568.bin" ContentType="application/vnd.ms-office.activeX"/>
  <Override PartName="/xl/activeX/activeX569.xml" ContentType="application/vnd.ms-office.activeX+xml"/>
  <Override PartName="/xl/activeX/activeX569.bin" ContentType="application/vnd.ms-office.activeX"/>
  <Override PartName="/xl/activeX/activeX570.xml" ContentType="application/vnd.ms-office.activeX+xml"/>
  <Override PartName="/xl/activeX/activeX570.bin" ContentType="application/vnd.ms-office.activeX"/>
  <Override PartName="/xl/activeX/activeX571.xml" ContentType="application/vnd.ms-office.activeX+xml"/>
  <Override PartName="/xl/activeX/activeX571.bin" ContentType="application/vnd.ms-office.activeX"/>
  <Override PartName="/xl/activeX/activeX572.xml" ContentType="application/vnd.ms-office.activeX+xml"/>
  <Override PartName="/xl/activeX/activeX572.bin" ContentType="application/vnd.ms-office.activeX"/>
  <Override PartName="/xl/activeX/activeX573.xml" ContentType="application/vnd.ms-office.activeX+xml"/>
  <Override PartName="/xl/activeX/activeX573.bin" ContentType="application/vnd.ms-office.activeX"/>
  <Override PartName="/xl/activeX/activeX574.xml" ContentType="application/vnd.ms-office.activeX+xml"/>
  <Override PartName="/xl/activeX/activeX574.bin" ContentType="application/vnd.ms-office.activeX"/>
  <Override PartName="/xl/activeX/activeX575.xml" ContentType="application/vnd.ms-office.activeX+xml"/>
  <Override PartName="/xl/activeX/activeX575.bin" ContentType="application/vnd.ms-office.activeX"/>
  <Override PartName="/xl/activeX/activeX576.xml" ContentType="application/vnd.ms-office.activeX+xml"/>
  <Override PartName="/xl/activeX/activeX576.bin" ContentType="application/vnd.ms-office.activeX"/>
  <Override PartName="/xl/activeX/activeX577.xml" ContentType="application/vnd.ms-office.activeX+xml"/>
  <Override PartName="/xl/activeX/activeX577.bin" ContentType="application/vnd.ms-office.activeX"/>
  <Override PartName="/xl/activeX/activeX578.xml" ContentType="application/vnd.ms-office.activeX+xml"/>
  <Override PartName="/xl/activeX/activeX578.bin" ContentType="application/vnd.ms-office.activeX"/>
  <Override PartName="/xl/activeX/activeX579.xml" ContentType="application/vnd.ms-office.activeX+xml"/>
  <Override PartName="/xl/activeX/activeX579.bin" ContentType="application/vnd.ms-office.activeX"/>
  <Override PartName="/xl/activeX/activeX580.xml" ContentType="application/vnd.ms-office.activeX+xml"/>
  <Override PartName="/xl/activeX/activeX580.bin" ContentType="application/vnd.ms-office.activeX"/>
  <Override PartName="/xl/activeX/activeX581.xml" ContentType="application/vnd.ms-office.activeX+xml"/>
  <Override PartName="/xl/activeX/activeX581.bin" ContentType="application/vnd.ms-office.activeX"/>
  <Override PartName="/xl/activeX/activeX582.xml" ContentType="application/vnd.ms-office.activeX+xml"/>
  <Override PartName="/xl/activeX/activeX582.bin" ContentType="application/vnd.ms-office.activeX"/>
  <Override PartName="/xl/activeX/activeX583.xml" ContentType="application/vnd.ms-office.activeX+xml"/>
  <Override PartName="/xl/activeX/activeX583.bin" ContentType="application/vnd.ms-office.activeX"/>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y-hamdan\Desktop\"/>
    </mc:Choice>
  </mc:AlternateContent>
  <xr:revisionPtr revIDLastSave="0" documentId="13_ncr:1_{0220B3B9-9A60-4BE5-B2EC-DB96AAB99AE7}" xr6:coauthVersionLast="47" xr6:coauthVersionMax="47" xr10:uidLastSave="{00000000-0000-0000-0000-000000000000}"/>
  <workbookProtection workbookAlgorithmName="SHA-512" workbookHashValue="b1KeHPu8tcip2vNESULrGd2ykCWZtRfaX0TTgYJP8WfD54M2WFVXB/lAA9k5yTiDs7H2QTmWl7n4raZGuB/LQg==" workbookSaltValue="uEb7uo21Ike+KJ682HB0KQ==" workbookSpinCount="100000" lockStructure="1"/>
  <bookViews>
    <workbookView xWindow="-120" yWindow="-120" windowWidth="29040" windowHeight="15720" tabRatio="927" activeTab="1" xr2:uid="{00000000-000D-0000-FFFF-FFFF00000000}"/>
  </bookViews>
  <sheets>
    <sheet name="REV. Notes" sheetId="24" r:id="rId1"/>
    <sheet name="Summary" sheetId="26" r:id="rId2"/>
    <sheet name="Input Data" sheetId="78" state="veryHidden" r:id="rId3"/>
    <sheet name="Specs Sheet" sheetId="64" state="veryHidden" r:id="rId4"/>
    <sheet name="Selection Sheet" sheetId="65" state="veryHidden" r:id="rId5"/>
    <sheet name="Schneider Data" sheetId="67" state="veryHidden" r:id="rId6"/>
    <sheet name="Sound Data" sheetId="68" r:id="rId7"/>
    <sheet name="Cooling Only" sheetId="60" state="veryHidden" r:id="rId8"/>
    <sheet name="RAC" sheetId="59" state="veryHidden" r:id="rId9"/>
    <sheet name="PDC" sheetId="63" state="veryHidden" r:id="rId10"/>
    <sheet name="WPSA" sheetId="61" state="veryHidden" r:id="rId11"/>
    <sheet name="APSa" sheetId="11" state="veryHidden" r:id="rId12"/>
    <sheet name="PSC" sheetId="27" state="veryHidden" r:id="rId13"/>
    <sheet name="RWC" sheetId="28" state="veryHidden" r:id="rId14"/>
    <sheet name="AHU" sheetId="21" state="veryHidden" r:id="rId15"/>
    <sheet name="Ecology" sheetId="29" state="veryHidden" r:id="rId16"/>
    <sheet name="Chemical Filtration" sheetId="32" state="veryHidden" r:id="rId17"/>
    <sheet name="CM" sheetId="14" state="veryHidden" r:id="rId18"/>
    <sheet name="FCU" sheetId="22" state="veryHidden" r:id="rId19"/>
    <sheet name="PPH" sheetId="23" state="veryHidden" r:id="rId20"/>
    <sheet name="PWM" sheetId="33" state="veryHidden" r:id="rId21"/>
    <sheet name="AHU+DSP" sheetId="4" state="veryHidden" r:id="rId22"/>
    <sheet name="CM+DSP" sheetId="17" state="veryHidden" r:id="rId23"/>
    <sheet name="PASC" sheetId="15" state="veryHidden" r:id="rId24"/>
    <sheet name="PASC Ceiling" sheetId="62" state="veryHidden" r:id="rId25"/>
    <sheet name="PASC WM" sheetId="30" state="veryHidden" r:id="rId26"/>
    <sheet name="CRAH" sheetId="31" state="veryHidden" r:id="rId27"/>
    <sheet name="Ducted split" sheetId="18" state="veryHidden" r:id="rId28"/>
    <sheet name="Mini split" sheetId="12" state="veryHidden" r:id="rId29"/>
    <sheet name="Sheet (1)" sheetId="34" state="veryHidden" r:id="rId30"/>
    <sheet name="Sheet (2)" sheetId="35" state="veryHidden" r:id="rId31"/>
    <sheet name="Sheet (3)" sheetId="36" state="veryHidden" r:id="rId32"/>
    <sheet name="Template" sheetId="43" state="veryHidden" r:id="rId33"/>
    <sheet name="ED Cal" sheetId="42" state="veryHidden" r:id="rId34"/>
    <sheet name="Evap_Cooler" sheetId="75" state="veryHidden" r:id="rId35"/>
    <sheet name="Chemical Calculator" sheetId="76" state="veryHidden" r:id="rId36"/>
    <sheet name="Naming" sheetId="40" state="veryHidden" r:id="rId37"/>
    <sheet name="Epicor" sheetId="37" state="veryHidden" r:id="rId38"/>
    <sheet name="Epicor Group" sheetId="44" state="veryHidden" r:id="rId39"/>
    <sheet name="Units Specs" sheetId="38" state="veryHidden" r:id="rId40"/>
    <sheet name="Technical" sheetId="39" state="veryHidden" r:id="rId41"/>
    <sheet name="Documentation" sheetId="45" state="veryHidden" r:id="rId42"/>
    <sheet name="Data Base" sheetId="47" state="veryHidden" r:id="rId43"/>
    <sheet name="Drawing" sheetId="46" state="veryHidden" r:id="rId44"/>
    <sheet name="Chiller Quick Pricing" sheetId="58" state="veryHidden" r:id="rId45"/>
    <sheet name="PPH Quick Pricing" sheetId="52" state="veryHidden" r:id="rId46"/>
    <sheet name="DATA BASE Prising" sheetId="57" state="veryHidden" r:id="rId47"/>
    <sheet name="PAH Quick Pricing" sheetId="51" state="veryHidden" r:id="rId48"/>
    <sheet name="DC-RAC DATA Base" sheetId="48" state="veryHidden" r:id="rId49"/>
    <sheet name="PPH Data Base" sheetId="49" state="veryHidden" r:id="rId50"/>
    <sheet name="PAH DATA Base" sheetId="56" state="veryHidden" r:id="rId51"/>
  </sheets>
  <functionGroups builtInGroupCount="19"/>
  <externalReferences>
    <externalReference r:id="rId52"/>
  </externalReferences>
  <definedNames>
    <definedName name="_xlnm._FilterDatabase" localSheetId="27" hidden="1">'Ducted split'!$B$3:$W$14</definedName>
    <definedName name="_xlnm._FilterDatabase" localSheetId="28" hidden="1">'Mini split'!$B$3:$P$14</definedName>
    <definedName name="_xlnm._FilterDatabase" localSheetId="19" hidden="1">PPH!$B$4:$AL$5</definedName>
    <definedName name="_xlnm._FilterDatabase" localSheetId="20" hidden="1">PWM!$B$4:$AK$9</definedName>
    <definedName name="_xlnm._FilterDatabase" localSheetId="0" hidden="1">'REV. Notes'!#REF!</definedName>
    <definedName name="_xlnm._FilterDatabase" localSheetId="4" hidden="1">'Selection Sheet'!#REF!</definedName>
    <definedName name="_xlnm._FilterDatabase" localSheetId="3" hidden="1">'Specs Sheet'!#REF!</definedName>
    <definedName name="_xlnm._FilterDatabase" localSheetId="1" hidden="1">Summary!#REF!</definedName>
    <definedName name="_Hlk44232207" localSheetId="39">'Units Specs'!$DT$24</definedName>
    <definedName name="_Hlk54783533" localSheetId="39">'Units Specs'!$AU$3</definedName>
    <definedName name="_Toc120109412" localSheetId="39">'Units Specs'!$CM$34</definedName>
    <definedName name="_Toc120109413" localSheetId="39">'Units Specs'!$CM$36</definedName>
    <definedName name="_Toc120109414" localSheetId="39">'Units Specs'!$CM$47</definedName>
    <definedName name="_Toc120109415" localSheetId="39">'Units Specs'!$CM$57</definedName>
    <definedName name="_Toc120109416" localSheetId="39">'Units Specs'!$CM$65</definedName>
    <definedName name="_Toc123116317" localSheetId="39">'Units Specs'!$HO$22</definedName>
    <definedName name="_Toc123116318" localSheetId="39">'Units Specs'!$HO$24</definedName>
    <definedName name="_Toc123116319" localSheetId="39">'Units Specs'!$HO$27</definedName>
    <definedName name="_Toc123116320" localSheetId="39">'Units Specs'!$HO$31</definedName>
    <definedName name="_Toc123116321" localSheetId="39">'Units Specs'!$HO$39</definedName>
    <definedName name="_Toc123116323" localSheetId="39">'Units Specs'!$C$32</definedName>
    <definedName name="_Toc123116324" localSheetId="39">'Units Specs'!$C$34</definedName>
    <definedName name="_Toc123116325" localSheetId="39">'Units Specs'!$C$41</definedName>
    <definedName name="_Toc123116326" localSheetId="39">'Units Specs'!$C$45</definedName>
    <definedName name="_Toc123116327" localSheetId="39">'Units Specs'!$C$55</definedName>
    <definedName name="_Toc123116329" localSheetId="39">'Units Specs'!$N$25</definedName>
    <definedName name="_Toc123116330" localSheetId="39">'Units Specs'!$N$27</definedName>
    <definedName name="_Toc123116331" localSheetId="39">'Units Specs'!$N$33</definedName>
    <definedName name="_Toc123116332" localSheetId="39">'Units Specs'!$N$37</definedName>
    <definedName name="_Toc123116333" localSheetId="39">'Units Specs'!$N$47</definedName>
    <definedName name="_Toc123116335" localSheetId="39">'Units Specs'!$Y$23</definedName>
    <definedName name="_Toc123116336" localSheetId="39">'Units Specs'!$Y$25</definedName>
    <definedName name="_Toc123116337" localSheetId="39">'Units Specs'!$Y$31</definedName>
    <definedName name="_Toc123116338" localSheetId="39">'Units Specs'!$Y$35</definedName>
    <definedName name="_Toc123116339" localSheetId="39">'Units Specs'!$Y$45</definedName>
    <definedName name="_Toc123116341" localSheetId="39">'Units Specs'!$AJ$30</definedName>
    <definedName name="_Toc123116342" localSheetId="39">'Units Specs'!$AJ$32</definedName>
    <definedName name="_Toc123116343" localSheetId="39">'Units Specs'!$AJ$42</definedName>
    <definedName name="_Toc123116344" localSheetId="39">'Units Specs'!$AJ$52</definedName>
    <definedName name="_Toc123116346" localSheetId="39">'Units Specs'!$AU$19</definedName>
    <definedName name="_Toc123116347" localSheetId="39">'Units Specs'!$AU$21</definedName>
    <definedName name="_Toc123116348" localSheetId="39">'Units Specs'!$AU$31</definedName>
    <definedName name="_Toc123116349" localSheetId="39">'Units Specs'!$AU$40</definedName>
    <definedName name="_Toc123116351" localSheetId="39">'Units Specs'!$BF$19</definedName>
    <definedName name="_Toc123116352" localSheetId="39">'Units Specs'!$BF$21</definedName>
    <definedName name="_Toc123116353" localSheetId="39">'Units Specs'!$BF$31</definedName>
    <definedName name="_Toc123116354" localSheetId="39">'Units Specs'!$BF$40</definedName>
    <definedName name="_Toc123116356" localSheetId="39">'Units Specs'!$BQ$25</definedName>
    <definedName name="_Toc123116357" localSheetId="39">'Units Specs'!$BQ$27</definedName>
    <definedName name="_Toc123116358" localSheetId="39">'Units Specs'!$BQ$35</definedName>
    <definedName name="_Toc123116359" localSheetId="39">'Units Specs'!$BQ$41</definedName>
    <definedName name="_Toc123116361" localSheetId="39">'Units Specs'!$CB$40</definedName>
    <definedName name="_Toc123116362" localSheetId="39">'Units Specs'!$CB$42</definedName>
    <definedName name="_Toc123116363" localSheetId="39">'Units Specs'!$CB$48</definedName>
    <definedName name="_Toc123116364" localSheetId="39">'Units Specs'!$CB$54</definedName>
    <definedName name="_Toc123116366" localSheetId="39">'Units Specs'!$CM$33</definedName>
    <definedName name="_Toc123116367" localSheetId="39">'Units Specs'!$CM$35</definedName>
    <definedName name="_Toc123116368" localSheetId="39">'Units Specs'!$CM$46</definedName>
    <definedName name="_Toc123116369" localSheetId="39">'Units Specs'!$CM$59</definedName>
    <definedName name="_Toc123116370" localSheetId="39">'Units Specs'!$CM$67</definedName>
    <definedName name="_Toc123116372" localSheetId="39">'Units Specs'!$CX$33</definedName>
    <definedName name="_Toc123116373" localSheetId="39">'Units Specs'!$CX$35</definedName>
    <definedName name="_Toc123116374" localSheetId="39">'Units Specs'!$CX$45</definedName>
    <definedName name="_Toc123116375" localSheetId="39">'Units Specs'!$CX$59</definedName>
    <definedName name="_Toc123116376" localSheetId="39">'Units Specs'!$CX$63</definedName>
    <definedName name="_Toc123116377" localSheetId="39">'Units Specs'!$CX$75</definedName>
    <definedName name="_Toc123116379" localSheetId="39">'Units Specs'!$DI$9</definedName>
    <definedName name="_Toc123116380" localSheetId="39">'Units Specs'!$DI$19</definedName>
    <definedName name="_Toc123116381" localSheetId="39">'Units Specs'!$DI$21</definedName>
    <definedName name="_Toc123116382" localSheetId="39">'Units Specs'!$DI$25</definedName>
    <definedName name="_Toc123116383" localSheetId="39">'Units Specs'!$DI$35</definedName>
    <definedName name="_Toc123116384" localSheetId="39">'Units Specs'!$DI$43</definedName>
    <definedName name="_Toc123116385" localSheetId="39">'Units Specs'!$DI$49</definedName>
    <definedName name="_Toc123116386" localSheetId="39">'Units Specs'!$DI$69</definedName>
    <definedName name="_Toc123116387" localSheetId="39">'Units Specs'!$DI$71</definedName>
    <definedName name="_Toc123116388" localSheetId="39">'Units Specs'!$DI$81</definedName>
    <definedName name="_Toc123116389" localSheetId="39">'Units Specs'!$DI$87</definedName>
    <definedName name="_Toc123116390" localSheetId="39">'Units Specs'!$DT$44</definedName>
    <definedName name="_Toc123116391" localSheetId="39">'Units Specs'!$DT$62</definedName>
    <definedName name="_Toc123116392" localSheetId="39">'Units Specs'!$DT$64</definedName>
    <definedName name="_Toc123116393" localSheetId="39">'Units Specs'!$DT$72</definedName>
    <definedName name="_Toc123116394" localSheetId="39">'Units Specs'!$DT$78</definedName>
    <definedName name="_Toc123116396" localSheetId="39">'Units Specs'!$EE$40</definedName>
    <definedName name="_Toc123116397" localSheetId="39">'Units Specs'!$EE$42</definedName>
    <definedName name="_Toc123116398" localSheetId="39">'Units Specs'!$EE$46</definedName>
    <definedName name="_Toc123116399" localSheetId="39">'Units Specs'!$EE$49</definedName>
    <definedName name="_Toc123116400" localSheetId="39">'Units Specs'!$EE$53</definedName>
    <definedName name="_Toc123116402" localSheetId="39">'Units Specs'!$HZ$36</definedName>
    <definedName name="_Toc123116403" localSheetId="39">'Units Specs'!$HZ$38</definedName>
    <definedName name="_Toc123116404" localSheetId="39">'Units Specs'!$HZ$42</definedName>
    <definedName name="_Toc123116405" localSheetId="39">'Units Specs'!$HZ$45</definedName>
    <definedName name="_Toc123116406" localSheetId="39">'Units Specs'!$HZ$49</definedName>
    <definedName name="_Toc123116408" localSheetId="39">'Units Specs'!$FA$32</definedName>
    <definedName name="_Toc123116410" localSheetId="39">'Units Specs'!$FL$35</definedName>
    <definedName name="_Toc123116412" localSheetId="39">'Units Specs'!$FW$22</definedName>
    <definedName name="AHU_Specs">'Units Specs'!$AJ$3:$AJ$302</definedName>
    <definedName name="APSA_Chillers">'DATA BASE Prising'!$A$7:$A$57</definedName>
    <definedName name="APSA_Options" localSheetId="44">#REF!</definedName>
    <definedName name="APSA_Options" localSheetId="46">#REF!</definedName>
    <definedName name="APSA_Options">#REF!</definedName>
    <definedName name="APSa_Specs">'Units Specs'!$C$2:$C$301</definedName>
    <definedName name="APSA_Standard" localSheetId="44">#REF!</definedName>
    <definedName name="APSA_Standard" localSheetId="46">#REF!</definedName>
    <definedName name="APSA_Standard">#REF!</definedName>
    <definedName name="ATTN">Naming!$A$40</definedName>
    <definedName name="ATTN_Start">#REF!</definedName>
    <definedName name="Cassette_Unit">Naming!$K$55</definedName>
    <definedName name="Cassette_Unit_Source">'DC-RAC DATA Base'!$A$68:$A$73</definedName>
    <definedName name="Ceiling_Cabinet">Naming!$J$55</definedName>
    <definedName name="Ceiling_Cabinet_soruce">'DC-RAC DATA Base'!$A$22:$A$38</definedName>
    <definedName name="Chemical_Specs">'Units Specs'!$BF$3:$BF$302</definedName>
    <definedName name="Chiller_RD" localSheetId="44">#REF!</definedName>
    <definedName name="Chiller_RD" localSheetId="46">#REF!</definedName>
    <definedName name="Chiller_RD">#REF!</definedName>
    <definedName name="Chiller_RD2" localSheetId="44">#REF!</definedName>
    <definedName name="Chiller_RD2" localSheetId="46">#REF!</definedName>
    <definedName name="Chiller_RD2">#REF!</definedName>
    <definedName name="CM_Specs">'Units Specs'!$BQ$3:$BQ$302</definedName>
    <definedName name="Const" localSheetId="44">'PPH Data Base'!#REF!</definedName>
    <definedName name="Const" localSheetId="46">'PPH Data Base'!#REF!</definedName>
    <definedName name="Const" localSheetId="2">'PPH Data Base'!#REF!</definedName>
    <definedName name="Const" localSheetId="47">'PPH Data Base'!#REF!</definedName>
    <definedName name="Const" localSheetId="45">'PPH Data Base'!#REF!</definedName>
    <definedName name="Const">'PPH Data Base'!#REF!</definedName>
    <definedName name="CRAH">'Units Specs'!$FA$3:$FA$302</definedName>
    <definedName name="cz" localSheetId="44">'PPH Quick Pricing'!#REF!</definedName>
    <definedName name="cz" localSheetId="46">'PPH Quick Pricing'!#REF!</definedName>
    <definedName name="cz" localSheetId="2">'PPH Quick Pricing'!#REF!</definedName>
    <definedName name="cz" localSheetId="47">'PAH Quick Pricing'!#REF!</definedName>
    <definedName name="cz">'PPH Quick Pricing'!#REF!</definedName>
    <definedName name="DCV_source">'DC-RAC DATA Base'!$A$74:$A$82</definedName>
    <definedName name="DSP_AHU_Specs">'Units Specs'!$DI$3:$DI$302</definedName>
    <definedName name="DSP_CM_Specs">'Units Specs'!$DT$3:$DT$302</definedName>
    <definedName name="Ducted_Units">Naming!$J$47:$J$52</definedName>
    <definedName name="Ducted_Units_Source">'DC-RAC DATA Base'!$A$2:$A$21</definedName>
    <definedName name="Ecology_Specs">'Units Specs'!$AU$3:$AU$302</definedName>
    <definedName name="EH_1Phase_Stages" localSheetId="44">Naming!$F$29</definedName>
    <definedName name="EH_1Phase_Stages" localSheetId="46">Naming!$F$29</definedName>
    <definedName name="EH_1Phase_Stages">Naming!$F$29</definedName>
    <definedName name="ELEC" localSheetId="44">'PPH Data Base'!#REF!</definedName>
    <definedName name="ELEC" localSheetId="46">'PPH Data Base'!#REF!</definedName>
    <definedName name="ELEC" localSheetId="2">'PPH Data Base'!#REF!</definedName>
    <definedName name="ELEC" localSheetId="47">'PPH Data Base'!#REF!</definedName>
    <definedName name="ELEC" localSheetId="45">'PPH Data Base'!#REF!</definedName>
    <definedName name="ELEC">'PPH Data Base'!#REF!</definedName>
    <definedName name="EVP" localSheetId="44">'PPH Data Base'!#REF!</definedName>
    <definedName name="EVP" localSheetId="46">'PPH Data Base'!#REF!</definedName>
    <definedName name="EVP" localSheetId="2">'PPH Data Base'!#REF!</definedName>
    <definedName name="EVP" localSheetId="47">'PPH Data Base'!#REF!</definedName>
    <definedName name="EVP" localSheetId="45">'PPH Data Base'!#REF!</definedName>
    <definedName name="EVP">'PPH Data Base'!#REF!</definedName>
    <definedName name="FCU_Specs">'Units Specs'!$CB$3:$CB$302</definedName>
    <definedName name="Floor_Virtical">Naming!$L$55</definedName>
    <definedName name="Galvanized_Ceiling_Cabinet">Naming!$L$47</definedName>
    <definedName name="Galvanized_Floor_Cabinet">Naming!$K$47</definedName>
    <definedName name="GF_Soruce">'DC-RAC DATA Base'!$A$44:$A$51</definedName>
    <definedName name="Grand">#REF!</definedName>
    <definedName name="Grand_Summary">Summary!$H$31</definedName>
    <definedName name="NO_DATA" localSheetId="48">[1]!NO_EDATA[DATA]</definedName>
    <definedName name="NO_DATA" localSheetId="47">[1]!NO_EDATA[DATA]</definedName>
    <definedName name="NO_DATA">[1]!NO_EDATA[DATA]</definedName>
    <definedName name="Offer_NO">Naming!$A$37</definedName>
    <definedName name="PASC_CM_Ceiling">'Units Specs'!$HZ$3:$HZ$302</definedName>
    <definedName name="PASC_CM_SPECS">'Units Specs'!$EP$3:$EP$302</definedName>
    <definedName name="PASC_Specs">'Units Specs'!$EE$3:$EE$302</definedName>
    <definedName name="PCCD_source">'DC-RAC DATA Base'!$A$52:$A$59</definedName>
    <definedName name="PDC_Specs">'Units Specs'!$IK$3:$IK$302</definedName>
    <definedName name="PDU_SPECS">'Units Specs'!$FL$3:$FL$302</definedName>
    <definedName name="PFCD_source">'DC-RAC DATA Base'!$A$60:$A$67</definedName>
    <definedName name="Plastic_Ceiling_Cabinet" localSheetId="2">Naming!#REF!</definedName>
    <definedName name="Plastic_Ceiling_Cabinet">Naming!#REF!</definedName>
    <definedName name="Plastic_Floor_Cabinet" localSheetId="2">Naming!#REF!</definedName>
    <definedName name="Plastic_Floor_Cabinet">Naming!#REF!</definedName>
    <definedName name="Plastic_High_Wall" localSheetId="2">Naming!#REF!</definedName>
    <definedName name="Plastic_High_Wall">Naming!#REF!</definedName>
    <definedName name="PPH_Screw">'PPH Data Base'!$A$78:$A$82</definedName>
    <definedName name="PPH_Specs">'Units Specs'!$CM$3:$CM$302</definedName>
    <definedName name="PPH4_Data">'PPH Data Base'!$A$7:$A$42</definedName>
    <definedName name="PPHa">'PPH Data Base'!$A$84:$A$102</definedName>
    <definedName name="PPHc_Scroll">'PPH Data Base'!$A$44:$A$77</definedName>
    <definedName name="PPHc_Scroll_Data">'PPH Data Base'!$A$44:$A$77</definedName>
    <definedName name="_xlnm.Print_Titles" localSheetId="3">'Specs Sheet'!$1:$7</definedName>
    <definedName name="Project_List_data" localSheetId="48">[1]!Project_List_Data_Viwer[NO.]</definedName>
    <definedName name="Project_List_data" localSheetId="47">[1]!Project_List_Data_Viwer[NO.]</definedName>
    <definedName name="Project_List_data">[1]!Project_List_Data_Viwer[NO.]</definedName>
    <definedName name="Project_Name">Naming!$A$25</definedName>
    <definedName name="Project_Name_Start">#REF!</definedName>
    <definedName name="Project_Price_Summary" localSheetId="44">#REF!</definedName>
    <definedName name="Project_Price_Summary" localSheetId="46">#REF!</definedName>
    <definedName name="Project_Price_Summary">#REF!</definedName>
    <definedName name="Provide_For_Start">#REF!</definedName>
    <definedName name="PSC_4">'DATA BASE Prising'!$A$108:$A$126</definedName>
    <definedName name="PSC_RD" localSheetId="44">#REF!</definedName>
    <definedName name="PSC_RD" localSheetId="46">#REF!</definedName>
    <definedName name="PSC_RD">#REF!</definedName>
    <definedName name="PSC_Specs">'Units Specs'!$N$3:$N$302</definedName>
    <definedName name="PSC4_RWC4">'DATA BASE Prising'!$A$108:$A$141</definedName>
    <definedName name="PSCc">'DATA BASE Prising'!$A$59:$A$88</definedName>
    <definedName name="PSCc_RWCc">'DATA BASE Prising'!$A$59:$A$107</definedName>
    <definedName name="PSU_SPECS">'Units Specs'!$FW$3:$FW$302</definedName>
    <definedName name="PWC_Source">'DC-RAC DATA Base'!$A$39:$A$43</definedName>
    <definedName name="PWM_Specs">'Units Specs'!$CX$3:$CX$302</definedName>
    <definedName name="Qut_NO">#REF!</definedName>
    <definedName name="rAnswers">#REF!</definedName>
    <definedName name="rBenAnn">#REF!</definedName>
    <definedName name="rBenOT">#REF!</definedName>
    <definedName name="rBenTotal">#REF!</definedName>
    <definedName name="rCostsAnn">#REF!</definedName>
    <definedName name="rCostsOT">#REF!</definedName>
    <definedName name="rCostsTotal">#REF!</definedName>
    <definedName name="REF" localSheetId="44">'PPH Data Base'!#REF!</definedName>
    <definedName name="REF" localSheetId="46">'PPH Data Base'!#REF!</definedName>
    <definedName name="REF" localSheetId="2">'PPH Data Base'!#REF!</definedName>
    <definedName name="REF" localSheetId="47">'PPH Data Base'!#REF!</definedName>
    <definedName name="REF" localSheetId="45">'PPH Data Base'!#REF!</definedName>
    <definedName name="REF">'PPH Data Base'!#REF!</definedName>
    <definedName name="REV_NO">Naming!$A$34</definedName>
    <definedName name="rFeatureCt">#REF!</definedName>
    <definedName name="rList">#REF!</definedName>
    <definedName name="rNetBen">#REF!</definedName>
    <definedName name="rpt_ChartSource">#REF!</definedName>
    <definedName name="rpt_CustomerName">#REF!</definedName>
    <definedName name="rpt_Features_img">#REF!</definedName>
    <definedName name="rpt_ROISumTable">#REF!</definedName>
    <definedName name="rpt_ScopeList">#REF!</definedName>
    <definedName name="rpt_TextSummary">#REF!</definedName>
    <definedName name="rROI">#REF!</definedName>
    <definedName name="rUsers">#REF!</definedName>
    <definedName name="RWC_4">'DATA BASE Prising'!$A$127:$A$141</definedName>
    <definedName name="RWC_Specs">'Units Specs'!$Y$3:$Y$302</definedName>
    <definedName name="RWCc">'DATA BASE Prising'!$A$89:$A$107</definedName>
    <definedName name="rYears">#REF!</definedName>
    <definedName name="Sales">#REF!</definedName>
    <definedName name="Sales_Start">#REF!</definedName>
    <definedName name="Sales2" localSheetId="2">Table46[Name]</definedName>
    <definedName name="Sales2" localSheetId="24">Table46[Name]</definedName>
    <definedName name="Sales2" localSheetId="9">Table46[Name]</definedName>
    <definedName name="Sales2" localSheetId="10">Table46[Name]</definedName>
    <definedName name="Sales2">Table46[Name]</definedName>
    <definedName name="Sales3">Naming!$A$28</definedName>
    <definedName name="Sheet_1">'Units Specs'!$GH$3:$GH$302</definedName>
    <definedName name="Sheet_2">'Units Specs'!$GS$3:$GS$302</definedName>
    <definedName name="Sheet_3">'Units Specs'!$HD$3:$HD$302</definedName>
    <definedName name="Studies">#REF!</definedName>
    <definedName name="Studies2" localSheetId="2">Table46[Name]</definedName>
    <definedName name="Studies2" localSheetId="24">Table46[Name]</definedName>
    <definedName name="Studies2" localSheetId="9">Table46[Name]</definedName>
    <definedName name="Studies2" localSheetId="10">Table46[Name]</definedName>
    <definedName name="Studies2">Table46[Name]</definedName>
    <definedName name="Stuides2">Naming!$A$10</definedName>
    <definedName name="Total">#REF!</definedName>
    <definedName name="Total_Summary">Summary!$H$29</definedName>
    <definedName name="VAT">#REF!</definedName>
    <definedName name="VAT_Summary">Summary!$H$30</definedName>
    <definedName name="WPSa">'Units Specs'!$HO$3:$HO$302</definedName>
    <definedName name="WPSa_Spec">'Units Specs'!$HO$3:$HO$302</definedName>
  </definedNames>
  <calcPr calcId="191029"/>
</workbook>
</file>

<file path=xl/calcChain.xml><?xml version="1.0" encoding="utf-8"?>
<calcChain xmlns="http://schemas.openxmlformats.org/spreadsheetml/2006/main">
  <c r="P56" i="65" l="1"/>
  <c r="P55" i="65"/>
  <c r="K51" i="65"/>
  <c r="D52" i="65"/>
  <c r="D50" i="65"/>
  <c r="AC92" i="68"/>
  <c r="AB92" i="68"/>
  <c r="AA92" i="68"/>
  <c r="Z92" i="68"/>
  <c r="Y92" i="68"/>
  <c r="X92" i="68"/>
  <c r="W92" i="68"/>
  <c r="V92" i="68"/>
  <c r="U92" i="68"/>
  <c r="AC91" i="68"/>
  <c r="AB91" i="68"/>
  <c r="AA91" i="68"/>
  <c r="Z91" i="68"/>
  <c r="Y91" i="68"/>
  <c r="X91" i="68"/>
  <c r="W91" i="68"/>
  <c r="V91" i="68"/>
  <c r="U91" i="68"/>
  <c r="AC90" i="68"/>
  <c r="AB90" i="68"/>
  <c r="AA90" i="68"/>
  <c r="Z90" i="68"/>
  <c r="Y90" i="68"/>
  <c r="X90" i="68"/>
  <c r="W90" i="68"/>
  <c r="V90" i="68"/>
  <c r="U90" i="68"/>
  <c r="T92" i="68"/>
  <c r="T91" i="68"/>
  <c r="T90" i="68"/>
  <c r="AC95" i="68"/>
  <c r="AB95" i="68"/>
  <c r="AA95" i="68"/>
  <c r="Z95" i="68"/>
  <c r="Y95" i="68"/>
  <c r="X95" i="68"/>
  <c r="W95" i="68"/>
  <c r="V95" i="68"/>
  <c r="U95" i="68"/>
  <c r="T95" i="68"/>
  <c r="AC94" i="68"/>
  <c r="AB94" i="68"/>
  <c r="AA94" i="68"/>
  <c r="Z94" i="68"/>
  <c r="Y94" i="68"/>
  <c r="X94" i="68"/>
  <c r="W94" i="68"/>
  <c r="V94" i="68"/>
  <c r="U94" i="68"/>
  <c r="T94" i="68"/>
  <c r="AC93" i="68"/>
  <c r="AB93" i="68"/>
  <c r="AA93" i="68"/>
  <c r="Z93" i="68"/>
  <c r="Y93" i="68"/>
  <c r="X93" i="68"/>
  <c r="W93" i="68"/>
  <c r="V93" i="68"/>
  <c r="U93" i="68"/>
  <c r="T93" i="68"/>
  <c r="AC87" i="68"/>
  <c r="Z87" i="68"/>
  <c r="X87" i="68"/>
  <c r="W87" i="68"/>
  <c r="W88" i="68" s="1"/>
  <c r="W89" i="68" s="1"/>
  <c r="AC86" i="68"/>
  <c r="AB86" i="68"/>
  <c r="AA86" i="68"/>
  <c r="Z86" i="68"/>
  <c r="Y86" i="68"/>
  <c r="X86" i="68"/>
  <c r="W86" i="68"/>
  <c r="V86" i="68"/>
  <c r="U86" i="68"/>
  <c r="T86" i="68"/>
  <c r="AC85" i="68"/>
  <c r="AB85" i="68"/>
  <c r="AB87" i="68" s="1"/>
  <c r="AB88" i="68" s="1"/>
  <c r="AB89" i="68" s="1"/>
  <c r="AA85" i="68"/>
  <c r="AA87" i="68" s="1"/>
  <c r="AA88" i="68" s="1"/>
  <c r="AA89" i="68" s="1"/>
  <c r="Z85" i="68"/>
  <c r="Y85" i="68"/>
  <c r="Y87" i="68" s="1"/>
  <c r="Y88" i="68" s="1"/>
  <c r="Y89" i="68" s="1"/>
  <c r="X85" i="68"/>
  <c r="W85" i="68"/>
  <c r="V85" i="68"/>
  <c r="V87" i="68" s="1"/>
  <c r="V88" i="68" s="1"/>
  <c r="V89" i="68" s="1"/>
  <c r="U85" i="68"/>
  <c r="U87" i="68" s="1"/>
  <c r="U88" i="68" s="1"/>
  <c r="U89" i="68" s="1"/>
  <c r="T85" i="68"/>
  <c r="T87" i="68" s="1"/>
  <c r="T88" i="68" s="1"/>
  <c r="T89" i="68" s="1"/>
  <c r="AC84" i="68"/>
  <c r="AC52" i="68" s="1"/>
  <c r="AB84" i="68"/>
  <c r="AA84" i="68"/>
  <c r="Z84" i="68"/>
  <c r="Z52" i="68" s="1"/>
  <c r="Y84" i="68"/>
  <c r="X84" i="68"/>
  <c r="X52" i="68" s="1"/>
  <c r="W84" i="68"/>
  <c r="W52" i="68" s="1"/>
  <c r="V84" i="68"/>
  <c r="U84" i="68"/>
  <c r="T84" i="68"/>
  <c r="T52" i="68" s="1"/>
  <c r="X82" i="68"/>
  <c r="AC78" i="68"/>
  <c r="AB78" i="68"/>
  <c r="AA78" i="68"/>
  <c r="Z78" i="68"/>
  <c r="Y78" i="68"/>
  <c r="X78" i="68"/>
  <c r="W78" i="68"/>
  <c r="V78" i="68"/>
  <c r="U78" i="68"/>
  <c r="T78" i="68"/>
  <c r="AC73" i="68"/>
  <c r="AB73" i="68"/>
  <c r="AA73" i="68"/>
  <c r="Z73" i="68"/>
  <c r="Y73" i="68"/>
  <c r="X73" i="68"/>
  <c r="W73" i="68"/>
  <c r="V73" i="68"/>
  <c r="U73" i="68"/>
  <c r="T73" i="68"/>
  <c r="AA71" i="68"/>
  <c r="X71" i="68"/>
  <c r="U71" i="68"/>
  <c r="AC57" i="68"/>
  <c r="AB57" i="68"/>
  <c r="AA57" i="68"/>
  <c r="Z57" i="68"/>
  <c r="Y57" i="68"/>
  <c r="X57" i="68"/>
  <c r="W57" i="68"/>
  <c r="V57" i="68"/>
  <c r="U57" i="68"/>
  <c r="T57" i="68"/>
  <c r="AC56" i="68"/>
  <c r="AB56" i="68"/>
  <c r="AA56" i="68"/>
  <c r="Z56" i="68"/>
  <c r="Y56" i="68"/>
  <c r="X56" i="68"/>
  <c r="W56" i="68"/>
  <c r="V56" i="68"/>
  <c r="U56" i="68"/>
  <c r="T56" i="68"/>
  <c r="AC55" i="68"/>
  <c r="AB55" i="68"/>
  <c r="AA55" i="68"/>
  <c r="Z55" i="68"/>
  <c r="Y55" i="68"/>
  <c r="X55" i="68"/>
  <c r="W55" i="68"/>
  <c r="V55" i="68"/>
  <c r="U55" i="68"/>
  <c r="T55" i="68"/>
  <c r="AC54" i="68"/>
  <c r="AB54" i="68"/>
  <c r="AA54" i="68"/>
  <c r="Z54" i="68"/>
  <c r="Y54" i="68"/>
  <c r="X54" i="68"/>
  <c r="W54" i="68"/>
  <c r="V54" i="68"/>
  <c r="U54" i="68"/>
  <c r="T54" i="68"/>
  <c r="AB53" i="68"/>
  <c r="AA53" i="68"/>
  <c r="X53" i="68"/>
  <c r="V53" i="68"/>
  <c r="U53" i="68"/>
  <c r="AB52" i="68"/>
  <c r="AA52" i="68"/>
  <c r="Y52" i="68"/>
  <c r="V52" i="68"/>
  <c r="U52" i="68"/>
  <c r="AC48" i="68"/>
  <c r="AB48" i="68"/>
  <c r="AA48" i="68"/>
  <c r="Z48" i="68"/>
  <c r="Y48" i="68"/>
  <c r="X48" i="68"/>
  <c r="W48" i="68"/>
  <c r="V48" i="68"/>
  <c r="U48" i="68"/>
  <c r="T48" i="68"/>
  <c r="AC47" i="68"/>
  <c r="AA47" i="68"/>
  <c r="X47" i="68"/>
  <c r="W47" i="68"/>
  <c r="U47" i="68"/>
  <c r="AB46" i="68"/>
  <c r="AA46" i="68"/>
  <c r="Y46" i="68"/>
  <c r="V46" i="68"/>
  <c r="U46" i="68"/>
  <c r="AC45" i="68"/>
  <c r="Z45" i="68"/>
  <c r="X45" i="68"/>
  <c r="W45" i="68"/>
  <c r="T45" i="68"/>
  <c r="AC41" i="68"/>
  <c r="AB41" i="68"/>
  <c r="AA41" i="68"/>
  <c r="Z41" i="68"/>
  <c r="Y41" i="68"/>
  <c r="X41" i="68"/>
  <c r="W41" i="68"/>
  <c r="V41" i="68"/>
  <c r="U41" i="68"/>
  <c r="T41" i="68"/>
  <c r="AC40" i="68"/>
  <c r="AC71" i="68" s="1"/>
  <c r="AB40" i="68"/>
  <c r="AB71" i="68" s="1"/>
  <c r="AA40" i="68"/>
  <c r="Z40" i="68"/>
  <c r="Z71" i="68" s="1"/>
  <c r="Y40" i="68"/>
  <c r="Y71" i="68" s="1"/>
  <c r="X40" i="68"/>
  <c r="W40" i="68"/>
  <c r="W71" i="68" s="1"/>
  <c r="V40" i="68"/>
  <c r="V71" i="68" s="1"/>
  <c r="U40" i="68"/>
  <c r="T40" i="68"/>
  <c r="T71" i="68" s="1"/>
  <c r="AC39" i="68"/>
  <c r="AC53" i="68" s="1"/>
  <c r="AB39" i="68"/>
  <c r="AA39" i="68"/>
  <c r="Z39" i="68"/>
  <c r="Z46" i="68" s="1"/>
  <c r="Y39" i="68"/>
  <c r="Y53" i="68" s="1"/>
  <c r="X39" i="68"/>
  <c r="X46" i="68" s="1"/>
  <c r="W39" i="68"/>
  <c r="W53" i="68" s="1"/>
  <c r="V39" i="68"/>
  <c r="U39" i="68"/>
  <c r="T39" i="68"/>
  <c r="T46" i="68" s="1"/>
  <c r="AC34" i="68"/>
  <c r="AC82" i="68" s="1"/>
  <c r="AB34" i="68"/>
  <c r="AB82" i="68" s="1"/>
  <c r="AA34" i="68"/>
  <c r="Z34" i="68"/>
  <c r="Z75" i="68" s="1"/>
  <c r="Y34" i="68"/>
  <c r="X34" i="68"/>
  <c r="W34" i="68"/>
  <c r="W82" i="68" s="1"/>
  <c r="V34" i="68"/>
  <c r="V82" i="68" s="1"/>
  <c r="U34" i="68"/>
  <c r="T34" i="68"/>
  <c r="T75" i="68" s="1"/>
  <c r="T33" i="68"/>
  <c r="T32" i="68"/>
  <c r="AC30" i="68"/>
  <c r="AC33" i="68" s="1"/>
  <c r="AB30" i="68"/>
  <c r="AB32" i="68" s="1"/>
  <c r="AA30" i="68"/>
  <c r="AA33" i="68" s="1"/>
  <c r="Z30" i="68"/>
  <c r="Z32" i="68" s="1"/>
  <c r="Y30" i="68"/>
  <c r="Y33" i="68" s="1"/>
  <c r="X30" i="68"/>
  <c r="X33" i="68" s="1"/>
  <c r="W30" i="68"/>
  <c r="W32" i="68" s="1"/>
  <c r="V30" i="68"/>
  <c r="V32" i="68" s="1"/>
  <c r="U30" i="68"/>
  <c r="U33" i="68" s="1"/>
  <c r="T30" i="68"/>
  <c r="AC29" i="68"/>
  <c r="AB29" i="68"/>
  <c r="AA29" i="68"/>
  <c r="Z29" i="68"/>
  <c r="Y29" i="68"/>
  <c r="X29" i="68"/>
  <c r="W29" i="68"/>
  <c r="V29" i="68"/>
  <c r="U29" i="68"/>
  <c r="T29" i="68"/>
  <c r="AC25" i="68"/>
  <c r="AC44" i="68" s="1"/>
  <c r="AB25" i="68"/>
  <c r="AB44" i="68" s="1"/>
  <c r="AA25" i="68"/>
  <c r="Z25" i="68"/>
  <c r="Y25" i="68"/>
  <c r="X25" i="68"/>
  <c r="X77" i="68" s="1"/>
  <c r="W25" i="68"/>
  <c r="W44" i="68" s="1"/>
  <c r="V25" i="68"/>
  <c r="V44" i="68" s="1"/>
  <c r="U25" i="68"/>
  <c r="T25" i="68"/>
  <c r="AC24" i="68"/>
  <c r="AB24" i="68"/>
  <c r="AA24" i="68"/>
  <c r="AA43" i="68" s="1"/>
  <c r="Z24" i="68"/>
  <c r="Z43" i="68" s="1"/>
  <c r="Y24" i="68"/>
  <c r="X24" i="68"/>
  <c r="W24" i="68"/>
  <c r="V24" i="68"/>
  <c r="U24" i="68"/>
  <c r="U43" i="68" s="1"/>
  <c r="T24" i="68"/>
  <c r="T43" i="68" s="1"/>
  <c r="AC23" i="68"/>
  <c r="AB23" i="68"/>
  <c r="AA23" i="68"/>
  <c r="Z23" i="68"/>
  <c r="Y23" i="68"/>
  <c r="Y42" i="68" s="1"/>
  <c r="X23" i="68"/>
  <c r="X42" i="68" s="1"/>
  <c r="W23" i="68"/>
  <c r="V23" i="68"/>
  <c r="U23" i="68"/>
  <c r="T23" i="68"/>
  <c r="AC88" i="68"/>
  <c r="AC89" i="68" s="1"/>
  <c r="Z88" i="68"/>
  <c r="Z89" i="68" s="1"/>
  <c r="X88" i="68"/>
  <c r="X89" i="68" s="1"/>
  <c r="Y50" i="68"/>
  <c r="X50" i="68"/>
  <c r="U75" i="68" l="1"/>
  <c r="AA75" i="68"/>
  <c r="X75" i="68"/>
  <c r="Y77" i="68"/>
  <c r="X32" i="68"/>
  <c r="AC32" i="68"/>
  <c r="AA32" i="68"/>
  <c r="W33" i="68"/>
  <c r="U32" i="68"/>
  <c r="Z33" i="68"/>
  <c r="T42" i="68"/>
  <c r="T51" i="68" s="1"/>
  <c r="Z42" i="68"/>
  <c r="V43" i="68"/>
  <c r="AB43" i="68"/>
  <c r="X44" i="68"/>
  <c r="V70" i="68"/>
  <c r="AB70" i="68"/>
  <c r="V75" i="68"/>
  <c r="AB75" i="68"/>
  <c r="X76" i="68"/>
  <c r="X81" i="68" s="1"/>
  <c r="T77" i="68"/>
  <c r="Z77" i="68"/>
  <c r="T31" i="68"/>
  <c r="Z96" i="68"/>
  <c r="V96" i="68"/>
  <c r="AB96" i="68"/>
  <c r="Y32" i="68"/>
  <c r="U42" i="68"/>
  <c r="AA42" i="68"/>
  <c r="AA49" i="68" s="1"/>
  <c r="W43" i="68"/>
  <c r="AC43" i="68"/>
  <c r="Y44" i="68"/>
  <c r="U45" i="68"/>
  <c r="AA45" i="68"/>
  <c r="W46" i="68"/>
  <c r="AC46" i="68"/>
  <c r="Y47" i="68"/>
  <c r="W70" i="68"/>
  <c r="AC70" i="68"/>
  <c r="W75" i="68"/>
  <c r="AC75" i="68"/>
  <c r="Y76" i="68"/>
  <c r="U77" i="68"/>
  <c r="AA77" i="68"/>
  <c r="Y82" i="68"/>
  <c r="U96" i="68"/>
  <c r="AA96" i="68"/>
  <c r="V33" i="68"/>
  <c r="AB33" i="68"/>
  <c r="V42" i="68"/>
  <c r="AB42" i="68"/>
  <c r="X43" i="68"/>
  <c r="T44" i="68"/>
  <c r="Z44" i="68"/>
  <c r="V45" i="68"/>
  <c r="AB45" i="68"/>
  <c r="T47" i="68"/>
  <c r="Z47" i="68"/>
  <c r="T53" i="68"/>
  <c r="Z53" i="68"/>
  <c r="X70" i="68"/>
  <c r="T76" i="68"/>
  <c r="Z76" i="68"/>
  <c r="V77" i="68"/>
  <c r="AB77" i="68"/>
  <c r="T82" i="68"/>
  <c r="Z82" i="68"/>
  <c r="AB50" i="68"/>
  <c r="W42" i="68"/>
  <c r="AC42" i="68"/>
  <c r="Y43" i="68"/>
  <c r="Y51" i="68" s="1"/>
  <c r="U44" i="68"/>
  <c r="AA44" i="68"/>
  <c r="Y70" i="68"/>
  <c r="Y75" i="68"/>
  <c r="U76" i="68"/>
  <c r="AA76" i="68"/>
  <c r="W77" i="68"/>
  <c r="AC77" i="68"/>
  <c r="U82" i="68"/>
  <c r="AA82" i="68"/>
  <c r="V50" i="68"/>
  <c r="V47" i="68"/>
  <c r="AB47" i="68"/>
  <c r="T70" i="68"/>
  <c r="Z70" i="68"/>
  <c r="V76" i="68"/>
  <c r="AB76" i="68"/>
  <c r="Y45" i="68"/>
  <c r="U70" i="68"/>
  <c r="AA70" i="68"/>
  <c r="W76" i="68"/>
  <c r="AC76" i="68"/>
  <c r="T50" i="68"/>
  <c r="Z50" i="68"/>
  <c r="T49" i="68"/>
  <c r="T69" i="68" s="1"/>
  <c r="U51" i="68"/>
  <c r="U50" i="68"/>
  <c r="AA50" i="68"/>
  <c r="W50" i="68"/>
  <c r="AC50" i="68"/>
  <c r="Z49" i="68" l="1"/>
  <c r="AB49" i="68"/>
  <c r="Y81" i="68"/>
  <c r="U81" i="68"/>
  <c r="AC96" i="68"/>
  <c r="AC26" i="68" s="1"/>
  <c r="X49" i="68"/>
  <c r="V49" i="68"/>
  <c r="AB51" i="68"/>
  <c r="AB69" i="68" s="1"/>
  <c r="AA51" i="68"/>
  <c r="AA69" i="68" s="1"/>
  <c r="V81" i="68"/>
  <c r="V51" i="68"/>
  <c r="AB81" i="68"/>
  <c r="Y49" i="68"/>
  <c r="Y69" i="68" s="1"/>
  <c r="X51" i="68"/>
  <c r="W96" i="68"/>
  <c r="W26" i="68" s="1"/>
  <c r="AC49" i="68"/>
  <c r="T35" i="68"/>
  <c r="T96" i="68"/>
  <c r="T28" i="68" s="1"/>
  <c r="X96" i="68"/>
  <c r="X28" i="68" s="1"/>
  <c r="Y96" i="68"/>
  <c r="Y26" i="68" s="1"/>
  <c r="Z31" i="68"/>
  <c r="Z36" i="68" s="1"/>
  <c r="AB27" i="68"/>
  <c r="AB26" i="68"/>
  <c r="AB28" i="68"/>
  <c r="V27" i="68"/>
  <c r="V26" i="68"/>
  <c r="V28" i="68"/>
  <c r="AA27" i="68"/>
  <c r="AA28" i="68"/>
  <c r="AA26" i="68"/>
  <c r="Z27" i="68"/>
  <c r="Z26" i="68"/>
  <c r="Z28" i="68"/>
  <c r="U27" i="68"/>
  <c r="U26" i="68"/>
  <c r="U28" i="68"/>
  <c r="T36" i="68"/>
  <c r="T37" i="68"/>
  <c r="T38" i="68" s="1"/>
  <c r="U49" i="68"/>
  <c r="U69" i="68" s="1"/>
  <c r="AC51" i="68"/>
  <c r="AC69" i="68" s="1"/>
  <c r="W49" i="68"/>
  <c r="W51" i="68"/>
  <c r="Z51" i="68"/>
  <c r="Z69" i="68" s="1"/>
  <c r="AC27" i="68"/>
  <c r="T27" i="68"/>
  <c r="T26" i="68"/>
  <c r="T81" i="68"/>
  <c r="Z35" i="68"/>
  <c r="V31" i="68"/>
  <c r="V35" i="68"/>
  <c r="AC81" i="68"/>
  <c r="AA31" i="68"/>
  <c r="AA35" i="68"/>
  <c r="Y31" i="68"/>
  <c r="Y35" i="68"/>
  <c r="X35" i="68"/>
  <c r="X31" i="68"/>
  <c r="W31" i="68"/>
  <c r="AC31" i="68"/>
  <c r="U31" i="68"/>
  <c r="U35" i="68"/>
  <c r="Z81" i="68"/>
  <c r="W81" i="68"/>
  <c r="W35" i="68"/>
  <c r="AC35" i="68"/>
  <c r="AA81" i="68"/>
  <c r="AB31" i="68"/>
  <c r="AB35" i="68"/>
  <c r="Z37" i="68" l="1"/>
  <c r="Z38" i="68" s="1"/>
  <c r="AC28" i="68"/>
  <c r="W27" i="68"/>
  <c r="W28" i="68"/>
  <c r="X27" i="68"/>
  <c r="X26" i="68"/>
  <c r="V69" i="68"/>
  <c r="W69" i="68"/>
  <c r="X69" i="68"/>
  <c r="Y27" i="68"/>
  <c r="Y28" i="68"/>
  <c r="AB37" i="68"/>
  <c r="AB38" i="68" s="1"/>
  <c r="AB36" i="68"/>
  <c r="V37" i="68"/>
  <c r="V38" i="68" s="1"/>
  <c r="V36" i="68"/>
  <c r="X37" i="68"/>
  <c r="X38" i="68" s="1"/>
  <c r="X36" i="68"/>
  <c r="AA37" i="68"/>
  <c r="AA38" i="68" s="1"/>
  <c r="AA36" i="68"/>
  <c r="U37" i="68"/>
  <c r="U38" i="68" s="1"/>
  <c r="U36" i="68"/>
  <c r="AC36" i="68"/>
  <c r="AC37" i="68"/>
  <c r="AC38" i="68" s="1"/>
  <c r="W36" i="68"/>
  <c r="W37" i="68"/>
  <c r="W38" i="68" s="1"/>
  <c r="Y36" i="68"/>
  <c r="Y37" i="68"/>
  <c r="Y38" i="68" s="1"/>
  <c r="B56" i="78" l="1"/>
  <c r="B55" i="78"/>
  <c r="K46" i="78"/>
  <c r="J46" i="78"/>
  <c r="I46" i="78"/>
  <c r="H46" i="78"/>
  <c r="G46" i="78"/>
  <c r="F46" i="78"/>
  <c r="E46" i="78"/>
  <c r="D46" i="78"/>
  <c r="C46" i="78"/>
  <c r="B46" i="78"/>
  <c r="K45" i="78"/>
  <c r="J45" i="78"/>
  <c r="I45" i="78"/>
  <c r="H45" i="78"/>
  <c r="G45" i="78"/>
  <c r="F45" i="78"/>
  <c r="E45" i="78"/>
  <c r="D45" i="78"/>
  <c r="C45" i="78"/>
  <c r="B45" i="78"/>
  <c r="K44" i="78"/>
  <c r="J44" i="78"/>
  <c r="I44" i="78"/>
  <c r="H44" i="78"/>
  <c r="G44" i="78"/>
  <c r="F44" i="78"/>
  <c r="E44" i="78"/>
  <c r="D44" i="78"/>
  <c r="C44" i="78"/>
  <c r="B44" i="78"/>
  <c r="K43" i="78"/>
  <c r="J43" i="78"/>
  <c r="I43" i="78"/>
  <c r="H43" i="78"/>
  <c r="G43" i="78"/>
  <c r="F43" i="78"/>
  <c r="E43" i="78"/>
  <c r="D43" i="78"/>
  <c r="C43" i="78"/>
  <c r="B43" i="78"/>
  <c r="K42" i="78"/>
  <c r="J42" i="78"/>
  <c r="I42" i="78"/>
  <c r="H42" i="78"/>
  <c r="G42" i="78"/>
  <c r="F42" i="78"/>
  <c r="E42" i="78"/>
  <c r="D42" i="78"/>
  <c r="C42" i="78"/>
  <c r="B42" i="78"/>
  <c r="K41" i="78"/>
  <c r="J41" i="78"/>
  <c r="I41" i="78"/>
  <c r="H41" i="78"/>
  <c r="G41" i="78"/>
  <c r="F41" i="78"/>
  <c r="E41" i="78"/>
  <c r="D41" i="78"/>
  <c r="C41" i="78"/>
  <c r="B41" i="78"/>
  <c r="K40" i="78"/>
  <c r="J40" i="78"/>
  <c r="I40" i="78"/>
  <c r="H40" i="78"/>
  <c r="G40" i="78"/>
  <c r="F40" i="78"/>
  <c r="E40" i="78"/>
  <c r="D40" i="78"/>
  <c r="C40" i="78"/>
  <c r="B40" i="78"/>
  <c r="K39" i="78"/>
  <c r="J39" i="78"/>
  <c r="I39" i="78"/>
  <c r="H39" i="78"/>
  <c r="G39" i="78"/>
  <c r="F39" i="78"/>
  <c r="E39" i="78"/>
  <c r="D39" i="78"/>
  <c r="C39" i="78"/>
  <c r="B39" i="78"/>
  <c r="K38" i="78"/>
  <c r="J38" i="78"/>
  <c r="I38" i="78"/>
  <c r="H38" i="78"/>
  <c r="G38" i="78"/>
  <c r="F38" i="78"/>
  <c r="E38" i="78"/>
  <c r="D38" i="78"/>
  <c r="C38" i="78"/>
  <c r="B38" i="78"/>
  <c r="K37" i="78"/>
  <c r="J37" i="78"/>
  <c r="I37" i="78"/>
  <c r="H37" i="78"/>
  <c r="G37" i="78"/>
  <c r="F37" i="78"/>
  <c r="E37" i="78"/>
  <c r="D37" i="78"/>
  <c r="C37" i="78"/>
  <c r="B37" i="78"/>
  <c r="AB11" i="49" l="1"/>
  <c r="P28" i="65" l="1"/>
  <c r="Q28" i="65"/>
  <c r="Q30" i="65"/>
  <c r="Q32" i="65" s="1"/>
  <c r="F27" i="76" l="1"/>
  <c r="E27" i="76"/>
  <c r="H26" i="76"/>
  <c r="G26" i="76"/>
  <c r="H17" i="76"/>
  <c r="H25" i="76" s="1"/>
  <c r="G17" i="76"/>
  <c r="G25" i="76" s="1"/>
  <c r="F17" i="76"/>
  <c r="F26" i="76" s="1"/>
  <c r="E17" i="76"/>
  <c r="E26" i="76" s="1"/>
  <c r="D17" i="76"/>
  <c r="D27" i="76" s="1"/>
  <c r="C17" i="76"/>
  <c r="C25" i="76" s="1"/>
  <c r="S15" i="76"/>
  <c r="R15" i="76"/>
  <c r="Q15" i="76"/>
  <c r="P15" i="76"/>
  <c r="O15" i="76"/>
  <c r="N15" i="76"/>
  <c r="S13" i="76"/>
  <c r="R13" i="76"/>
  <c r="Q13" i="76"/>
  <c r="P13" i="76"/>
  <c r="O13" i="76"/>
  <c r="N13" i="76"/>
  <c r="S12" i="76"/>
  <c r="S17" i="76" s="1"/>
  <c r="R12" i="76"/>
  <c r="R17" i="76" s="1"/>
  <c r="Q12" i="76"/>
  <c r="Q17" i="76" s="1"/>
  <c r="P12" i="76"/>
  <c r="P17" i="76" s="1"/>
  <c r="O12" i="76"/>
  <c r="O17" i="76" s="1"/>
  <c r="N12" i="76"/>
  <c r="N17" i="76" s="1"/>
  <c r="N27" i="76" l="1"/>
  <c r="N26" i="76"/>
  <c r="N25" i="76"/>
  <c r="J25" i="76"/>
  <c r="O26" i="76"/>
  <c r="O27" i="76"/>
  <c r="O25" i="76"/>
  <c r="P26" i="76"/>
  <c r="P27" i="76"/>
  <c r="P25" i="76"/>
  <c r="Q25" i="76"/>
  <c r="Q27" i="76"/>
  <c r="Q26" i="76"/>
  <c r="R25" i="76"/>
  <c r="R26" i="76"/>
  <c r="R27" i="76"/>
  <c r="S27" i="76"/>
  <c r="S25" i="76"/>
  <c r="S26" i="76"/>
  <c r="E25" i="76"/>
  <c r="C26" i="76"/>
  <c r="J26" i="76" s="1"/>
  <c r="G27" i="76"/>
  <c r="F25" i="76"/>
  <c r="D26" i="76"/>
  <c r="H27" i="76"/>
  <c r="D25" i="76"/>
  <c r="C27" i="76"/>
  <c r="E35" i="76" l="1"/>
  <c r="H35" i="76" s="1"/>
  <c r="D35" i="76"/>
  <c r="G35" i="76" s="1"/>
  <c r="J27" i="76"/>
  <c r="E36" i="76"/>
  <c r="H36" i="76" s="1"/>
  <c r="D36" i="76"/>
  <c r="G36" i="76" s="1"/>
  <c r="U25" i="76"/>
  <c r="U26" i="76"/>
  <c r="U27" i="76"/>
  <c r="E37" i="76" l="1"/>
  <c r="H37" i="76" s="1"/>
  <c r="D37" i="76"/>
  <c r="G37" i="76" s="1"/>
  <c r="P37" i="76"/>
  <c r="S37" i="76" s="1"/>
  <c r="O37" i="76"/>
  <c r="R37" i="76" s="1"/>
  <c r="O36" i="76"/>
  <c r="R36" i="76" s="1"/>
  <c r="P36" i="76"/>
  <c r="S36" i="76" s="1"/>
  <c r="P35" i="76"/>
  <c r="S35" i="76" s="1"/>
  <c r="O35" i="76"/>
  <c r="R35" i="76" s="1"/>
  <c r="H30" i="75"/>
  <c r="H29" i="75"/>
  <c r="D26" i="75"/>
  <c r="O25" i="75"/>
  <c r="L25" i="75"/>
  <c r="D25" i="75"/>
  <c r="L24" i="75"/>
  <c r="O24" i="75" s="1"/>
  <c r="D24" i="75"/>
  <c r="D23" i="75"/>
  <c r="D22" i="75"/>
  <c r="D21" i="75"/>
  <c r="D20" i="75"/>
  <c r="D19" i="75"/>
  <c r="L17" i="75"/>
  <c r="O17" i="75" s="1"/>
  <c r="H17" i="75"/>
  <c r="L16" i="75"/>
  <c r="O16" i="75" s="1"/>
  <c r="H16" i="75"/>
  <c r="D15" i="75"/>
  <c r="D14" i="75"/>
  <c r="D13" i="75"/>
  <c r="D12" i="75"/>
  <c r="J280" i="68" l="1"/>
  <c r="J279" i="68"/>
  <c r="J278" i="68"/>
  <c r="J277" i="68"/>
  <c r="J276" i="68"/>
  <c r="J275" i="68"/>
  <c r="I274" i="68"/>
  <c r="H274" i="68"/>
  <c r="G274" i="68"/>
  <c r="F274" i="68"/>
  <c r="E274" i="68"/>
  <c r="D274" i="68"/>
  <c r="C274" i="68"/>
  <c r="B274" i="68"/>
  <c r="J274" i="68" s="1"/>
  <c r="J273" i="68"/>
  <c r="J272" i="68"/>
  <c r="J271" i="68"/>
  <c r="J270" i="68"/>
  <c r="J269" i="68"/>
  <c r="K239" i="68"/>
  <c r="J239" i="68"/>
  <c r="K238" i="68"/>
  <c r="J238" i="68"/>
  <c r="K237" i="68"/>
  <c r="J237" i="68"/>
  <c r="K236" i="68"/>
  <c r="J236" i="68"/>
  <c r="K235" i="68"/>
  <c r="J235" i="68"/>
  <c r="K234" i="68"/>
  <c r="J234" i="68"/>
  <c r="K233" i="68"/>
  <c r="J233" i="68"/>
  <c r="K232" i="68"/>
  <c r="J232" i="68"/>
  <c r="K231" i="68"/>
  <c r="J231" i="68"/>
  <c r="K230" i="68"/>
  <c r="J230" i="68"/>
  <c r="K229" i="68"/>
  <c r="J229" i="68"/>
  <c r="K228" i="68"/>
  <c r="J228" i="68"/>
  <c r="K227" i="68"/>
  <c r="J227" i="68"/>
  <c r="K226" i="68"/>
  <c r="J226" i="68"/>
  <c r="K225" i="68"/>
  <c r="J225" i="68"/>
  <c r="K224" i="68"/>
  <c r="J224" i="68"/>
  <c r="J223" i="68"/>
  <c r="J222" i="68"/>
  <c r="J221" i="68"/>
  <c r="J220" i="68"/>
  <c r="J219" i="68"/>
  <c r="J218" i="68"/>
  <c r="J217" i="68"/>
  <c r="J216" i="68"/>
  <c r="J215" i="68"/>
  <c r="J214" i="68"/>
  <c r="J213" i="68"/>
  <c r="J212" i="68"/>
  <c r="J211" i="68"/>
  <c r="J210" i="68"/>
  <c r="J209" i="68"/>
  <c r="J208" i="68"/>
  <c r="J207" i="68"/>
  <c r="J206" i="68"/>
  <c r="J205" i="68"/>
  <c r="J204" i="68"/>
  <c r="J203" i="68"/>
  <c r="J202" i="68"/>
  <c r="J201" i="68"/>
  <c r="J200" i="68"/>
  <c r="J199" i="68"/>
  <c r="J198" i="68"/>
  <c r="J197" i="68"/>
  <c r="J196" i="68"/>
  <c r="J195" i="68"/>
  <c r="J194" i="68"/>
  <c r="J193" i="68"/>
  <c r="J192" i="68"/>
  <c r="J191" i="68"/>
  <c r="J190" i="68"/>
  <c r="J189" i="68"/>
  <c r="J188" i="68"/>
  <c r="J187" i="68"/>
  <c r="J186" i="68"/>
  <c r="J185" i="68"/>
  <c r="J184" i="68"/>
  <c r="J183" i="68"/>
  <c r="J182" i="68"/>
  <c r="J181" i="68"/>
  <c r="J180" i="68"/>
  <c r="J179" i="68"/>
  <c r="J178" i="68"/>
  <c r="J177" i="68"/>
  <c r="J176" i="68"/>
  <c r="J175" i="68"/>
  <c r="J174" i="68"/>
  <c r="J173" i="68"/>
  <c r="J172" i="68"/>
  <c r="J171" i="68"/>
  <c r="J170" i="68"/>
  <c r="J169" i="68"/>
  <c r="J168" i="68"/>
  <c r="J167" i="68"/>
  <c r="J166" i="68"/>
  <c r="J165" i="68"/>
  <c r="J164" i="68"/>
  <c r="J163" i="68"/>
  <c r="J162" i="68"/>
  <c r="J161" i="68"/>
  <c r="J160" i="68"/>
  <c r="J159" i="68"/>
  <c r="J158" i="68"/>
  <c r="J157" i="68"/>
  <c r="K156" i="68"/>
  <c r="J156" i="68"/>
  <c r="K155" i="68"/>
  <c r="J155" i="68"/>
  <c r="K154" i="68"/>
  <c r="J154" i="68"/>
  <c r="K153" i="68"/>
  <c r="J153" i="68"/>
  <c r="K152" i="68"/>
  <c r="J152" i="68"/>
  <c r="K151" i="68"/>
  <c r="J151" i="68"/>
  <c r="K150" i="68"/>
  <c r="J150" i="68"/>
  <c r="K149" i="68"/>
  <c r="J149" i="68"/>
  <c r="K148" i="68"/>
  <c r="J148" i="68"/>
  <c r="J147" i="68"/>
  <c r="J146" i="68"/>
  <c r="J145" i="68"/>
  <c r="J144" i="68"/>
  <c r="J143" i="68"/>
  <c r="J142" i="68"/>
  <c r="J141" i="68"/>
  <c r="J140" i="68"/>
  <c r="J139" i="68"/>
  <c r="K138" i="68"/>
  <c r="J138" i="68"/>
  <c r="K137" i="68"/>
  <c r="J137" i="68"/>
  <c r="K136" i="68"/>
  <c r="J136" i="68"/>
  <c r="K135" i="68"/>
  <c r="J135" i="68"/>
  <c r="K134" i="68"/>
  <c r="J134" i="68"/>
  <c r="K133" i="68"/>
  <c r="J133" i="68"/>
  <c r="K132" i="68"/>
  <c r="J132" i="68"/>
  <c r="J131" i="68"/>
  <c r="J130" i="68"/>
  <c r="J129" i="68"/>
  <c r="J128" i="68"/>
  <c r="J127" i="68"/>
  <c r="J126" i="68"/>
  <c r="J125" i="68"/>
  <c r="J124" i="68"/>
  <c r="J123" i="68"/>
  <c r="J122" i="68"/>
  <c r="J121" i="68"/>
  <c r="J120" i="68"/>
  <c r="J119" i="68"/>
  <c r="J118" i="68"/>
  <c r="J117" i="68"/>
  <c r="J116" i="68"/>
  <c r="J115" i="68"/>
  <c r="J114" i="68"/>
  <c r="J113" i="68"/>
  <c r="J112" i="68"/>
  <c r="J111" i="68"/>
  <c r="J110" i="68"/>
  <c r="J109" i="68"/>
  <c r="J108" i="68"/>
  <c r="J107" i="68"/>
  <c r="J106" i="68"/>
  <c r="J105" i="68"/>
  <c r="K21" i="68"/>
  <c r="J21" i="68"/>
  <c r="I21" i="68"/>
  <c r="H21" i="68"/>
  <c r="G21" i="68"/>
  <c r="F21" i="68"/>
  <c r="E21" i="68"/>
  <c r="D21" i="68"/>
  <c r="K19" i="68"/>
  <c r="J19" i="68"/>
  <c r="I19" i="68"/>
  <c r="H19" i="68"/>
  <c r="G19" i="68"/>
  <c r="F19" i="68"/>
  <c r="L19" i="68" s="1"/>
  <c r="E19" i="68"/>
  <c r="D19" i="68"/>
  <c r="K9" i="68"/>
  <c r="J9" i="68"/>
  <c r="I9" i="68"/>
  <c r="H9" i="68"/>
  <c r="G9" i="68"/>
  <c r="F9" i="68"/>
  <c r="L9" i="68" s="1"/>
  <c r="E9" i="68"/>
  <c r="D9" i="68"/>
  <c r="K8" i="68"/>
  <c r="J8" i="68"/>
  <c r="I8" i="68"/>
  <c r="H8" i="68"/>
  <c r="G8" i="68"/>
  <c r="F8" i="68"/>
  <c r="E8" i="68"/>
  <c r="D8" i="68"/>
  <c r="K7" i="68"/>
  <c r="J7" i="68"/>
  <c r="I7" i="68"/>
  <c r="H7" i="68"/>
  <c r="G7" i="68"/>
  <c r="F7" i="68"/>
  <c r="E7" i="68"/>
  <c r="D7" i="68"/>
  <c r="K6" i="68"/>
  <c r="J6" i="68"/>
  <c r="I6" i="68"/>
  <c r="H6" i="68"/>
  <c r="G6" i="68"/>
  <c r="F6" i="68"/>
  <c r="E6" i="68"/>
  <c r="D6" i="68"/>
  <c r="I114" i="67"/>
  <c r="I113" i="67"/>
  <c r="I112" i="67"/>
  <c r="I111" i="67"/>
  <c r="I110" i="67"/>
  <c r="I109" i="67"/>
  <c r="I108" i="67"/>
  <c r="I107" i="67"/>
  <c r="I106" i="67"/>
  <c r="I105" i="67"/>
  <c r="I104" i="67"/>
  <c r="I103" i="67"/>
  <c r="I102" i="67"/>
  <c r="I101" i="67"/>
  <c r="I100" i="67"/>
  <c r="I88" i="67"/>
  <c r="I87" i="67"/>
  <c r="I85" i="67"/>
  <c r="I84" i="67"/>
  <c r="I83" i="67"/>
  <c r="I82" i="67"/>
  <c r="I81" i="67"/>
  <c r="I80" i="67"/>
  <c r="I79" i="67"/>
  <c r="I78" i="67"/>
  <c r="I77" i="67"/>
  <c r="I76" i="67"/>
  <c r="I75" i="67"/>
  <c r="I74" i="67"/>
  <c r="V58" i="67"/>
  <c r="V59" i="67" s="1"/>
  <c r="V57" i="67"/>
  <c r="V56" i="67"/>
  <c r="V55" i="67"/>
  <c r="V54" i="67"/>
  <c r="V53" i="67"/>
  <c r="V52" i="67"/>
  <c r="X36" i="67"/>
  <c r="W36" i="67"/>
  <c r="V36" i="67"/>
  <c r="U36" i="67"/>
  <c r="X35" i="67"/>
  <c r="Z35" i="67" s="1"/>
  <c r="W35" i="67"/>
  <c r="V35" i="67"/>
  <c r="Y35" i="67" s="1"/>
  <c r="U35" i="67"/>
  <c r="X34" i="67"/>
  <c r="Z34" i="67" s="1"/>
  <c r="W34" i="67"/>
  <c r="V34" i="67"/>
  <c r="Y34" i="67" s="1"/>
  <c r="U34" i="67"/>
  <c r="X33" i="67"/>
  <c r="Z33" i="67" s="1"/>
  <c r="W33" i="67"/>
  <c r="V33" i="67"/>
  <c r="Y33" i="67" s="1"/>
  <c r="U33" i="67"/>
  <c r="X32" i="67"/>
  <c r="Z32" i="67" s="1"/>
  <c r="W32" i="67"/>
  <c r="V32" i="67"/>
  <c r="Y32" i="67" s="1"/>
  <c r="U32" i="67"/>
  <c r="X31" i="67"/>
  <c r="Z31" i="67" s="1"/>
  <c r="W31" i="67"/>
  <c r="V31" i="67"/>
  <c r="Y31" i="67" s="1"/>
  <c r="U31" i="67"/>
  <c r="X30" i="67"/>
  <c r="Z30" i="67" s="1"/>
  <c r="W30" i="67"/>
  <c r="V30" i="67"/>
  <c r="Y30" i="67" s="1"/>
  <c r="U30" i="67"/>
  <c r="X29" i="67"/>
  <c r="Z29" i="67" s="1"/>
  <c r="W29" i="67"/>
  <c r="V29" i="67"/>
  <c r="Y29" i="67" s="1"/>
  <c r="U29" i="67"/>
  <c r="X28" i="67"/>
  <c r="Z28" i="67" s="1"/>
  <c r="V28" i="67"/>
  <c r="Y28" i="67" s="1"/>
  <c r="Z27" i="67"/>
  <c r="Y27" i="67"/>
  <c r="W27" i="67"/>
  <c r="Q4" i="67"/>
  <c r="Q34" i="65"/>
  <c r="P30" i="65"/>
  <c r="Q29" i="65"/>
  <c r="Q31" i="65" s="1"/>
  <c r="P29" i="65"/>
  <c r="P31" i="65" s="1"/>
  <c r="O28" i="65"/>
  <c r="O31" i="65" s="1"/>
  <c r="Q17" i="65"/>
  <c r="P14" i="65"/>
  <c r="O14" i="65"/>
  <c r="Q13" i="65"/>
  <c r="P13" i="65"/>
  <c r="O13" i="65"/>
  <c r="Q11" i="65"/>
  <c r="Q14" i="65" s="1"/>
  <c r="P6" i="65"/>
  <c r="C6" i="64"/>
  <c r="DK42" i="49"/>
  <c r="DK41" i="49"/>
  <c r="DK40" i="49"/>
  <c r="DK39" i="49"/>
  <c r="DK38" i="49"/>
  <c r="DK37" i="49"/>
  <c r="DK36" i="49"/>
  <c r="DK35" i="49"/>
  <c r="DK34" i="49"/>
  <c r="DK33" i="49"/>
  <c r="DK32" i="49"/>
  <c r="DK31" i="49"/>
  <c r="DK30" i="49"/>
  <c r="DK29" i="49"/>
  <c r="DK28" i="49"/>
  <c r="DK27" i="49"/>
  <c r="DK26" i="49"/>
  <c r="DK25" i="49"/>
  <c r="DK24" i="49"/>
  <c r="DK23" i="49"/>
  <c r="DK22" i="49"/>
  <c r="DK21" i="49"/>
  <c r="DK20" i="49"/>
  <c r="DK19" i="49"/>
  <c r="DK18" i="49"/>
  <c r="DK17" i="49"/>
  <c r="DK16" i="49"/>
  <c r="DK15" i="49"/>
  <c r="DK14" i="49"/>
  <c r="DK13" i="49"/>
  <c r="DK12" i="49"/>
  <c r="DK11" i="49"/>
  <c r="DK10" i="49"/>
  <c r="DK9" i="49"/>
  <c r="DK8" i="49"/>
  <c r="DK7" i="49"/>
  <c r="DJ42" i="49"/>
  <c r="DJ41" i="49"/>
  <c r="DJ40" i="49"/>
  <c r="DJ39" i="49"/>
  <c r="DJ38" i="49"/>
  <c r="DJ37" i="49"/>
  <c r="DJ36" i="49"/>
  <c r="DJ35" i="49"/>
  <c r="DJ34" i="49"/>
  <c r="DJ33" i="49"/>
  <c r="DJ32" i="49"/>
  <c r="DJ31" i="49"/>
  <c r="DJ30" i="49"/>
  <c r="DJ29" i="49"/>
  <c r="DJ28" i="49"/>
  <c r="DJ27" i="49"/>
  <c r="DJ26" i="49"/>
  <c r="DJ25" i="49"/>
  <c r="DJ24" i="49"/>
  <c r="DJ23" i="49"/>
  <c r="DJ22" i="49"/>
  <c r="DJ21" i="49"/>
  <c r="DJ20" i="49"/>
  <c r="DJ19" i="49"/>
  <c r="DJ18" i="49"/>
  <c r="DJ17" i="49"/>
  <c r="DJ16" i="49"/>
  <c r="DJ15" i="49"/>
  <c r="DJ14" i="49"/>
  <c r="DJ13" i="49"/>
  <c r="DJ12" i="49"/>
  <c r="DJ11" i="49"/>
  <c r="DJ10" i="49"/>
  <c r="DJ9" i="49"/>
  <c r="DJ8" i="49"/>
  <c r="DJ7" i="49"/>
  <c r="S138" i="57"/>
  <c r="X141" i="57"/>
  <c r="X140" i="57"/>
  <c r="X139" i="57"/>
  <c r="X138" i="57"/>
  <c r="X137" i="57"/>
  <c r="X136" i="57"/>
  <c r="X135" i="57"/>
  <c r="X134" i="57"/>
  <c r="X133" i="57"/>
  <c r="X132" i="57"/>
  <c r="X131" i="57"/>
  <c r="X130" i="57"/>
  <c r="X129" i="57"/>
  <c r="X128" i="57"/>
  <c r="X127" i="57"/>
  <c r="X126" i="57"/>
  <c r="X125" i="57"/>
  <c r="X124" i="57"/>
  <c r="X123" i="57"/>
  <c r="X122" i="57"/>
  <c r="X121" i="57"/>
  <c r="X120" i="57"/>
  <c r="X119" i="57"/>
  <c r="X118" i="57"/>
  <c r="X117" i="57"/>
  <c r="X116" i="57"/>
  <c r="X115" i="57"/>
  <c r="X114" i="57"/>
  <c r="X113" i="57"/>
  <c r="X112" i="57"/>
  <c r="X111" i="57"/>
  <c r="X110" i="57"/>
  <c r="X109" i="57"/>
  <c r="X108" i="57"/>
  <c r="X107" i="57"/>
  <c r="X106" i="57"/>
  <c r="X105" i="57"/>
  <c r="X104" i="57"/>
  <c r="X103" i="57"/>
  <c r="X102" i="57"/>
  <c r="X101" i="57"/>
  <c r="X100" i="57"/>
  <c r="X99" i="57"/>
  <c r="X98" i="57"/>
  <c r="X97" i="57"/>
  <c r="X96" i="57"/>
  <c r="X95" i="57"/>
  <c r="X94" i="57"/>
  <c r="X93" i="57"/>
  <c r="X92" i="57"/>
  <c r="X91" i="57"/>
  <c r="X90" i="57"/>
  <c r="X89" i="57"/>
  <c r="X88" i="57"/>
  <c r="X87" i="57"/>
  <c r="X86" i="57"/>
  <c r="X85" i="57"/>
  <c r="X84" i="57"/>
  <c r="X83" i="57"/>
  <c r="X82" i="57"/>
  <c r="X81" i="57"/>
  <c r="X80" i="57"/>
  <c r="X79" i="57"/>
  <c r="X78" i="57"/>
  <c r="X77" i="57"/>
  <c r="X76" i="57"/>
  <c r="X75" i="57"/>
  <c r="X74" i="57"/>
  <c r="X73" i="57"/>
  <c r="X72" i="57"/>
  <c r="X71" i="57"/>
  <c r="X70" i="57"/>
  <c r="X69" i="57"/>
  <c r="X68" i="57"/>
  <c r="X67" i="57"/>
  <c r="X66" i="57"/>
  <c r="X65" i="57"/>
  <c r="X64" i="57"/>
  <c r="X63" i="57"/>
  <c r="X62" i="57"/>
  <c r="X61" i="57"/>
  <c r="X60" i="57"/>
  <c r="X59" i="57"/>
  <c r="X57" i="57"/>
  <c r="X56" i="57"/>
  <c r="X55" i="57"/>
  <c r="X54" i="57"/>
  <c r="X53" i="57"/>
  <c r="X52" i="57"/>
  <c r="X51" i="57"/>
  <c r="X50" i="57"/>
  <c r="X49" i="57"/>
  <c r="X48" i="57"/>
  <c r="X47" i="57"/>
  <c r="X46" i="57"/>
  <c r="X45" i="57"/>
  <c r="X44" i="57"/>
  <c r="X43" i="57"/>
  <c r="X42" i="57"/>
  <c r="X41" i="57"/>
  <c r="X40" i="57"/>
  <c r="X39" i="57"/>
  <c r="X38" i="57"/>
  <c r="X37" i="57"/>
  <c r="X36" i="57"/>
  <c r="X35" i="57"/>
  <c r="X34" i="57"/>
  <c r="X33" i="57"/>
  <c r="X32" i="57"/>
  <c r="X31" i="57"/>
  <c r="X30" i="57"/>
  <c r="X29" i="57"/>
  <c r="X28" i="57"/>
  <c r="X27" i="57"/>
  <c r="X26" i="57"/>
  <c r="X25" i="57"/>
  <c r="X24" i="57"/>
  <c r="X23" i="57"/>
  <c r="X22" i="57"/>
  <c r="X21" i="57"/>
  <c r="X20" i="57"/>
  <c r="X19" i="57"/>
  <c r="X18" i="57"/>
  <c r="X17" i="57"/>
  <c r="X16" i="57"/>
  <c r="X15" i="57"/>
  <c r="X14" i="57"/>
  <c r="X13" i="57"/>
  <c r="X12" i="57"/>
  <c r="X11" i="57"/>
  <c r="X10" i="57"/>
  <c r="X9" i="57"/>
  <c r="X8" i="57"/>
  <c r="X7" i="57"/>
  <c r="U7" i="57"/>
  <c r="U8" i="57"/>
  <c r="U9" i="57"/>
  <c r="U10" i="57"/>
  <c r="U11" i="57"/>
  <c r="U12" i="57"/>
  <c r="U13" i="57"/>
  <c r="U14" i="57"/>
  <c r="U15" i="57"/>
  <c r="U16" i="57"/>
  <c r="U17" i="57"/>
  <c r="U18" i="57"/>
  <c r="U19" i="57"/>
  <c r="U20" i="57"/>
  <c r="U21" i="57"/>
  <c r="U22" i="57"/>
  <c r="U23" i="57"/>
  <c r="U24" i="57"/>
  <c r="U25" i="57"/>
  <c r="U26" i="57"/>
  <c r="U27" i="57"/>
  <c r="U28" i="57"/>
  <c r="U29" i="57"/>
  <c r="U30" i="57"/>
  <c r="U31" i="57"/>
  <c r="U32" i="57"/>
  <c r="U33" i="57"/>
  <c r="U34" i="57"/>
  <c r="U35" i="57"/>
  <c r="U36" i="57"/>
  <c r="U37" i="57"/>
  <c r="U38" i="57"/>
  <c r="U39" i="57"/>
  <c r="U40" i="57"/>
  <c r="U41" i="57"/>
  <c r="U42" i="57"/>
  <c r="U43" i="57"/>
  <c r="U44" i="57"/>
  <c r="U45" i="57"/>
  <c r="U46" i="57"/>
  <c r="U47" i="57"/>
  <c r="U48" i="57"/>
  <c r="U49" i="57"/>
  <c r="U50" i="57"/>
  <c r="U51" i="57"/>
  <c r="U52" i="57"/>
  <c r="U53" i="57"/>
  <c r="U54" i="57"/>
  <c r="U55" i="57"/>
  <c r="U56" i="57"/>
  <c r="U57" i="57"/>
  <c r="U59" i="57"/>
  <c r="U60" i="57"/>
  <c r="U61" i="57"/>
  <c r="U62" i="57"/>
  <c r="U63" i="57"/>
  <c r="U64" i="57"/>
  <c r="U65" i="57"/>
  <c r="U66" i="57"/>
  <c r="U67" i="57"/>
  <c r="U68" i="57"/>
  <c r="U69" i="57"/>
  <c r="U70" i="57"/>
  <c r="U71" i="57"/>
  <c r="U72" i="57"/>
  <c r="U73" i="57"/>
  <c r="U74" i="57"/>
  <c r="U75" i="57"/>
  <c r="U76" i="57"/>
  <c r="U77" i="57"/>
  <c r="U78" i="57"/>
  <c r="U79" i="57"/>
  <c r="U80" i="57"/>
  <c r="U81" i="57"/>
  <c r="U82" i="57"/>
  <c r="U83" i="57"/>
  <c r="U84" i="57"/>
  <c r="U85" i="57"/>
  <c r="U86" i="57"/>
  <c r="U87" i="57"/>
  <c r="U88" i="57"/>
  <c r="U89" i="57"/>
  <c r="U90" i="57"/>
  <c r="U91" i="57"/>
  <c r="U92" i="57"/>
  <c r="U93" i="57"/>
  <c r="U94" i="57"/>
  <c r="U95" i="57"/>
  <c r="U96" i="57"/>
  <c r="U97" i="57"/>
  <c r="U98" i="57"/>
  <c r="U99" i="57"/>
  <c r="U100" i="57"/>
  <c r="U101" i="57"/>
  <c r="U102" i="57"/>
  <c r="U103" i="57"/>
  <c r="U104" i="57"/>
  <c r="U105" i="57"/>
  <c r="U106" i="57"/>
  <c r="U107" i="57"/>
  <c r="U108" i="57"/>
  <c r="U109" i="57"/>
  <c r="U110" i="57"/>
  <c r="U111" i="57"/>
  <c r="U112" i="57"/>
  <c r="U113" i="57"/>
  <c r="U114" i="57"/>
  <c r="U115" i="57"/>
  <c r="U116" i="57"/>
  <c r="U117" i="57"/>
  <c r="U118" i="57"/>
  <c r="U119" i="57"/>
  <c r="U120" i="57"/>
  <c r="U121" i="57"/>
  <c r="U122" i="57"/>
  <c r="U123" i="57"/>
  <c r="U124" i="57"/>
  <c r="U125" i="57"/>
  <c r="U126" i="57"/>
  <c r="U127" i="57"/>
  <c r="U128" i="57"/>
  <c r="U129" i="57"/>
  <c r="U130" i="57"/>
  <c r="U131" i="57"/>
  <c r="U132" i="57"/>
  <c r="U133" i="57"/>
  <c r="U134" i="57"/>
  <c r="U135" i="57"/>
  <c r="U136" i="57"/>
  <c r="U137" i="57"/>
  <c r="U138" i="57"/>
  <c r="U139" i="57"/>
  <c r="U140" i="57"/>
  <c r="U141" i="57"/>
  <c r="T7" i="57"/>
  <c r="T8" i="57"/>
  <c r="T9" i="57"/>
  <c r="T10" i="57"/>
  <c r="T11" i="57"/>
  <c r="T12" i="57"/>
  <c r="T13" i="57"/>
  <c r="T14" i="57"/>
  <c r="T15" i="57"/>
  <c r="T16" i="57"/>
  <c r="T17" i="57"/>
  <c r="T18" i="57"/>
  <c r="T19" i="57"/>
  <c r="T20" i="57"/>
  <c r="T21" i="57"/>
  <c r="T22" i="57"/>
  <c r="T23" i="57"/>
  <c r="T24" i="57"/>
  <c r="T25" i="57"/>
  <c r="T26" i="57"/>
  <c r="T27" i="57"/>
  <c r="T28" i="57"/>
  <c r="T29" i="57"/>
  <c r="T30" i="57"/>
  <c r="T31" i="57"/>
  <c r="T32" i="57"/>
  <c r="T33" i="57"/>
  <c r="T34" i="57"/>
  <c r="T35" i="57"/>
  <c r="T36" i="57"/>
  <c r="T37" i="57"/>
  <c r="T38" i="57"/>
  <c r="T39" i="57"/>
  <c r="T40" i="57"/>
  <c r="T41" i="57"/>
  <c r="T42" i="57"/>
  <c r="T43" i="57"/>
  <c r="T44" i="57"/>
  <c r="T45" i="57"/>
  <c r="T46" i="57"/>
  <c r="T47" i="57"/>
  <c r="T48" i="57"/>
  <c r="T49" i="57"/>
  <c r="T50" i="57"/>
  <c r="T51" i="57"/>
  <c r="T52" i="57"/>
  <c r="T53" i="57"/>
  <c r="T54" i="57"/>
  <c r="T55" i="57"/>
  <c r="T56" i="57"/>
  <c r="T57" i="57"/>
  <c r="T59" i="57"/>
  <c r="T60" i="57"/>
  <c r="T61" i="57"/>
  <c r="T62" i="57"/>
  <c r="T63" i="57"/>
  <c r="T64" i="57"/>
  <c r="T65" i="57"/>
  <c r="T66" i="57"/>
  <c r="T67" i="57"/>
  <c r="T68" i="57"/>
  <c r="T69" i="57"/>
  <c r="T70" i="57"/>
  <c r="T71" i="57"/>
  <c r="T72" i="57"/>
  <c r="T73" i="57"/>
  <c r="T74" i="57"/>
  <c r="T75" i="57"/>
  <c r="T76" i="57"/>
  <c r="T77" i="57"/>
  <c r="T78" i="57"/>
  <c r="T79" i="57"/>
  <c r="T80" i="57"/>
  <c r="T81" i="57"/>
  <c r="T82" i="57"/>
  <c r="T83" i="57"/>
  <c r="T84" i="57"/>
  <c r="T85" i="57"/>
  <c r="T86" i="57"/>
  <c r="T87" i="57"/>
  <c r="T88" i="57"/>
  <c r="T89" i="57"/>
  <c r="T90" i="57"/>
  <c r="T91" i="57"/>
  <c r="T92" i="57"/>
  <c r="T93" i="57"/>
  <c r="T94" i="57"/>
  <c r="T95" i="57"/>
  <c r="T96" i="57"/>
  <c r="T97" i="57"/>
  <c r="T98" i="57"/>
  <c r="T99" i="57"/>
  <c r="T100" i="57"/>
  <c r="T101" i="57"/>
  <c r="T102" i="57"/>
  <c r="T103" i="57"/>
  <c r="T104" i="57"/>
  <c r="T105" i="57"/>
  <c r="T106" i="57"/>
  <c r="T107" i="57"/>
  <c r="T108" i="57"/>
  <c r="T109" i="57"/>
  <c r="T110" i="57"/>
  <c r="T111" i="57"/>
  <c r="T112" i="57"/>
  <c r="T113" i="57"/>
  <c r="T114" i="57"/>
  <c r="T115" i="57"/>
  <c r="T116" i="57"/>
  <c r="T117" i="57"/>
  <c r="T118" i="57"/>
  <c r="T119" i="57"/>
  <c r="T120" i="57"/>
  <c r="T121" i="57"/>
  <c r="T122" i="57"/>
  <c r="T123" i="57"/>
  <c r="T124" i="57"/>
  <c r="T125" i="57"/>
  <c r="T126" i="57"/>
  <c r="T127" i="57"/>
  <c r="T128" i="57"/>
  <c r="T129" i="57"/>
  <c r="T130" i="57"/>
  <c r="T131" i="57"/>
  <c r="T132" i="57"/>
  <c r="T133" i="57"/>
  <c r="T134" i="57"/>
  <c r="T135" i="57"/>
  <c r="T136" i="57"/>
  <c r="T137" i="57"/>
  <c r="T138" i="57"/>
  <c r="T139" i="57"/>
  <c r="T140" i="57"/>
  <c r="T141" i="57"/>
  <c r="S140" i="57"/>
  <c r="S139" i="57"/>
  <c r="S135" i="57"/>
  <c r="S134" i="57"/>
  <c r="S133" i="57"/>
  <c r="S132" i="57"/>
  <c r="S131" i="57"/>
  <c r="S130" i="57"/>
  <c r="S129" i="57"/>
  <c r="S128" i="57"/>
  <c r="S127" i="57"/>
  <c r="S126" i="57"/>
  <c r="S125" i="57"/>
  <c r="S124" i="57"/>
  <c r="S123" i="57"/>
  <c r="S122" i="57"/>
  <c r="S121" i="57"/>
  <c r="S120" i="57"/>
  <c r="S119" i="57"/>
  <c r="S118" i="57"/>
  <c r="S117" i="57"/>
  <c r="S116" i="57"/>
  <c r="S115" i="57"/>
  <c r="S114" i="57"/>
  <c r="S113" i="57"/>
  <c r="S112" i="57"/>
  <c r="S111" i="57"/>
  <c r="S110" i="57"/>
  <c r="S109" i="57"/>
  <c r="S108" i="57"/>
  <c r="S107" i="57"/>
  <c r="S106" i="57"/>
  <c r="S105" i="57"/>
  <c r="S104" i="57"/>
  <c r="S103" i="57"/>
  <c r="S102" i="57"/>
  <c r="S101" i="57"/>
  <c r="S100" i="57"/>
  <c r="S99" i="57"/>
  <c r="S98" i="57"/>
  <c r="S97" i="57"/>
  <c r="S96" i="57"/>
  <c r="S95" i="57"/>
  <c r="S94" i="57"/>
  <c r="S93" i="57"/>
  <c r="S92" i="57"/>
  <c r="S91" i="57"/>
  <c r="S90" i="57"/>
  <c r="S89" i="57"/>
  <c r="S88" i="57"/>
  <c r="S87" i="57"/>
  <c r="S86" i="57"/>
  <c r="S85" i="57"/>
  <c r="S84" i="57"/>
  <c r="S83" i="57"/>
  <c r="S82" i="57"/>
  <c r="S81" i="57"/>
  <c r="S80" i="57"/>
  <c r="S79" i="57"/>
  <c r="S78" i="57"/>
  <c r="S77" i="57"/>
  <c r="S76" i="57"/>
  <c r="S75" i="57"/>
  <c r="S74" i="57"/>
  <c r="S73" i="57"/>
  <c r="S72" i="57"/>
  <c r="S71" i="57"/>
  <c r="S70" i="57"/>
  <c r="S69" i="57"/>
  <c r="S68" i="57"/>
  <c r="S67" i="57"/>
  <c r="S66" i="57"/>
  <c r="S65" i="57"/>
  <c r="S64" i="57"/>
  <c r="S63" i="57"/>
  <c r="S62" i="57"/>
  <c r="S61" i="57"/>
  <c r="S60" i="57"/>
  <c r="S59" i="57"/>
  <c r="S57" i="57"/>
  <c r="S56" i="57"/>
  <c r="S55" i="57"/>
  <c r="S54" i="57"/>
  <c r="S53" i="57"/>
  <c r="S52" i="57"/>
  <c r="S51" i="57"/>
  <c r="S50" i="57"/>
  <c r="S49" i="57"/>
  <c r="S48" i="57"/>
  <c r="S47" i="57"/>
  <c r="S46" i="57"/>
  <c r="S45" i="57"/>
  <c r="S44" i="57"/>
  <c r="S43" i="57"/>
  <c r="S42" i="57"/>
  <c r="S41" i="57"/>
  <c r="S40" i="57"/>
  <c r="S39" i="57"/>
  <c r="S38" i="57"/>
  <c r="S37" i="57"/>
  <c r="S36" i="57"/>
  <c r="S35" i="57"/>
  <c r="S34" i="57"/>
  <c r="S33" i="57"/>
  <c r="S32" i="57"/>
  <c r="S31" i="57"/>
  <c r="S30" i="57"/>
  <c r="S29" i="57"/>
  <c r="S28" i="57"/>
  <c r="S27" i="57"/>
  <c r="S26" i="57"/>
  <c r="S25" i="57"/>
  <c r="S24" i="57"/>
  <c r="S23" i="57"/>
  <c r="S22" i="57"/>
  <c r="S21" i="57"/>
  <c r="S20" i="57"/>
  <c r="S19" i="57"/>
  <c r="S18" i="57"/>
  <c r="S17" i="57"/>
  <c r="S16" i="57"/>
  <c r="S15" i="57"/>
  <c r="S14" i="57"/>
  <c r="S13" i="57"/>
  <c r="S12" i="57"/>
  <c r="S11" i="57"/>
  <c r="S10" i="57"/>
  <c r="S9" i="57"/>
  <c r="S8" i="57"/>
  <c r="S7" i="57"/>
  <c r="IV7" i="45"/>
  <c r="IV8" i="45"/>
  <c r="IV9" i="45"/>
  <c r="IV10" i="45"/>
  <c r="IV11" i="45"/>
  <c r="IV12" i="45"/>
  <c r="IV13" i="45"/>
  <c r="IV14" i="45"/>
  <c r="IV15" i="45"/>
  <c r="IV16" i="45"/>
  <c r="IV17" i="45"/>
  <c r="AI5" i="21"/>
  <c r="AI6" i="21"/>
  <c r="AI7" i="21"/>
  <c r="AI8" i="21"/>
  <c r="AI9" i="21"/>
  <c r="E28" i="65" l="1"/>
  <c r="E32" i="65"/>
  <c r="Y36" i="67"/>
  <c r="Z36" i="67"/>
  <c r="G10" i="68"/>
  <c r="I27" i="68" s="1"/>
  <c r="I28" i="68" s="1"/>
  <c r="H10" i="68"/>
  <c r="J27" i="68" s="1"/>
  <c r="J28" i="68" s="1"/>
  <c r="I10" i="68"/>
  <c r="K27" i="68" s="1"/>
  <c r="K28" i="68" s="1"/>
  <c r="L7" i="68"/>
  <c r="D10" i="68"/>
  <c r="D27" i="68" s="1"/>
  <c r="J10" i="68"/>
  <c r="L27" i="68" s="1"/>
  <c r="L28" i="68" s="1"/>
  <c r="E10" i="68"/>
  <c r="E27" i="68" s="1"/>
  <c r="E28" i="68" s="1"/>
  <c r="K10" i="68"/>
  <c r="M27" i="68" s="1"/>
  <c r="M28" i="68" s="1"/>
  <c r="Q18" i="65"/>
  <c r="P32" i="65"/>
  <c r="P18" i="65"/>
  <c r="F10" i="68"/>
  <c r="G27" i="68" s="1"/>
  <c r="G28" i="68" s="1"/>
  <c r="O18" i="65"/>
  <c r="L8" i="68"/>
  <c r="O32" i="65"/>
  <c r="L6" i="68"/>
  <c r="S141" i="57"/>
  <c r="S136" i="57"/>
  <c r="S137" i="57"/>
  <c r="CD28" i="49"/>
  <c r="E33" i="65" l="1"/>
  <c r="E34" i="65" s="1"/>
  <c r="L10" i="68"/>
  <c r="E29" i="65"/>
  <c r="N27" i="68"/>
  <c r="D28" i="68"/>
  <c r="N28" i="68" s="1"/>
  <c r="Y10" i="63"/>
  <c r="AD9" i="63"/>
  <c r="AC9" i="63"/>
  <c r="AB9" i="63"/>
  <c r="U9" i="63"/>
  <c r="V9" i="63" s="1"/>
  <c r="W9" i="63" s="1"/>
  <c r="X9" i="63" s="1"/>
  <c r="Z9" i="63" s="1"/>
  <c r="N9" i="63"/>
  <c r="M9" i="63"/>
  <c r="L9" i="63"/>
  <c r="G9" i="63"/>
  <c r="AD8" i="63"/>
  <c r="AC8" i="63"/>
  <c r="AB8" i="63"/>
  <c r="U8" i="63"/>
  <c r="V8" i="63" s="1"/>
  <c r="W8" i="63" s="1"/>
  <c r="X8" i="63" s="1"/>
  <c r="Z8" i="63" s="1"/>
  <c r="N8" i="63"/>
  <c r="M8" i="63"/>
  <c r="L8" i="63"/>
  <c r="G8" i="63"/>
  <c r="AD7" i="63"/>
  <c r="AC7" i="63"/>
  <c r="AB7" i="63"/>
  <c r="U7" i="63"/>
  <c r="V7" i="63" s="1"/>
  <c r="W7" i="63" s="1"/>
  <c r="X7" i="63" s="1"/>
  <c r="Z7" i="63" s="1"/>
  <c r="N7" i="63"/>
  <c r="M7" i="63"/>
  <c r="L7" i="63"/>
  <c r="G7" i="63"/>
  <c r="AD6" i="63"/>
  <c r="AC6" i="63"/>
  <c r="AB6" i="63"/>
  <c r="U6" i="63"/>
  <c r="V6" i="63" s="1"/>
  <c r="W6" i="63" s="1"/>
  <c r="X6" i="63" s="1"/>
  <c r="Z6" i="63" s="1"/>
  <c r="N6" i="63"/>
  <c r="M6" i="63"/>
  <c r="L6" i="63"/>
  <c r="G6" i="63"/>
  <c r="AD5" i="63"/>
  <c r="AC5" i="63"/>
  <c r="AB5" i="63"/>
  <c r="U5" i="63"/>
  <c r="V5" i="63" s="1"/>
  <c r="W5" i="63" s="1"/>
  <c r="X5" i="63" s="1"/>
  <c r="Z5" i="63" s="1"/>
  <c r="N5" i="63"/>
  <c r="M5" i="63"/>
  <c r="L5" i="63"/>
  <c r="G5" i="63"/>
  <c r="AD4" i="63"/>
  <c r="AC4" i="63"/>
  <c r="AB4" i="63"/>
  <c r="AJ10" i="62"/>
  <c r="BD9" i="62"/>
  <c r="BN9" i="62" s="1"/>
  <c r="BC9" i="62"/>
  <c r="BM9" i="62" s="1"/>
  <c r="BB9" i="62"/>
  <c r="BL9" i="62" s="1"/>
  <c r="AP9" i="62"/>
  <c r="AO9" i="62"/>
  <c r="AN9" i="62"/>
  <c r="AM9" i="62"/>
  <c r="AF9" i="62"/>
  <c r="AG9" i="62" s="1"/>
  <c r="AH9" i="62" s="1"/>
  <c r="AI9" i="62" s="1"/>
  <c r="AK9" i="62" s="1"/>
  <c r="AB9" i="62"/>
  <c r="AA9" i="62"/>
  <c r="Z9" i="62"/>
  <c r="V9" i="62"/>
  <c r="AQ9" i="62" s="1"/>
  <c r="AX9" i="62" s="1"/>
  <c r="M9" i="62"/>
  <c r="E9" i="62"/>
  <c r="BL8" i="62"/>
  <c r="BD8" i="62"/>
  <c r="BN8" i="62" s="1"/>
  <c r="BC8" i="62"/>
  <c r="BM8" i="62" s="1"/>
  <c r="BB8" i="62"/>
  <c r="AO8" i="62"/>
  <c r="AN8" i="62"/>
  <c r="AM8" i="62"/>
  <c r="AF8" i="62"/>
  <c r="AG8" i="62" s="1"/>
  <c r="AH8" i="62" s="1"/>
  <c r="AI8" i="62" s="1"/>
  <c r="AK8" i="62" s="1"/>
  <c r="AB8" i="62"/>
  <c r="AA8" i="62"/>
  <c r="Z8" i="62"/>
  <c r="V8" i="62"/>
  <c r="AQ8" i="62" s="1"/>
  <c r="AX8" i="62" s="1"/>
  <c r="M8" i="62"/>
  <c r="E8" i="62"/>
  <c r="AP8" i="62" s="1"/>
  <c r="BD7" i="62"/>
  <c r="BN7" i="62" s="1"/>
  <c r="BC7" i="62"/>
  <c r="BM7" i="62" s="1"/>
  <c r="BB7" i="62"/>
  <c r="BL7" i="62" s="1"/>
  <c r="AO7" i="62"/>
  <c r="AN7" i="62"/>
  <c r="AM7" i="62"/>
  <c r="AF7" i="62"/>
  <c r="AG7" i="62" s="1"/>
  <c r="AH7" i="62" s="1"/>
  <c r="AI7" i="62" s="1"/>
  <c r="AK7" i="62" s="1"/>
  <c r="AB7" i="62"/>
  <c r="AA7" i="62"/>
  <c r="Z7" i="62"/>
  <c r="V7" i="62"/>
  <c r="AQ7" i="62" s="1"/>
  <c r="AX7" i="62" s="1"/>
  <c r="M7" i="62"/>
  <c r="E7" i="62"/>
  <c r="AP7" i="62" s="1"/>
  <c r="BD6" i="62"/>
  <c r="BN6" i="62" s="1"/>
  <c r="BC6" i="62"/>
  <c r="BM6" i="62" s="1"/>
  <c r="BB6" i="62"/>
  <c r="BL6" i="62" s="1"/>
  <c r="AO6" i="62"/>
  <c r="AN6" i="62"/>
  <c r="AM6" i="62"/>
  <c r="AF6" i="62"/>
  <c r="AG6" i="62" s="1"/>
  <c r="AH6" i="62" s="1"/>
  <c r="AI6" i="62" s="1"/>
  <c r="AK6" i="62" s="1"/>
  <c r="AB6" i="62"/>
  <c r="AA6" i="62"/>
  <c r="Z6" i="62"/>
  <c r="V6" i="62"/>
  <c r="AQ6" i="62" s="1"/>
  <c r="AX6" i="62" s="1"/>
  <c r="M6" i="62"/>
  <c r="E6" i="62"/>
  <c r="AP6" i="62" s="1"/>
  <c r="BD5" i="62"/>
  <c r="BN5" i="62" s="1"/>
  <c r="BC5" i="62"/>
  <c r="BM5" i="62" s="1"/>
  <c r="BB5" i="62"/>
  <c r="BL5" i="62" s="1"/>
  <c r="AQ5" i="62"/>
  <c r="AX5" i="62" s="1"/>
  <c r="AO5" i="62"/>
  <c r="AN5" i="62"/>
  <c r="AM5" i="62"/>
  <c r="AF5" i="62"/>
  <c r="AG5" i="62" s="1"/>
  <c r="AH5" i="62" s="1"/>
  <c r="AI5" i="62" s="1"/>
  <c r="AK5" i="62" s="1"/>
  <c r="AB5" i="62"/>
  <c r="AA5" i="62"/>
  <c r="Z5" i="62"/>
  <c r="V5" i="62"/>
  <c r="M5" i="62"/>
  <c r="E5" i="62"/>
  <c r="AP5" i="62" s="1"/>
  <c r="BN4" i="62"/>
  <c r="BM4" i="62"/>
  <c r="BD4" i="62"/>
  <c r="BC4" i="62"/>
  <c r="BB4" i="62"/>
  <c r="BL4" i="62" s="1"/>
  <c r="AQ4" i="62"/>
  <c r="AP4" i="62"/>
  <c r="AO4" i="62"/>
  <c r="AN4" i="62"/>
  <c r="AM4" i="62"/>
  <c r="E35" i="65" l="1"/>
  <c r="Z10" i="63"/>
  <c r="H24" i="26" s="1"/>
  <c r="AK10" i="62"/>
  <c r="H25" i="26" s="1"/>
  <c r="Y10" i="61"/>
  <c r="AD9" i="61"/>
  <c r="AC9" i="61"/>
  <c r="AB9" i="61"/>
  <c r="U9" i="61"/>
  <c r="V9" i="61" s="1"/>
  <c r="W9" i="61" s="1"/>
  <c r="X9" i="61" s="1"/>
  <c r="Z9" i="61" s="1"/>
  <c r="N9" i="61"/>
  <c r="M9" i="61"/>
  <c r="L9" i="61"/>
  <c r="G9" i="61"/>
  <c r="AD8" i="61"/>
  <c r="AC8" i="61"/>
  <c r="AB8" i="61"/>
  <c r="U8" i="61"/>
  <c r="V8" i="61" s="1"/>
  <c r="W8" i="61" s="1"/>
  <c r="X8" i="61" s="1"/>
  <c r="Z8" i="61" s="1"/>
  <c r="N8" i="61"/>
  <c r="M8" i="61"/>
  <c r="L8" i="61"/>
  <c r="G8" i="61"/>
  <c r="AD7" i="61"/>
  <c r="AC7" i="61"/>
  <c r="AB7" i="61"/>
  <c r="U7" i="61"/>
  <c r="V7" i="61" s="1"/>
  <c r="W7" i="61" s="1"/>
  <c r="X7" i="61" s="1"/>
  <c r="Z7" i="61" s="1"/>
  <c r="N7" i="61"/>
  <c r="M7" i="61"/>
  <c r="L7" i="61"/>
  <c r="G7" i="61"/>
  <c r="AD6" i="61"/>
  <c r="AC6" i="61"/>
  <c r="AB6" i="61"/>
  <c r="U6" i="61"/>
  <c r="V6" i="61" s="1"/>
  <c r="W6" i="61" s="1"/>
  <c r="X6" i="61" s="1"/>
  <c r="Z6" i="61" s="1"/>
  <c r="N6" i="61"/>
  <c r="M6" i="61"/>
  <c r="L6" i="61"/>
  <c r="G6" i="61"/>
  <c r="AD5" i="61"/>
  <c r="AC5" i="61"/>
  <c r="AB5" i="61"/>
  <c r="U5" i="61"/>
  <c r="V5" i="61" s="1"/>
  <c r="W5" i="61" s="1"/>
  <c r="X5" i="61" s="1"/>
  <c r="Z5" i="61" s="1"/>
  <c r="N5" i="61"/>
  <c r="M5" i="61"/>
  <c r="L5" i="61"/>
  <c r="G5" i="61"/>
  <c r="AD4" i="61"/>
  <c r="AC4" i="61"/>
  <c r="AB4" i="61"/>
  <c r="E7" i="15"/>
  <c r="Z10" i="61" l="1"/>
  <c r="H23" i="26" s="1"/>
  <c r="DQ11" i="49"/>
  <c r="E5" i="14"/>
  <c r="BZ10" i="17"/>
  <c r="BZ9" i="17"/>
  <c r="BZ8" i="17"/>
  <c r="BZ7" i="17"/>
  <c r="BZ6" i="17"/>
  <c r="BY10" i="17"/>
  <c r="BY9" i="17"/>
  <c r="BY8" i="17"/>
  <c r="BY7" i="17"/>
  <c r="BY6" i="17"/>
  <c r="CC10" i="4"/>
  <c r="CC9" i="4"/>
  <c r="CC8" i="4"/>
  <c r="CC7" i="4"/>
  <c r="CC6" i="4"/>
  <c r="CB10" i="4"/>
  <c r="CB9" i="4"/>
  <c r="CB8" i="4"/>
  <c r="CB7" i="4"/>
  <c r="CB6" i="4"/>
  <c r="U9" i="14"/>
  <c r="U8" i="14"/>
  <c r="U7" i="14"/>
  <c r="U6" i="14"/>
  <c r="U5" i="14"/>
  <c r="N9" i="21"/>
  <c r="N8" i="21"/>
  <c r="N7" i="21"/>
  <c r="N6" i="21"/>
  <c r="N5" i="21"/>
  <c r="BN103" i="49"/>
  <c r="BN102" i="49"/>
  <c r="BN101" i="49"/>
  <c r="BN100" i="49"/>
  <c r="BN99" i="49"/>
  <c r="BN98" i="49"/>
  <c r="BN97" i="49"/>
  <c r="BN96" i="49"/>
  <c r="BN95" i="49"/>
  <c r="BN94" i="49"/>
  <c r="BN93" i="49"/>
  <c r="BN92" i="49"/>
  <c r="BN91" i="49"/>
  <c r="BN90" i="49"/>
  <c r="BN89" i="49"/>
  <c r="BN88" i="49"/>
  <c r="BN87" i="49"/>
  <c r="BN86" i="49"/>
  <c r="BN85" i="49"/>
  <c r="BN84" i="49"/>
  <c r="BN83" i="49"/>
  <c r="BN82" i="49"/>
  <c r="BN81" i="49"/>
  <c r="BN80" i="49"/>
  <c r="BN79" i="49"/>
  <c r="BN78" i="49"/>
  <c r="BN77" i="49"/>
  <c r="BN76" i="49"/>
  <c r="BN75" i="49"/>
  <c r="BN74" i="49"/>
  <c r="BN73" i="49"/>
  <c r="BN72" i="49"/>
  <c r="BN71" i="49"/>
  <c r="BN70" i="49"/>
  <c r="BN69" i="49"/>
  <c r="BN68" i="49"/>
  <c r="BN67" i="49"/>
  <c r="BN66" i="49"/>
  <c r="BN65" i="49"/>
  <c r="BN64" i="49"/>
  <c r="BN63" i="49"/>
  <c r="BN62" i="49"/>
  <c r="BN61" i="49"/>
  <c r="BN60" i="49"/>
  <c r="BN59" i="49"/>
  <c r="BN58" i="49"/>
  <c r="BN57" i="49"/>
  <c r="BN56" i="49"/>
  <c r="BN55" i="49"/>
  <c r="BN54" i="49"/>
  <c r="BN53" i="49"/>
  <c r="BN52" i="49"/>
  <c r="BN51" i="49"/>
  <c r="BN50" i="49"/>
  <c r="BN49" i="49"/>
  <c r="BN48" i="49"/>
  <c r="BN47" i="49"/>
  <c r="BN46" i="49"/>
  <c r="BN45" i="49"/>
  <c r="BN44" i="49"/>
  <c r="BN43" i="49"/>
  <c r="BN42" i="49"/>
  <c r="BN41" i="49"/>
  <c r="BN40" i="49"/>
  <c r="BN39" i="49"/>
  <c r="BN38" i="49"/>
  <c r="BN37" i="49"/>
  <c r="BN36" i="49"/>
  <c r="BN35" i="49"/>
  <c r="BN34" i="49"/>
  <c r="BN33" i="49"/>
  <c r="BN32" i="49"/>
  <c r="BN31" i="49"/>
  <c r="BN30" i="49"/>
  <c r="BN29" i="49"/>
  <c r="BN28" i="49"/>
  <c r="BN27" i="49"/>
  <c r="BN26" i="49"/>
  <c r="BN25" i="49"/>
  <c r="BN24" i="49"/>
  <c r="BN23" i="49"/>
  <c r="BN22" i="49"/>
  <c r="BN21" i="49"/>
  <c r="BN20" i="49"/>
  <c r="BN19" i="49"/>
  <c r="BN18" i="49"/>
  <c r="BN17" i="49"/>
  <c r="BN16" i="49"/>
  <c r="BN15" i="49"/>
  <c r="BN14" i="49"/>
  <c r="BN13" i="49"/>
  <c r="BN12" i="49"/>
  <c r="BN11" i="49"/>
  <c r="BN10" i="49"/>
  <c r="BN9" i="49"/>
  <c r="BN8" i="49"/>
  <c r="BN7" i="49"/>
  <c r="BM7" i="49"/>
  <c r="BM8" i="49"/>
  <c r="BM9" i="49"/>
  <c r="BM10" i="49"/>
  <c r="BM11" i="49"/>
  <c r="BM12" i="49"/>
  <c r="BM13" i="49"/>
  <c r="BM14" i="49"/>
  <c r="BM15" i="49"/>
  <c r="BM16" i="49"/>
  <c r="BM17" i="49"/>
  <c r="BM18" i="49"/>
  <c r="BM19" i="49"/>
  <c r="BM20" i="49"/>
  <c r="BM21" i="49"/>
  <c r="BM22" i="49"/>
  <c r="BM23" i="49"/>
  <c r="BM24" i="49"/>
  <c r="BM25" i="49"/>
  <c r="BM26" i="49"/>
  <c r="BM27" i="49"/>
  <c r="BM28" i="49"/>
  <c r="BM29" i="49"/>
  <c r="BM30" i="49"/>
  <c r="BM31" i="49"/>
  <c r="BM32" i="49"/>
  <c r="BM33" i="49"/>
  <c r="BM34" i="49"/>
  <c r="BM35" i="49"/>
  <c r="BM36" i="49"/>
  <c r="BM37" i="49"/>
  <c r="BM38" i="49"/>
  <c r="BM39" i="49"/>
  <c r="BM40" i="49"/>
  <c r="BM41" i="49"/>
  <c r="BM42" i="49"/>
  <c r="BM43" i="49"/>
  <c r="BM44" i="49"/>
  <c r="BM45" i="49"/>
  <c r="BM46" i="49"/>
  <c r="BM47" i="49"/>
  <c r="BM48" i="49"/>
  <c r="BM49" i="49"/>
  <c r="BM50" i="49"/>
  <c r="BM51" i="49"/>
  <c r="BM52" i="49"/>
  <c r="BM53" i="49"/>
  <c r="BM54" i="49"/>
  <c r="BM55" i="49"/>
  <c r="BM56" i="49"/>
  <c r="BM57" i="49"/>
  <c r="BM58" i="49"/>
  <c r="BM59" i="49"/>
  <c r="BM60" i="49"/>
  <c r="BM61" i="49"/>
  <c r="BM62" i="49"/>
  <c r="BM63" i="49"/>
  <c r="BM64" i="49"/>
  <c r="BM65" i="49"/>
  <c r="BM66" i="49"/>
  <c r="BM67" i="49"/>
  <c r="BM68" i="49"/>
  <c r="BM69" i="49"/>
  <c r="BM70" i="49"/>
  <c r="BM71" i="49"/>
  <c r="BM72" i="49"/>
  <c r="BM73" i="49"/>
  <c r="BM74" i="49"/>
  <c r="BM75" i="49"/>
  <c r="BM76" i="49"/>
  <c r="BM77" i="49"/>
  <c r="BM78" i="49"/>
  <c r="BM79" i="49"/>
  <c r="BM80" i="49"/>
  <c r="BM81" i="49"/>
  <c r="BM82" i="49"/>
  <c r="BM83" i="49"/>
  <c r="BM84" i="49"/>
  <c r="BM85" i="49"/>
  <c r="BM86" i="49"/>
  <c r="BM87" i="49"/>
  <c r="BM88" i="49"/>
  <c r="BM89" i="49"/>
  <c r="BM90" i="49"/>
  <c r="BM91" i="49"/>
  <c r="BM92" i="49"/>
  <c r="BM93" i="49"/>
  <c r="BM94" i="49"/>
  <c r="BM95" i="49"/>
  <c r="BM96" i="49"/>
  <c r="BM97" i="49"/>
  <c r="BM98" i="49"/>
  <c r="BM99" i="49"/>
  <c r="BM100" i="49"/>
  <c r="BM101" i="49"/>
  <c r="BM102" i="49"/>
  <c r="BM103" i="49"/>
  <c r="M95" i="40" l="1"/>
  <c r="M89" i="40"/>
  <c r="M83" i="40"/>
  <c r="M77" i="40"/>
  <c r="M71" i="40"/>
  <c r="J46" i="40"/>
  <c r="DV34" i="49" l="1"/>
  <c r="DV33" i="49"/>
  <c r="DV7" i="49"/>
  <c r="DV8" i="49"/>
  <c r="DV9" i="49"/>
  <c r="DV10" i="49"/>
  <c r="DV11" i="49"/>
  <c r="DV12" i="49"/>
  <c r="DV13" i="49"/>
  <c r="DV14" i="49"/>
  <c r="DV15" i="49"/>
  <c r="DV16" i="49"/>
  <c r="DV17" i="49"/>
  <c r="DV18" i="49"/>
  <c r="DV19" i="49"/>
  <c r="DV20" i="49"/>
  <c r="DV21" i="49"/>
  <c r="DV22" i="49"/>
  <c r="DV23" i="49"/>
  <c r="DV24" i="49"/>
  <c r="DV25" i="49"/>
  <c r="DV26" i="49"/>
  <c r="DV27" i="49"/>
  <c r="DV28" i="49"/>
  <c r="DV29" i="49"/>
  <c r="DV30" i="49"/>
  <c r="DV31" i="49"/>
  <c r="DV32" i="49"/>
  <c r="DV35" i="49"/>
  <c r="DV36" i="49"/>
  <c r="DV37" i="49"/>
  <c r="DV38" i="49"/>
  <c r="DV39" i="49"/>
  <c r="DV40" i="49"/>
  <c r="DV41" i="49"/>
  <c r="DV42" i="49"/>
  <c r="DV43" i="49"/>
  <c r="DV44" i="49"/>
  <c r="DV45" i="49"/>
  <c r="DV46" i="49"/>
  <c r="DV47" i="49"/>
  <c r="DV48" i="49"/>
  <c r="DV49" i="49"/>
  <c r="DV50" i="49"/>
  <c r="DV51" i="49"/>
  <c r="DV52" i="49"/>
  <c r="DV53" i="49"/>
  <c r="DV54" i="49"/>
  <c r="DV55" i="49"/>
  <c r="DV56" i="49"/>
  <c r="DV57" i="49"/>
  <c r="DV58" i="49"/>
  <c r="DV59" i="49"/>
  <c r="DV60" i="49"/>
  <c r="DV61" i="49"/>
  <c r="DV62" i="49"/>
  <c r="DV63" i="49"/>
  <c r="DV64" i="49"/>
  <c r="DV65" i="49"/>
  <c r="DV66" i="49"/>
  <c r="DV67" i="49"/>
  <c r="DV68" i="49"/>
  <c r="DV69" i="49"/>
  <c r="DV70" i="49"/>
  <c r="DV71" i="49"/>
  <c r="DV72" i="49"/>
  <c r="DV73" i="49"/>
  <c r="DV74" i="49"/>
  <c r="DV75" i="49"/>
  <c r="DV76" i="49"/>
  <c r="DV77" i="49"/>
  <c r="DV78" i="49"/>
  <c r="DV79" i="49"/>
  <c r="DV80" i="49"/>
  <c r="DV81" i="49"/>
  <c r="DV82" i="49"/>
  <c r="DV83" i="49"/>
  <c r="DV84" i="49"/>
  <c r="DV85" i="49"/>
  <c r="DV86" i="49"/>
  <c r="DV87" i="49"/>
  <c r="DV88" i="49"/>
  <c r="DV89" i="49"/>
  <c r="DV90" i="49"/>
  <c r="DV91" i="49"/>
  <c r="DV92" i="49"/>
  <c r="DV93" i="49"/>
  <c r="DV94" i="49"/>
  <c r="DV95" i="49"/>
  <c r="DV96" i="49"/>
  <c r="DV97" i="49"/>
  <c r="DV98" i="49"/>
  <c r="DV99" i="49"/>
  <c r="DV100" i="49"/>
  <c r="DV101" i="49"/>
  <c r="DV102" i="49"/>
  <c r="DV103" i="49"/>
  <c r="CH7" i="49"/>
  <c r="CH8" i="49"/>
  <c r="CH9" i="49"/>
  <c r="CH10" i="49"/>
  <c r="CH11" i="49"/>
  <c r="CH12" i="49"/>
  <c r="CH13" i="49"/>
  <c r="CH14" i="49"/>
  <c r="CH15" i="49"/>
  <c r="CH16" i="49"/>
  <c r="CH17" i="49"/>
  <c r="CH18" i="49"/>
  <c r="CH19" i="49"/>
  <c r="CH20" i="49"/>
  <c r="CH21" i="49"/>
  <c r="CH22" i="49"/>
  <c r="CH23" i="49"/>
  <c r="CH24" i="49"/>
  <c r="CH25" i="49"/>
  <c r="CH26" i="49"/>
  <c r="CH27" i="49"/>
  <c r="CH28" i="49"/>
  <c r="CH29" i="49"/>
  <c r="CH30" i="49"/>
  <c r="CH31" i="49"/>
  <c r="CH32" i="49"/>
  <c r="CH33" i="49"/>
  <c r="CH34" i="49"/>
  <c r="CH35" i="49"/>
  <c r="CH36" i="49"/>
  <c r="CH37" i="49"/>
  <c r="CH38" i="49"/>
  <c r="CH39" i="49"/>
  <c r="CH40" i="49"/>
  <c r="CH41" i="49"/>
  <c r="CH42" i="49"/>
  <c r="CH43" i="49"/>
  <c r="CH44" i="49"/>
  <c r="CH45" i="49"/>
  <c r="CH46" i="49"/>
  <c r="CH47" i="49"/>
  <c r="CH48" i="49"/>
  <c r="CH49" i="49"/>
  <c r="CH50" i="49"/>
  <c r="CH51" i="49"/>
  <c r="CH52" i="49"/>
  <c r="CH53" i="49"/>
  <c r="CH54" i="49"/>
  <c r="CH55" i="49"/>
  <c r="CH56" i="49"/>
  <c r="CH57" i="49"/>
  <c r="CH58" i="49"/>
  <c r="CH59" i="49"/>
  <c r="CH60" i="49"/>
  <c r="CH61" i="49"/>
  <c r="CH62" i="49"/>
  <c r="CH63" i="49"/>
  <c r="CH64" i="49"/>
  <c r="CH65" i="49"/>
  <c r="CH66" i="49"/>
  <c r="CH67" i="49"/>
  <c r="CH68" i="49"/>
  <c r="CH69" i="49"/>
  <c r="CH70" i="49"/>
  <c r="CH71" i="49"/>
  <c r="CH72" i="49"/>
  <c r="CH73" i="49"/>
  <c r="CH74" i="49"/>
  <c r="CH75" i="49"/>
  <c r="CH76" i="49"/>
  <c r="CH77" i="49"/>
  <c r="CH78" i="49"/>
  <c r="CH79" i="49"/>
  <c r="CH80" i="49"/>
  <c r="CH81" i="49"/>
  <c r="CH82" i="49"/>
  <c r="CH83" i="49"/>
  <c r="CH84" i="49"/>
  <c r="CH85" i="49"/>
  <c r="CH86" i="49"/>
  <c r="CH87" i="49"/>
  <c r="CH88" i="49"/>
  <c r="CH89" i="49"/>
  <c r="CH90" i="49"/>
  <c r="CH91" i="49"/>
  <c r="CH92" i="49"/>
  <c r="CH93" i="49"/>
  <c r="CH94" i="49"/>
  <c r="CH95" i="49"/>
  <c r="CH96" i="49"/>
  <c r="CH97" i="49"/>
  <c r="CH98" i="49"/>
  <c r="CH99" i="49"/>
  <c r="CH100" i="49"/>
  <c r="CH101" i="49"/>
  <c r="CH102" i="49"/>
  <c r="CH103" i="49"/>
  <c r="CG7" i="49"/>
  <c r="CG8" i="49"/>
  <c r="CG9" i="49"/>
  <c r="CG10" i="49"/>
  <c r="CG11" i="49"/>
  <c r="CG12" i="49"/>
  <c r="CG13" i="49"/>
  <c r="CG14" i="49"/>
  <c r="CG15" i="49"/>
  <c r="CG16" i="49"/>
  <c r="CG17" i="49"/>
  <c r="CG18" i="49"/>
  <c r="CG19" i="49"/>
  <c r="CG20" i="49"/>
  <c r="CG21" i="49"/>
  <c r="CG22" i="49"/>
  <c r="CG23" i="49"/>
  <c r="CG24" i="49"/>
  <c r="CG25" i="49"/>
  <c r="CG26" i="49"/>
  <c r="CG27" i="49"/>
  <c r="CG28" i="49"/>
  <c r="CG29" i="49"/>
  <c r="CG30" i="49"/>
  <c r="CG31" i="49"/>
  <c r="CG32" i="49"/>
  <c r="CG33" i="49"/>
  <c r="CG34" i="49"/>
  <c r="CG35" i="49"/>
  <c r="CG36" i="49"/>
  <c r="CG37" i="49"/>
  <c r="CG38" i="49"/>
  <c r="CG39" i="49"/>
  <c r="CG40" i="49"/>
  <c r="CG41" i="49"/>
  <c r="CG42" i="49"/>
  <c r="CG43" i="49"/>
  <c r="CG44" i="49"/>
  <c r="CG45" i="49"/>
  <c r="CG46" i="49"/>
  <c r="CG47" i="49"/>
  <c r="CG48" i="49"/>
  <c r="CG49" i="49"/>
  <c r="CG50" i="49"/>
  <c r="CG51" i="49"/>
  <c r="CG52" i="49"/>
  <c r="CG53" i="49"/>
  <c r="CG54" i="49"/>
  <c r="CG55" i="49"/>
  <c r="CG56" i="49"/>
  <c r="CG57" i="49"/>
  <c r="CG58" i="49"/>
  <c r="CG59" i="49"/>
  <c r="CG60" i="49"/>
  <c r="CG61" i="49"/>
  <c r="CG62" i="49"/>
  <c r="CG63" i="49"/>
  <c r="CG64" i="49"/>
  <c r="CG65" i="49"/>
  <c r="CG66" i="49"/>
  <c r="CG67" i="49"/>
  <c r="CG68" i="49"/>
  <c r="CG69" i="49"/>
  <c r="CG70" i="49"/>
  <c r="CG71" i="49"/>
  <c r="CG72" i="49"/>
  <c r="CG73" i="49"/>
  <c r="CG74" i="49"/>
  <c r="CG75" i="49"/>
  <c r="CG76" i="49"/>
  <c r="CG77" i="49"/>
  <c r="CG78" i="49"/>
  <c r="CG79" i="49"/>
  <c r="CG80" i="49"/>
  <c r="CG81" i="49"/>
  <c r="CG82" i="49"/>
  <c r="CG83" i="49"/>
  <c r="CG84" i="49"/>
  <c r="CG85" i="49"/>
  <c r="CG86" i="49"/>
  <c r="CG87" i="49"/>
  <c r="CG88" i="49"/>
  <c r="CG89" i="49"/>
  <c r="CG90" i="49"/>
  <c r="CG91" i="49"/>
  <c r="CG92" i="49"/>
  <c r="CG93" i="49"/>
  <c r="CG94" i="49"/>
  <c r="CG95" i="49"/>
  <c r="CG96" i="49"/>
  <c r="CG97" i="49"/>
  <c r="CG98" i="49"/>
  <c r="CG99" i="49"/>
  <c r="CG100" i="49"/>
  <c r="CG101" i="49"/>
  <c r="CG102" i="49"/>
  <c r="CG103" i="49"/>
  <c r="FQ7" i="49"/>
  <c r="FQ8" i="49"/>
  <c r="FQ9" i="49"/>
  <c r="FQ10" i="49"/>
  <c r="FQ11" i="49"/>
  <c r="FQ12" i="49"/>
  <c r="FQ13" i="49"/>
  <c r="FQ14" i="49"/>
  <c r="FQ15" i="49"/>
  <c r="FQ16" i="49"/>
  <c r="FQ17" i="49"/>
  <c r="FQ18" i="49"/>
  <c r="FQ19" i="49"/>
  <c r="FQ20" i="49"/>
  <c r="FQ21" i="49"/>
  <c r="FQ22" i="49"/>
  <c r="FQ23" i="49"/>
  <c r="FQ24" i="49"/>
  <c r="FQ25" i="49"/>
  <c r="FQ26" i="49"/>
  <c r="FQ27" i="49"/>
  <c r="FQ28" i="49"/>
  <c r="FQ29" i="49"/>
  <c r="FQ30" i="49"/>
  <c r="FQ31" i="49"/>
  <c r="FQ32" i="49"/>
  <c r="FQ33" i="49"/>
  <c r="FQ34" i="49"/>
  <c r="FQ35" i="49"/>
  <c r="FQ36" i="49"/>
  <c r="FQ37" i="49"/>
  <c r="FQ38" i="49"/>
  <c r="FQ39" i="49"/>
  <c r="FQ40" i="49"/>
  <c r="FQ41" i="49"/>
  <c r="FQ42" i="49"/>
  <c r="FQ43" i="49"/>
  <c r="FQ44" i="49"/>
  <c r="FQ45" i="49"/>
  <c r="FQ46" i="49"/>
  <c r="FQ47" i="49"/>
  <c r="FQ48" i="49"/>
  <c r="FQ49" i="49"/>
  <c r="FQ50" i="49"/>
  <c r="FQ51" i="49"/>
  <c r="FQ52" i="49"/>
  <c r="FQ53" i="49"/>
  <c r="FQ54" i="49"/>
  <c r="FQ55" i="49"/>
  <c r="FQ56" i="49"/>
  <c r="FQ57" i="49"/>
  <c r="FQ58" i="49"/>
  <c r="FQ59" i="49"/>
  <c r="FQ60" i="49"/>
  <c r="FQ61" i="49"/>
  <c r="FQ62" i="49"/>
  <c r="FQ63" i="49"/>
  <c r="FQ64" i="49"/>
  <c r="FQ65" i="49"/>
  <c r="FQ66" i="49"/>
  <c r="FQ67" i="49"/>
  <c r="FQ68" i="49"/>
  <c r="FQ69" i="49"/>
  <c r="FQ70" i="49"/>
  <c r="FQ71" i="49"/>
  <c r="FQ72" i="49"/>
  <c r="FQ73" i="49"/>
  <c r="FQ74" i="49"/>
  <c r="FQ75" i="49"/>
  <c r="FQ76" i="49"/>
  <c r="FQ77" i="49"/>
  <c r="FQ78" i="49"/>
  <c r="FQ79" i="49"/>
  <c r="FQ80" i="49"/>
  <c r="FQ81" i="49"/>
  <c r="FQ82" i="49"/>
  <c r="FQ83" i="49"/>
  <c r="FQ84" i="49"/>
  <c r="FQ85" i="49"/>
  <c r="FQ86" i="49"/>
  <c r="FQ87" i="49"/>
  <c r="FQ88" i="49"/>
  <c r="FQ89" i="49"/>
  <c r="FQ90" i="49"/>
  <c r="FQ91" i="49"/>
  <c r="FQ92" i="49"/>
  <c r="FQ93" i="49"/>
  <c r="FQ94" i="49"/>
  <c r="FQ95" i="49"/>
  <c r="FQ96" i="49"/>
  <c r="FQ97" i="49"/>
  <c r="FQ98" i="49"/>
  <c r="FQ99" i="49"/>
  <c r="FQ100" i="49"/>
  <c r="FQ101" i="49"/>
  <c r="FQ102" i="49"/>
  <c r="FQ103" i="49"/>
  <c r="FP7" i="49"/>
  <c r="FP8" i="49"/>
  <c r="FP9" i="49"/>
  <c r="FP10" i="49"/>
  <c r="FP11" i="49"/>
  <c r="FP12" i="49"/>
  <c r="FP13" i="49"/>
  <c r="FP14" i="49"/>
  <c r="FP15" i="49"/>
  <c r="FP16" i="49"/>
  <c r="FP17" i="49"/>
  <c r="FP18" i="49"/>
  <c r="FP19" i="49"/>
  <c r="FP20" i="49"/>
  <c r="FP21" i="49"/>
  <c r="FP22" i="49"/>
  <c r="FP23" i="49"/>
  <c r="FP24" i="49"/>
  <c r="FP25" i="49"/>
  <c r="FP26" i="49"/>
  <c r="FP27" i="49"/>
  <c r="FP28" i="49"/>
  <c r="FP29" i="49"/>
  <c r="FP30" i="49"/>
  <c r="FP31" i="49"/>
  <c r="FP32" i="49"/>
  <c r="FP33" i="49"/>
  <c r="FP34" i="49"/>
  <c r="FP35" i="49"/>
  <c r="FP36" i="49"/>
  <c r="FP37" i="49"/>
  <c r="FP38" i="49"/>
  <c r="FP39" i="49"/>
  <c r="FP40" i="49"/>
  <c r="FP41" i="49"/>
  <c r="FP42" i="49"/>
  <c r="FP43" i="49"/>
  <c r="FP44" i="49"/>
  <c r="FP45" i="49"/>
  <c r="FP46" i="49"/>
  <c r="FP47" i="49"/>
  <c r="FP48" i="49"/>
  <c r="FP49" i="49"/>
  <c r="FP50" i="49"/>
  <c r="FP51" i="49"/>
  <c r="FP52" i="49"/>
  <c r="FP53" i="49"/>
  <c r="FP54" i="49"/>
  <c r="FP55" i="49"/>
  <c r="FP56" i="49"/>
  <c r="FP57" i="49"/>
  <c r="FP58" i="49"/>
  <c r="FP59" i="49"/>
  <c r="FP60" i="49"/>
  <c r="FP61" i="49"/>
  <c r="FP62" i="49"/>
  <c r="FP63" i="49"/>
  <c r="FP64" i="49"/>
  <c r="FP65" i="49"/>
  <c r="FP66" i="49"/>
  <c r="FP67" i="49"/>
  <c r="FP68" i="49"/>
  <c r="FP69" i="49"/>
  <c r="FP70" i="49"/>
  <c r="FP71" i="49"/>
  <c r="FP72" i="49"/>
  <c r="FP73" i="49"/>
  <c r="FP74" i="49"/>
  <c r="FP75" i="49"/>
  <c r="FP76" i="49"/>
  <c r="FP77" i="49"/>
  <c r="FP78" i="49"/>
  <c r="FP79" i="49"/>
  <c r="FP80" i="49"/>
  <c r="FP81" i="49"/>
  <c r="FP82" i="49"/>
  <c r="FP83" i="49"/>
  <c r="FP84" i="49"/>
  <c r="FP85" i="49"/>
  <c r="FP86" i="49"/>
  <c r="FP87" i="49"/>
  <c r="FP88" i="49"/>
  <c r="FP89" i="49"/>
  <c r="FP90" i="49"/>
  <c r="FP91" i="49"/>
  <c r="FP92" i="49"/>
  <c r="FP93" i="49"/>
  <c r="FP94" i="49"/>
  <c r="FP95" i="49"/>
  <c r="FP96" i="49"/>
  <c r="FP97" i="49"/>
  <c r="FP98" i="49"/>
  <c r="FP99" i="49"/>
  <c r="FP100" i="49"/>
  <c r="FP101" i="49"/>
  <c r="FP102" i="49"/>
  <c r="FP103" i="49"/>
  <c r="DT7" i="49"/>
  <c r="DT8" i="49"/>
  <c r="DT9" i="49"/>
  <c r="DT10" i="49"/>
  <c r="DT11" i="49"/>
  <c r="DT12" i="49"/>
  <c r="DT13" i="49"/>
  <c r="DT14" i="49"/>
  <c r="DT15" i="49"/>
  <c r="DT16" i="49"/>
  <c r="DT17" i="49"/>
  <c r="DT18" i="49"/>
  <c r="DT19" i="49"/>
  <c r="DT20" i="49"/>
  <c r="DT21" i="49"/>
  <c r="DT22" i="49"/>
  <c r="DT23" i="49"/>
  <c r="DT24" i="49"/>
  <c r="DT25" i="49"/>
  <c r="DT26" i="49"/>
  <c r="DT27" i="49"/>
  <c r="DT28" i="49"/>
  <c r="DT29" i="49"/>
  <c r="DT30" i="49"/>
  <c r="DT31" i="49"/>
  <c r="DT32" i="49"/>
  <c r="DT33" i="49"/>
  <c r="DT34" i="49"/>
  <c r="DT35" i="49"/>
  <c r="DT36" i="49"/>
  <c r="DT37" i="49"/>
  <c r="DT38" i="49"/>
  <c r="DT39" i="49"/>
  <c r="DT40" i="49"/>
  <c r="DT41" i="49"/>
  <c r="DT42" i="49"/>
  <c r="DT43" i="49"/>
  <c r="DT44" i="49"/>
  <c r="DT45" i="49"/>
  <c r="DT46" i="49"/>
  <c r="DT47" i="49"/>
  <c r="DT48" i="49"/>
  <c r="DT49" i="49"/>
  <c r="DT50" i="49"/>
  <c r="DT51" i="49"/>
  <c r="DT52" i="49"/>
  <c r="DT53" i="49"/>
  <c r="DT54" i="49"/>
  <c r="DT55" i="49"/>
  <c r="DT56" i="49"/>
  <c r="DT57" i="49"/>
  <c r="DT58" i="49"/>
  <c r="DT59" i="49"/>
  <c r="DT60" i="49"/>
  <c r="DT61" i="49"/>
  <c r="DT62" i="49"/>
  <c r="DT63" i="49"/>
  <c r="DT64" i="49"/>
  <c r="DT65" i="49"/>
  <c r="DT66" i="49"/>
  <c r="DT67" i="49"/>
  <c r="DT68" i="49"/>
  <c r="DT69" i="49"/>
  <c r="DT70" i="49"/>
  <c r="DT71" i="49"/>
  <c r="DT72" i="49"/>
  <c r="DT73" i="49"/>
  <c r="DT74" i="49"/>
  <c r="DT75" i="49"/>
  <c r="DT76" i="49"/>
  <c r="DT77" i="49"/>
  <c r="DT78" i="49"/>
  <c r="DT79" i="49"/>
  <c r="DT80" i="49"/>
  <c r="DT81" i="49"/>
  <c r="DT82" i="49"/>
  <c r="DT83" i="49"/>
  <c r="DT84" i="49"/>
  <c r="DT85" i="49"/>
  <c r="DT86" i="49"/>
  <c r="DT87" i="49"/>
  <c r="DT88" i="49"/>
  <c r="DT89" i="49"/>
  <c r="DT90" i="49"/>
  <c r="DT91" i="49"/>
  <c r="DT92" i="49"/>
  <c r="DT93" i="49"/>
  <c r="DT94" i="49"/>
  <c r="DT95" i="49"/>
  <c r="DT96" i="49"/>
  <c r="DT97" i="49"/>
  <c r="DT98" i="49"/>
  <c r="DT99" i="49"/>
  <c r="DT100" i="49"/>
  <c r="DT101" i="49"/>
  <c r="DT102" i="49"/>
  <c r="DT103" i="49"/>
  <c r="DQ7" i="49"/>
  <c r="DQ8" i="49"/>
  <c r="DQ9" i="49"/>
  <c r="DQ10" i="49"/>
  <c r="DQ12" i="49"/>
  <c r="DQ13" i="49"/>
  <c r="DQ14" i="49"/>
  <c r="DQ15" i="49"/>
  <c r="DQ16" i="49"/>
  <c r="DQ17" i="49"/>
  <c r="DQ18" i="49"/>
  <c r="DQ19" i="49"/>
  <c r="DQ20" i="49"/>
  <c r="DQ21" i="49"/>
  <c r="DQ22" i="49"/>
  <c r="DQ23" i="49"/>
  <c r="DQ24" i="49"/>
  <c r="DQ25" i="49"/>
  <c r="DQ26" i="49"/>
  <c r="DQ27" i="49"/>
  <c r="DQ28" i="49"/>
  <c r="DQ29" i="49"/>
  <c r="DQ30" i="49"/>
  <c r="DQ31" i="49"/>
  <c r="DQ32" i="49"/>
  <c r="DQ33" i="49"/>
  <c r="DQ34" i="49"/>
  <c r="DQ35" i="49"/>
  <c r="DQ36" i="49"/>
  <c r="DQ37" i="49"/>
  <c r="DQ38" i="49"/>
  <c r="DQ39" i="49"/>
  <c r="DQ40" i="49"/>
  <c r="DQ41" i="49"/>
  <c r="DQ42" i="49"/>
  <c r="DQ43" i="49"/>
  <c r="DQ83" i="49"/>
  <c r="DQ84" i="49"/>
  <c r="DQ85" i="49"/>
  <c r="DQ86" i="49"/>
  <c r="DQ87" i="49"/>
  <c r="DQ88" i="49"/>
  <c r="DQ89" i="49"/>
  <c r="DQ90" i="49"/>
  <c r="DQ91" i="49"/>
  <c r="DQ92" i="49"/>
  <c r="DQ93" i="49"/>
  <c r="DQ94" i="49"/>
  <c r="DQ95" i="49"/>
  <c r="DQ96" i="49"/>
  <c r="DQ97" i="49"/>
  <c r="DQ98" i="49"/>
  <c r="DQ99" i="49"/>
  <c r="DQ100" i="49"/>
  <c r="DQ101" i="49"/>
  <c r="DQ102" i="49"/>
  <c r="DQ103" i="49"/>
  <c r="BH7" i="49"/>
  <c r="BH8" i="49"/>
  <c r="BH9" i="49"/>
  <c r="BH10" i="49"/>
  <c r="BH11" i="49"/>
  <c r="BH12" i="49"/>
  <c r="BH13" i="49"/>
  <c r="BH14" i="49"/>
  <c r="BH15" i="49"/>
  <c r="BH16" i="49"/>
  <c r="BH17" i="49"/>
  <c r="BH18" i="49"/>
  <c r="BH19" i="49"/>
  <c r="BH20" i="49"/>
  <c r="BH21" i="49"/>
  <c r="BH22" i="49"/>
  <c r="BH23" i="49"/>
  <c r="BH24" i="49"/>
  <c r="BH25" i="49"/>
  <c r="BH26" i="49"/>
  <c r="BH27" i="49"/>
  <c r="BH28" i="49"/>
  <c r="BH29" i="49"/>
  <c r="BH30" i="49"/>
  <c r="BH31" i="49"/>
  <c r="BH32" i="49"/>
  <c r="BH33" i="49"/>
  <c r="BH34" i="49"/>
  <c r="BH35" i="49"/>
  <c r="BH36" i="49"/>
  <c r="BH37" i="49"/>
  <c r="BH38" i="49"/>
  <c r="BH39" i="49"/>
  <c r="BH40" i="49"/>
  <c r="BH41" i="49"/>
  <c r="BH42" i="49"/>
  <c r="BH43" i="49"/>
  <c r="BH44" i="49"/>
  <c r="BH45" i="49"/>
  <c r="BH46" i="49"/>
  <c r="BH47" i="49"/>
  <c r="BH48" i="49"/>
  <c r="BH49" i="49"/>
  <c r="BH50" i="49"/>
  <c r="BH51" i="49"/>
  <c r="BH52" i="49"/>
  <c r="BH53" i="49"/>
  <c r="BH54" i="49"/>
  <c r="BH55" i="49"/>
  <c r="BH56" i="49"/>
  <c r="BH57" i="49"/>
  <c r="BH58" i="49"/>
  <c r="BH59" i="49"/>
  <c r="BH60" i="49"/>
  <c r="BH61" i="49"/>
  <c r="BH62" i="49"/>
  <c r="BH63" i="49"/>
  <c r="BH64" i="49"/>
  <c r="BH65" i="49"/>
  <c r="BH66" i="49"/>
  <c r="BH67" i="49"/>
  <c r="BH68" i="49"/>
  <c r="BH69" i="49"/>
  <c r="BH70" i="49"/>
  <c r="BH71" i="49"/>
  <c r="BH72" i="49"/>
  <c r="BH73" i="49"/>
  <c r="BH74" i="49"/>
  <c r="BH75" i="49"/>
  <c r="BH76" i="49"/>
  <c r="BH77" i="49"/>
  <c r="BH78" i="49"/>
  <c r="BH79" i="49"/>
  <c r="BH80" i="49"/>
  <c r="BH81" i="49"/>
  <c r="BH82" i="49"/>
  <c r="BH83" i="49"/>
  <c r="BH84" i="49"/>
  <c r="BH85" i="49"/>
  <c r="BH86" i="49"/>
  <c r="BH87" i="49"/>
  <c r="BH88" i="49"/>
  <c r="BH89" i="49"/>
  <c r="BH90" i="49"/>
  <c r="BH91" i="49"/>
  <c r="BH92" i="49"/>
  <c r="BH93" i="49"/>
  <c r="BH94" i="49"/>
  <c r="BH95" i="49"/>
  <c r="BH96" i="49"/>
  <c r="BH97" i="49"/>
  <c r="BH98" i="49"/>
  <c r="BH99" i="49"/>
  <c r="BH100" i="49"/>
  <c r="BH101" i="49"/>
  <c r="BH102" i="49"/>
  <c r="BH103" i="49"/>
  <c r="BB7" i="49"/>
  <c r="BB8" i="49"/>
  <c r="BB9" i="49"/>
  <c r="BB10" i="49"/>
  <c r="BB11" i="49"/>
  <c r="BB12" i="49"/>
  <c r="BB13" i="49"/>
  <c r="BB14" i="49"/>
  <c r="BB15" i="49"/>
  <c r="BB16" i="49"/>
  <c r="BB17" i="49"/>
  <c r="BB18" i="49"/>
  <c r="BB19" i="49"/>
  <c r="BB20" i="49"/>
  <c r="BB21" i="49"/>
  <c r="BB22" i="49"/>
  <c r="BB23" i="49"/>
  <c r="BB24" i="49"/>
  <c r="BB25" i="49"/>
  <c r="BB26" i="49"/>
  <c r="BB27" i="49"/>
  <c r="BB28" i="49"/>
  <c r="BB29" i="49"/>
  <c r="BB30" i="49"/>
  <c r="BB31" i="49"/>
  <c r="BB32" i="49"/>
  <c r="BB33" i="49"/>
  <c r="BB34" i="49"/>
  <c r="BB35" i="49"/>
  <c r="BB36" i="49"/>
  <c r="BB37" i="49"/>
  <c r="BB38" i="49"/>
  <c r="BB39" i="49"/>
  <c r="BB40" i="49"/>
  <c r="BB41" i="49"/>
  <c r="BB42" i="49"/>
  <c r="BB43" i="49"/>
  <c r="BB44" i="49"/>
  <c r="BB45" i="49"/>
  <c r="BB46" i="49"/>
  <c r="BB47" i="49"/>
  <c r="BB48" i="49"/>
  <c r="BB49" i="49"/>
  <c r="BB50" i="49"/>
  <c r="BB51" i="49"/>
  <c r="BB52" i="49"/>
  <c r="BB53" i="49"/>
  <c r="BB54" i="49"/>
  <c r="BB55" i="49"/>
  <c r="BB56" i="49"/>
  <c r="BB57" i="49"/>
  <c r="BB58" i="49"/>
  <c r="BB59" i="49"/>
  <c r="BB60" i="49"/>
  <c r="BB61" i="49"/>
  <c r="BB62" i="49"/>
  <c r="BB63" i="49"/>
  <c r="BB64" i="49"/>
  <c r="BB65" i="49"/>
  <c r="BB66" i="49"/>
  <c r="BB67" i="49"/>
  <c r="BB68" i="49"/>
  <c r="BB69" i="49"/>
  <c r="BB70" i="49"/>
  <c r="BB71" i="49"/>
  <c r="BB72" i="49"/>
  <c r="BB73" i="49"/>
  <c r="BB74" i="49"/>
  <c r="BB75" i="49"/>
  <c r="BB76" i="49"/>
  <c r="BB77" i="49"/>
  <c r="BB78" i="49"/>
  <c r="BB79" i="49"/>
  <c r="BB80" i="49"/>
  <c r="BB81" i="49"/>
  <c r="BB82" i="49"/>
  <c r="BB83" i="49"/>
  <c r="BB84" i="49"/>
  <c r="BB85" i="49"/>
  <c r="BB86" i="49"/>
  <c r="BB87" i="49"/>
  <c r="BB88" i="49"/>
  <c r="BB89" i="49"/>
  <c r="BB90" i="49"/>
  <c r="BB91" i="49"/>
  <c r="BB92" i="49"/>
  <c r="BB93" i="49"/>
  <c r="BB94" i="49"/>
  <c r="BB95" i="49"/>
  <c r="BB96" i="49"/>
  <c r="BB97" i="49"/>
  <c r="BB98" i="49"/>
  <c r="BB99" i="49"/>
  <c r="BB100" i="49"/>
  <c r="BB101" i="49"/>
  <c r="BB102" i="49"/>
  <c r="BB103" i="49"/>
  <c r="BA31" i="49"/>
  <c r="BA30" i="49"/>
  <c r="BA29" i="49"/>
  <c r="BA28" i="49"/>
  <c r="BA27" i="49"/>
  <c r="BA26" i="49"/>
  <c r="BA25" i="49"/>
  <c r="BA24" i="49"/>
  <c r="BA23" i="49"/>
  <c r="BA22" i="49"/>
  <c r="BA21" i="49"/>
  <c r="BA20" i="49"/>
  <c r="BA19" i="49"/>
  <c r="BA18" i="49"/>
  <c r="BA17" i="49"/>
  <c r="BA16" i="49"/>
  <c r="BA15" i="49"/>
  <c r="BA14" i="49"/>
  <c r="BA13" i="49"/>
  <c r="BA12" i="49"/>
  <c r="BA11" i="49"/>
  <c r="BA10" i="49"/>
  <c r="BA9" i="49"/>
  <c r="BA8" i="49"/>
  <c r="BA7" i="49"/>
  <c r="AQ7" i="57" l="1"/>
  <c r="AQ8" i="57"/>
  <c r="AQ9" i="57"/>
  <c r="AQ10" i="57"/>
  <c r="AQ11" i="57"/>
  <c r="AQ12" i="57"/>
  <c r="AQ13" i="57"/>
  <c r="AQ14" i="57"/>
  <c r="AQ15" i="57"/>
  <c r="AQ16" i="57"/>
  <c r="AQ17" i="57"/>
  <c r="AQ18" i="57"/>
  <c r="AQ19" i="57"/>
  <c r="AQ20" i="57"/>
  <c r="AQ21" i="57"/>
  <c r="AQ22" i="57"/>
  <c r="AQ23" i="57"/>
  <c r="AQ24" i="57"/>
  <c r="AQ25" i="57"/>
  <c r="AQ26" i="57"/>
  <c r="AQ27" i="57"/>
  <c r="AQ28" i="57"/>
  <c r="AQ29" i="57"/>
  <c r="AQ30" i="57"/>
  <c r="AQ31" i="57"/>
  <c r="AQ32" i="57"/>
  <c r="AQ33" i="57"/>
  <c r="AQ34" i="57"/>
  <c r="AQ35" i="57"/>
  <c r="AQ36" i="57"/>
  <c r="AQ37" i="57"/>
  <c r="AQ38" i="57"/>
  <c r="AQ39" i="57"/>
  <c r="AQ40" i="57"/>
  <c r="AQ41" i="57"/>
  <c r="AQ42" i="57"/>
  <c r="AQ43" i="57"/>
  <c r="AQ44" i="57"/>
  <c r="AQ45" i="57"/>
  <c r="AQ46" i="57"/>
  <c r="AQ47" i="57"/>
  <c r="AQ48" i="57"/>
  <c r="AQ49" i="57"/>
  <c r="AQ50" i="57"/>
  <c r="AQ51" i="57"/>
  <c r="AQ52" i="57"/>
  <c r="AQ53" i="57"/>
  <c r="AQ54" i="57"/>
  <c r="AQ55" i="57"/>
  <c r="AQ56" i="57"/>
  <c r="AQ57" i="57"/>
  <c r="AQ59" i="57"/>
  <c r="AQ60" i="57"/>
  <c r="AQ61" i="57"/>
  <c r="AQ62" i="57"/>
  <c r="AQ63" i="57"/>
  <c r="AQ64" i="57"/>
  <c r="AQ65" i="57"/>
  <c r="AQ66" i="57"/>
  <c r="AQ67" i="57"/>
  <c r="AQ68" i="57"/>
  <c r="AQ69" i="57"/>
  <c r="AQ70" i="57"/>
  <c r="AQ71" i="57"/>
  <c r="AQ72" i="57"/>
  <c r="AQ73" i="57"/>
  <c r="AQ74" i="57"/>
  <c r="AQ75" i="57"/>
  <c r="AQ76" i="57"/>
  <c r="AQ77" i="57"/>
  <c r="AQ78" i="57"/>
  <c r="AQ79" i="57"/>
  <c r="AQ80" i="57"/>
  <c r="AQ81" i="57"/>
  <c r="AQ82" i="57"/>
  <c r="AQ83" i="57"/>
  <c r="AQ84" i="57"/>
  <c r="AQ85" i="57"/>
  <c r="AQ86" i="57"/>
  <c r="AQ87" i="57"/>
  <c r="AQ88" i="57"/>
  <c r="AQ89" i="57"/>
  <c r="AQ90" i="57"/>
  <c r="AQ91" i="57"/>
  <c r="AQ92" i="57"/>
  <c r="AQ93" i="57"/>
  <c r="AQ94" i="57"/>
  <c r="AQ95" i="57"/>
  <c r="AQ96" i="57"/>
  <c r="AQ97" i="57"/>
  <c r="AQ98" i="57"/>
  <c r="AQ99" i="57"/>
  <c r="AQ100" i="57"/>
  <c r="AQ101" i="57"/>
  <c r="AQ102" i="57"/>
  <c r="AQ103" i="57"/>
  <c r="AQ104" i="57"/>
  <c r="AQ105" i="57"/>
  <c r="AQ106" i="57"/>
  <c r="AQ107" i="57"/>
  <c r="AQ108" i="57"/>
  <c r="AQ109" i="57"/>
  <c r="AQ110" i="57"/>
  <c r="AQ111" i="57"/>
  <c r="AQ112" i="57"/>
  <c r="AQ113" i="57"/>
  <c r="AQ114" i="57"/>
  <c r="AQ115" i="57"/>
  <c r="AQ116" i="57"/>
  <c r="AQ117" i="57"/>
  <c r="AQ118" i="57"/>
  <c r="AQ119" i="57"/>
  <c r="AQ120" i="57"/>
  <c r="AQ121" i="57"/>
  <c r="AQ122" i="57"/>
  <c r="AQ123" i="57"/>
  <c r="AQ124" i="57"/>
  <c r="AQ125" i="57"/>
  <c r="AQ126" i="57"/>
  <c r="AQ127" i="57"/>
  <c r="AQ128" i="57"/>
  <c r="AQ129" i="57"/>
  <c r="AQ130" i="57"/>
  <c r="AQ131" i="57"/>
  <c r="AQ132" i="57"/>
  <c r="AQ133" i="57"/>
  <c r="AQ134" i="57"/>
  <c r="AQ135" i="57"/>
  <c r="AQ136" i="57"/>
  <c r="AQ137" i="57"/>
  <c r="AQ138" i="57"/>
  <c r="AQ139" i="57"/>
  <c r="AQ140" i="57"/>
  <c r="AQ141" i="57"/>
  <c r="AA7" i="57"/>
  <c r="AA8" i="57"/>
  <c r="AA9" i="57"/>
  <c r="AA10" i="57"/>
  <c r="AA11" i="57"/>
  <c r="AA12" i="57"/>
  <c r="AA13" i="57"/>
  <c r="AA14" i="57"/>
  <c r="AA15" i="57"/>
  <c r="AA16" i="57"/>
  <c r="AA17" i="57"/>
  <c r="AA18" i="57"/>
  <c r="AA19" i="57"/>
  <c r="AA20" i="57"/>
  <c r="AA21" i="57"/>
  <c r="AA22" i="57"/>
  <c r="AA23" i="57"/>
  <c r="AA24" i="57"/>
  <c r="AA25" i="57"/>
  <c r="AA26" i="57"/>
  <c r="AA27" i="57"/>
  <c r="AA28" i="57"/>
  <c r="AA29" i="57"/>
  <c r="AA30" i="57"/>
  <c r="AA31" i="57"/>
  <c r="AA32" i="57"/>
  <c r="AA33" i="57"/>
  <c r="AA34" i="57"/>
  <c r="AA35" i="57"/>
  <c r="AA36" i="57"/>
  <c r="AA37" i="57"/>
  <c r="AA38" i="57"/>
  <c r="AA39" i="57"/>
  <c r="AA40" i="57"/>
  <c r="AA41" i="57"/>
  <c r="AA42" i="57"/>
  <c r="AA43" i="57"/>
  <c r="AA44" i="57"/>
  <c r="AA45" i="57"/>
  <c r="AA46" i="57"/>
  <c r="AA47" i="57"/>
  <c r="AA48" i="57"/>
  <c r="AA49" i="57"/>
  <c r="AA50" i="57"/>
  <c r="AA51" i="57"/>
  <c r="AA52" i="57"/>
  <c r="AA53" i="57"/>
  <c r="AA54" i="57"/>
  <c r="AA55" i="57"/>
  <c r="AA56" i="57"/>
  <c r="AA57" i="57"/>
  <c r="AA59" i="57"/>
  <c r="AA60" i="57"/>
  <c r="AA61" i="57"/>
  <c r="AA62" i="57"/>
  <c r="AA63" i="57"/>
  <c r="AA64" i="57"/>
  <c r="AA65" i="57"/>
  <c r="AA66" i="57"/>
  <c r="AA67" i="57"/>
  <c r="AA68" i="57"/>
  <c r="AA69" i="57"/>
  <c r="AA70" i="57"/>
  <c r="AA71" i="57"/>
  <c r="AA72" i="57"/>
  <c r="AA73" i="57"/>
  <c r="AA74" i="57"/>
  <c r="AA75" i="57"/>
  <c r="AA76" i="57"/>
  <c r="AA77" i="57"/>
  <c r="AA78" i="57"/>
  <c r="AA79" i="57"/>
  <c r="AA80" i="57"/>
  <c r="AA81" i="57"/>
  <c r="AA82" i="57"/>
  <c r="AA83" i="57"/>
  <c r="AA84" i="57"/>
  <c r="AA85" i="57"/>
  <c r="AA86" i="57"/>
  <c r="AA87" i="57"/>
  <c r="AA88" i="57"/>
  <c r="AA89" i="57"/>
  <c r="AA90" i="57"/>
  <c r="AA91" i="57"/>
  <c r="AA92" i="57"/>
  <c r="AA93" i="57"/>
  <c r="AA94" i="57"/>
  <c r="AA95" i="57"/>
  <c r="AA96" i="57"/>
  <c r="AA97" i="57"/>
  <c r="AA98" i="57"/>
  <c r="AA99" i="57"/>
  <c r="AA100" i="57"/>
  <c r="AA101" i="57"/>
  <c r="AA102" i="57"/>
  <c r="AA103" i="57"/>
  <c r="AA104" i="57"/>
  <c r="AA105" i="57"/>
  <c r="AA106" i="57"/>
  <c r="AA107" i="57"/>
  <c r="AA108" i="57"/>
  <c r="AA109" i="57"/>
  <c r="AA110" i="57"/>
  <c r="AA111" i="57"/>
  <c r="AA112" i="57"/>
  <c r="AA113" i="57"/>
  <c r="AA114" i="57"/>
  <c r="AA115" i="57"/>
  <c r="AA116" i="57"/>
  <c r="AA117" i="57"/>
  <c r="AA118" i="57"/>
  <c r="AA119" i="57"/>
  <c r="AA120" i="57"/>
  <c r="AA121" i="57"/>
  <c r="AA122" i="57"/>
  <c r="AA123" i="57"/>
  <c r="AA124" i="57"/>
  <c r="AA125" i="57"/>
  <c r="AA126" i="57"/>
  <c r="AA127" i="57"/>
  <c r="AA128" i="57"/>
  <c r="AA129" i="57"/>
  <c r="AA130" i="57"/>
  <c r="AA131" i="57"/>
  <c r="AA132" i="57"/>
  <c r="AA133" i="57"/>
  <c r="AA134" i="57"/>
  <c r="AA135" i="57"/>
  <c r="AA136" i="57"/>
  <c r="AA137" i="57"/>
  <c r="AA138" i="57"/>
  <c r="AA139" i="57"/>
  <c r="AA140" i="57"/>
  <c r="AA141" i="57"/>
  <c r="BJ9" i="23"/>
  <c r="BI9" i="23"/>
  <c r="BH9" i="23"/>
  <c r="BJ8" i="23"/>
  <c r="BI8" i="23"/>
  <c r="BH8" i="23"/>
  <c r="BJ7" i="23"/>
  <c r="BI7" i="23"/>
  <c r="BS7" i="23" s="1"/>
  <c r="BH7" i="23"/>
  <c r="BJ6" i="23"/>
  <c r="BT6" i="23" s="1"/>
  <c r="BI6" i="23"/>
  <c r="BS6" i="23" s="1"/>
  <c r="BH6" i="23"/>
  <c r="BT9" i="23"/>
  <c r="BS9" i="23"/>
  <c r="BR9" i="23"/>
  <c r="BT8" i="23"/>
  <c r="BS8" i="23"/>
  <c r="BR8" i="23"/>
  <c r="BT7" i="23"/>
  <c r="BR7" i="23"/>
  <c r="BR6" i="23"/>
  <c r="AT9" i="23"/>
  <c r="AS9" i="23"/>
  <c r="AR9" i="23"/>
  <c r="AV8" i="23"/>
  <c r="BC8" i="23" s="1"/>
  <c r="AT8" i="23"/>
  <c r="AS8" i="23"/>
  <c r="AR8" i="23"/>
  <c r="AT7" i="23"/>
  <c r="AS7" i="23"/>
  <c r="AR7" i="23"/>
  <c r="AV6" i="23"/>
  <c r="BC6" i="23" s="1"/>
  <c r="AT6" i="23"/>
  <c r="AS6" i="23"/>
  <c r="AR6" i="23"/>
  <c r="AO10" i="23"/>
  <c r="AJ9" i="23"/>
  <c r="AF9" i="23"/>
  <c r="AC9" i="23"/>
  <c r="AB9" i="23"/>
  <c r="AA9" i="23"/>
  <c r="W9" i="23"/>
  <c r="AV9" i="23" s="1"/>
  <c r="BC9" i="23" s="1"/>
  <c r="N9" i="23"/>
  <c r="F9" i="23"/>
  <c r="AU9" i="23" s="1"/>
  <c r="AJ8" i="23"/>
  <c r="AF8" i="23"/>
  <c r="AC8" i="23"/>
  <c r="AB8" i="23"/>
  <c r="AA8" i="23"/>
  <c r="W8" i="23"/>
  <c r="N8" i="23"/>
  <c r="F8" i="23"/>
  <c r="AU8" i="23" s="1"/>
  <c r="AJ7" i="23"/>
  <c r="AF7" i="23"/>
  <c r="AK7" i="23" s="1"/>
  <c r="AL7" i="23" s="1"/>
  <c r="AM7" i="23" s="1"/>
  <c r="AN7" i="23" s="1"/>
  <c r="AP7" i="23" s="1"/>
  <c r="AC7" i="23"/>
  <c r="AB7" i="23"/>
  <c r="AA7" i="23"/>
  <c r="W7" i="23"/>
  <c r="AV7" i="23" s="1"/>
  <c r="BC7" i="23" s="1"/>
  <c r="N7" i="23"/>
  <c r="F7" i="23"/>
  <c r="AU7" i="23" s="1"/>
  <c r="AJ6" i="23"/>
  <c r="AF6" i="23"/>
  <c r="AC6" i="23"/>
  <c r="AB6" i="23"/>
  <c r="AA6" i="23"/>
  <c r="W6" i="23"/>
  <c r="N6" i="23"/>
  <c r="F6" i="23"/>
  <c r="AU6" i="23" s="1"/>
  <c r="AJ5" i="23"/>
  <c r="AK8" i="23" l="1"/>
  <c r="AL8" i="23" s="1"/>
  <c r="AM8" i="23" s="1"/>
  <c r="AN8" i="23" s="1"/>
  <c r="AP8" i="23" s="1"/>
  <c r="AK6" i="23"/>
  <c r="AL6" i="23" s="1"/>
  <c r="AM6" i="23" s="1"/>
  <c r="AN6" i="23" s="1"/>
  <c r="AP6" i="23" s="1"/>
  <c r="AK9" i="23"/>
  <c r="AL9" i="23" s="1"/>
  <c r="AM9" i="23" s="1"/>
  <c r="AN9" i="23" s="1"/>
  <c r="AP9" i="23" s="1"/>
  <c r="C273" i="49"/>
  <c r="C272" i="49"/>
  <c r="C271" i="49"/>
  <c r="C270" i="49"/>
  <c r="C269" i="49"/>
  <c r="C268" i="49"/>
  <c r="F5" i="23" l="1"/>
  <c r="B261" i="49" l="1"/>
  <c r="B260" i="49"/>
  <c r="B259" i="49"/>
  <c r="B258" i="49"/>
  <c r="B257" i="49"/>
  <c r="B256" i="49"/>
  <c r="B255" i="49"/>
  <c r="B254" i="49"/>
  <c r="B253" i="49"/>
  <c r="B252" i="49"/>
  <c r="B251" i="49"/>
  <c r="B250" i="49"/>
  <c r="B249" i="49"/>
  <c r="B248" i="49"/>
  <c r="B247" i="49"/>
  <c r="B246" i="49"/>
  <c r="B245" i="49"/>
  <c r="B244" i="49"/>
  <c r="B243" i="49"/>
  <c r="B242" i="49"/>
  <c r="B241" i="49"/>
  <c r="B240" i="49"/>
  <c r="B239" i="49"/>
  <c r="B238" i="49"/>
  <c r="B237" i="49"/>
  <c r="B236" i="49"/>
  <c r="B235" i="49"/>
  <c r="B234" i="49"/>
  <c r="B233" i="49"/>
  <c r="B232" i="49"/>
  <c r="B231" i="49"/>
  <c r="FM28" i="49"/>
  <c r="FK28" i="49"/>
  <c r="DG28" i="49"/>
  <c r="DF28" i="49"/>
  <c r="DE28" i="49"/>
  <c r="DD28" i="49"/>
  <c r="DC28" i="49"/>
  <c r="DB28" i="49"/>
  <c r="DA28" i="49"/>
  <c r="CZ28" i="49"/>
  <c r="CY28" i="49"/>
  <c r="CW28" i="49"/>
  <c r="FO28" i="49"/>
  <c r="BX28" i="49"/>
  <c r="BW28" i="49"/>
  <c r="BV28" i="49"/>
  <c r="BU28" i="49"/>
  <c r="BT28" i="49"/>
  <c r="BS28" i="49"/>
  <c r="BR28" i="49"/>
  <c r="BQ28" i="49"/>
  <c r="BP28" i="49"/>
  <c r="BO28" i="49"/>
  <c r="AR28" i="49"/>
  <c r="AL28" i="49"/>
  <c r="FM77" i="49"/>
  <c r="FM76" i="49"/>
  <c r="FM75" i="49"/>
  <c r="FM74" i="49"/>
  <c r="FM73" i="49"/>
  <c r="FM72" i="49"/>
  <c r="FM71" i="49"/>
  <c r="FM70" i="49"/>
  <c r="FM69" i="49"/>
  <c r="FM68" i="49"/>
  <c r="FM67" i="49"/>
  <c r="FM66" i="49"/>
  <c r="FM65" i="49"/>
  <c r="FM64" i="49"/>
  <c r="FM63" i="49"/>
  <c r="FM62" i="49"/>
  <c r="FM61" i="49"/>
  <c r="FM60" i="49"/>
  <c r="FM59" i="49"/>
  <c r="FM58" i="49"/>
  <c r="FM57" i="49"/>
  <c r="FM56" i="49"/>
  <c r="FM55" i="49"/>
  <c r="FM54" i="49"/>
  <c r="FM53" i="49"/>
  <c r="FM52" i="49"/>
  <c r="FM51" i="49"/>
  <c r="FM50" i="49"/>
  <c r="FM49" i="49"/>
  <c r="FM48" i="49"/>
  <c r="FM47" i="49"/>
  <c r="FM46" i="49"/>
  <c r="FM45" i="49"/>
  <c r="FM44" i="49"/>
  <c r="FM42" i="49"/>
  <c r="FM41" i="49"/>
  <c r="FM40" i="49"/>
  <c r="FM39" i="49"/>
  <c r="FM38" i="49"/>
  <c r="FM37" i="49"/>
  <c r="FM36" i="49"/>
  <c r="FM35" i="49"/>
  <c r="FM34" i="49"/>
  <c r="FM33" i="49"/>
  <c r="FM32" i="49"/>
  <c r="FM31" i="49"/>
  <c r="FM30" i="49"/>
  <c r="FM29" i="49"/>
  <c r="FM27" i="49"/>
  <c r="FM26" i="49"/>
  <c r="FM25" i="49"/>
  <c r="FM24" i="49"/>
  <c r="FM23" i="49"/>
  <c r="FM22" i="49"/>
  <c r="FM21" i="49"/>
  <c r="FM20" i="49"/>
  <c r="FM19" i="49"/>
  <c r="FM18" i="49"/>
  <c r="FM17" i="49"/>
  <c r="FM16" i="49"/>
  <c r="FM15" i="49"/>
  <c r="FM14" i="49"/>
  <c r="FM13" i="49"/>
  <c r="FM12" i="49"/>
  <c r="FM11" i="49"/>
  <c r="FM10" i="49"/>
  <c r="FM9" i="49"/>
  <c r="FM8" i="49"/>
  <c r="FM7" i="49"/>
  <c r="FK7" i="49"/>
  <c r="FK8" i="49"/>
  <c r="FK9" i="49"/>
  <c r="FK10" i="49"/>
  <c r="FK11" i="49"/>
  <c r="FK12" i="49"/>
  <c r="FK13" i="49"/>
  <c r="FK14" i="49"/>
  <c r="FK15" i="49"/>
  <c r="FK16" i="49"/>
  <c r="FK17" i="49"/>
  <c r="FK18" i="49"/>
  <c r="FK19" i="49"/>
  <c r="FK20" i="49"/>
  <c r="FK21" i="49"/>
  <c r="FK22" i="49"/>
  <c r="FK23" i="49"/>
  <c r="FK24" i="49"/>
  <c r="FK25" i="49"/>
  <c r="FK26" i="49"/>
  <c r="FK27" i="49"/>
  <c r="FK29" i="49"/>
  <c r="FK30" i="49"/>
  <c r="FK31" i="49"/>
  <c r="FK32" i="49"/>
  <c r="FK33" i="49"/>
  <c r="FK34" i="49"/>
  <c r="FK35" i="49"/>
  <c r="FK36" i="49"/>
  <c r="FK37" i="49"/>
  <c r="FK38" i="49"/>
  <c r="FK39" i="49"/>
  <c r="FK40" i="49"/>
  <c r="FK41" i="49"/>
  <c r="FK42" i="49"/>
  <c r="FK43" i="49"/>
  <c r="FK44" i="49"/>
  <c r="FK45" i="49"/>
  <c r="FK46" i="49"/>
  <c r="FK47" i="49"/>
  <c r="FK48" i="49"/>
  <c r="FK49" i="49"/>
  <c r="FK50" i="49"/>
  <c r="FK51" i="49"/>
  <c r="FK52" i="49"/>
  <c r="FK53" i="49"/>
  <c r="FK54" i="49"/>
  <c r="FK55" i="49"/>
  <c r="FK56" i="49"/>
  <c r="FK57" i="49"/>
  <c r="FK58" i="49"/>
  <c r="FK59" i="49"/>
  <c r="FK60" i="49"/>
  <c r="FK61" i="49"/>
  <c r="FK62" i="49"/>
  <c r="FK63" i="49"/>
  <c r="FK64" i="49"/>
  <c r="FK65" i="49"/>
  <c r="FK66" i="49"/>
  <c r="FK67" i="49"/>
  <c r="FK68" i="49"/>
  <c r="FK69" i="49"/>
  <c r="FK70" i="49"/>
  <c r="FK71" i="49"/>
  <c r="FK72" i="49"/>
  <c r="FK73" i="49"/>
  <c r="FK74" i="49"/>
  <c r="FK75" i="49"/>
  <c r="FK76" i="49"/>
  <c r="FK77" i="49"/>
  <c r="FK78" i="49"/>
  <c r="FK79" i="49"/>
  <c r="FK80" i="49"/>
  <c r="FK81" i="49"/>
  <c r="FK82" i="49"/>
  <c r="FK83" i="49"/>
  <c r="FK84" i="49"/>
  <c r="FK85" i="49"/>
  <c r="FK86" i="49"/>
  <c r="FK87" i="49"/>
  <c r="FK88" i="49"/>
  <c r="FK89" i="49"/>
  <c r="FK90" i="49"/>
  <c r="FK91" i="49"/>
  <c r="FK92" i="49"/>
  <c r="FK93" i="49"/>
  <c r="FK94" i="49"/>
  <c r="FK95" i="49"/>
  <c r="FK96" i="49"/>
  <c r="FK97" i="49"/>
  <c r="FK98" i="49"/>
  <c r="FK99" i="49"/>
  <c r="FK100" i="49"/>
  <c r="FK101" i="49"/>
  <c r="FK102" i="49"/>
  <c r="FK103" i="49"/>
  <c r="AL43" i="49"/>
  <c r="BO43" i="49"/>
  <c r="BP43" i="49"/>
  <c r="BQ43" i="49"/>
  <c r="BR43" i="49"/>
  <c r="BS43" i="49"/>
  <c r="BT43" i="49"/>
  <c r="BU43" i="49"/>
  <c r="BV43" i="49"/>
  <c r="BW43" i="49"/>
  <c r="BX43" i="49"/>
  <c r="CC43" i="49"/>
  <c r="CD43" i="49"/>
  <c r="CE43" i="49"/>
  <c r="CI43" i="49"/>
  <c r="CJ43" i="49"/>
  <c r="CK43" i="49"/>
  <c r="CL43" i="49"/>
  <c r="FO43" i="49" s="1"/>
  <c r="CM43" i="49"/>
  <c r="CN43" i="49"/>
  <c r="CP43" i="49"/>
  <c r="CS43" i="49"/>
  <c r="CT43" i="49"/>
  <c r="CW43" i="49"/>
  <c r="CY43" i="49"/>
  <c r="CZ43" i="49"/>
  <c r="DA43" i="49"/>
  <c r="DB43" i="49"/>
  <c r="DC43" i="49"/>
  <c r="DD43" i="49"/>
  <c r="DF43" i="49"/>
  <c r="DW43" i="49"/>
  <c r="EX43" i="49"/>
  <c r="EY43" i="49"/>
  <c r="AL83" i="49"/>
  <c r="BO83" i="49"/>
  <c r="BP83" i="49"/>
  <c r="BQ83" i="49"/>
  <c r="BR83" i="49"/>
  <c r="BS83" i="49"/>
  <c r="BT83" i="49"/>
  <c r="BU83" i="49"/>
  <c r="BV83" i="49"/>
  <c r="BW83" i="49"/>
  <c r="BX83" i="49"/>
  <c r="CC83" i="49"/>
  <c r="CD83" i="49"/>
  <c r="CE83" i="49"/>
  <c r="CI83" i="49"/>
  <c r="CJ83" i="49"/>
  <c r="CK83" i="49"/>
  <c r="CL83" i="49"/>
  <c r="FO83" i="49" s="1"/>
  <c r="CM83" i="49"/>
  <c r="CN83" i="49"/>
  <c r="CP83" i="49"/>
  <c r="CS83" i="49"/>
  <c r="CT83" i="49"/>
  <c r="CW83" i="49"/>
  <c r="CY83" i="49"/>
  <c r="CZ83" i="49"/>
  <c r="DA83" i="49"/>
  <c r="DB83" i="49"/>
  <c r="DC83" i="49"/>
  <c r="DD83" i="49"/>
  <c r="DF83" i="49"/>
  <c r="DW83" i="49"/>
  <c r="EX83" i="49"/>
  <c r="EY83" i="49"/>
  <c r="AL103" i="49"/>
  <c r="BO103" i="49"/>
  <c r="BP103" i="49"/>
  <c r="BQ103" i="49"/>
  <c r="BR103" i="49"/>
  <c r="BS103" i="49"/>
  <c r="BT103" i="49"/>
  <c r="BU103" i="49"/>
  <c r="BV103" i="49"/>
  <c r="BW103" i="49"/>
  <c r="BX103" i="49"/>
  <c r="CC103" i="49"/>
  <c r="CD103" i="49"/>
  <c r="CE103" i="49"/>
  <c r="CI103" i="49"/>
  <c r="CJ103" i="49"/>
  <c r="CK103" i="49"/>
  <c r="CL103" i="49"/>
  <c r="FO103" i="49" s="1"/>
  <c r="CM103" i="49"/>
  <c r="CN103" i="49"/>
  <c r="CP103" i="49"/>
  <c r="CS103" i="49"/>
  <c r="CT103" i="49"/>
  <c r="CW103" i="49"/>
  <c r="CY103" i="49"/>
  <c r="CZ103" i="49"/>
  <c r="DA103" i="49"/>
  <c r="DB103" i="49"/>
  <c r="DC103" i="49"/>
  <c r="DD103" i="49"/>
  <c r="DF103" i="49"/>
  <c r="DW103" i="49"/>
  <c r="EX103" i="49"/>
  <c r="EY103" i="49"/>
  <c r="BX7" i="49" l="1"/>
  <c r="BX8" i="49"/>
  <c r="BX9" i="49"/>
  <c r="BX10" i="49"/>
  <c r="BX11" i="49"/>
  <c r="BX12" i="49"/>
  <c r="BX13" i="49"/>
  <c r="BX14" i="49"/>
  <c r="BX15" i="49"/>
  <c r="BX16" i="49"/>
  <c r="BX17" i="49"/>
  <c r="BX18" i="49"/>
  <c r="BX19" i="49"/>
  <c r="BX20" i="49"/>
  <c r="BX21" i="49"/>
  <c r="BX22" i="49"/>
  <c r="BX23" i="49"/>
  <c r="BX24" i="49"/>
  <c r="BX25" i="49"/>
  <c r="BX26" i="49"/>
  <c r="BX27" i="49"/>
  <c r="BX29" i="49"/>
  <c r="BX30" i="49"/>
  <c r="BX31" i="49"/>
  <c r="BX32" i="49"/>
  <c r="BX33" i="49"/>
  <c r="BX34" i="49"/>
  <c r="BX35" i="49"/>
  <c r="BX36" i="49"/>
  <c r="BX37" i="49"/>
  <c r="BX38" i="49"/>
  <c r="BX39" i="49"/>
  <c r="BX40" i="49"/>
  <c r="BX41" i="49"/>
  <c r="BX42" i="49"/>
  <c r="BX44" i="49"/>
  <c r="BX45" i="49"/>
  <c r="BX46" i="49"/>
  <c r="BX47" i="49"/>
  <c r="BX48" i="49"/>
  <c r="BX49" i="49"/>
  <c r="BX50" i="49"/>
  <c r="BX51" i="49"/>
  <c r="BX52" i="49"/>
  <c r="BX53" i="49"/>
  <c r="BX54" i="49"/>
  <c r="BX55" i="49"/>
  <c r="BX56" i="49"/>
  <c r="BX57" i="49"/>
  <c r="BX58" i="49"/>
  <c r="BX59" i="49"/>
  <c r="BX60" i="49"/>
  <c r="BX61" i="49"/>
  <c r="BX62" i="49"/>
  <c r="BX63" i="49"/>
  <c r="BX64" i="49"/>
  <c r="BX65" i="49"/>
  <c r="BX66" i="49"/>
  <c r="BX67" i="49"/>
  <c r="BX68" i="49"/>
  <c r="BX69" i="49"/>
  <c r="BX70" i="49"/>
  <c r="BX71" i="49"/>
  <c r="BX72" i="49"/>
  <c r="BX73" i="49"/>
  <c r="BX74" i="49"/>
  <c r="BX75" i="49"/>
  <c r="BX76" i="49"/>
  <c r="BX77" i="49"/>
  <c r="BX78" i="49"/>
  <c r="BX79" i="49"/>
  <c r="BX80" i="49"/>
  <c r="BX81" i="49"/>
  <c r="BX82" i="49"/>
  <c r="BX84" i="49"/>
  <c r="BX85" i="49"/>
  <c r="BX86" i="49"/>
  <c r="BX87" i="49"/>
  <c r="BX88" i="49"/>
  <c r="BX89" i="49"/>
  <c r="BX90" i="49"/>
  <c r="BX91" i="49"/>
  <c r="BX92" i="49"/>
  <c r="BX93" i="49"/>
  <c r="BX94" i="49"/>
  <c r="BX95" i="49"/>
  <c r="BX96" i="49"/>
  <c r="BX97" i="49"/>
  <c r="BX98" i="49"/>
  <c r="BX99" i="49"/>
  <c r="BX100" i="49"/>
  <c r="BX101" i="49"/>
  <c r="BX102" i="49"/>
  <c r="BW7" i="49"/>
  <c r="BW8" i="49"/>
  <c r="BW9" i="49"/>
  <c r="BW10" i="49"/>
  <c r="BW11" i="49"/>
  <c r="BW12" i="49"/>
  <c r="BW13" i="49"/>
  <c r="BW14" i="49"/>
  <c r="BW15" i="49"/>
  <c r="BW16" i="49"/>
  <c r="BW17" i="49"/>
  <c r="BW18" i="49"/>
  <c r="BW19" i="49"/>
  <c r="BW20" i="49"/>
  <c r="BW21" i="49"/>
  <c r="BW22" i="49"/>
  <c r="BW23" i="49"/>
  <c r="BW24" i="49"/>
  <c r="BW25" i="49"/>
  <c r="BW26" i="49"/>
  <c r="BW27" i="49"/>
  <c r="BW29" i="49"/>
  <c r="BW30" i="49"/>
  <c r="BW31" i="49"/>
  <c r="BW32" i="49"/>
  <c r="BW33" i="49"/>
  <c r="BW34" i="49"/>
  <c r="BW35" i="49"/>
  <c r="BW36" i="49"/>
  <c r="BW37" i="49"/>
  <c r="BW38" i="49"/>
  <c r="BW39" i="49"/>
  <c r="BW40" i="49"/>
  <c r="BW41" i="49"/>
  <c r="BW42" i="49"/>
  <c r="BW44" i="49"/>
  <c r="BW45" i="49"/>
  <c r="BW46" i="49"/>
  <c r="BW47" i="49"/>
  <c r="BW48" i="49"/>
  <c r="BW49" i="49"/>
  <c r="BW50" i="49"/>
  <c r="BW51" i="49"/>
  <c r="BW52" i="49"/>
  <c r="BW53" i="49"/>
  <c r="BW54" i="49"/>
  <c r="BW55" i="49"/>
  <c r="BW56" i="49"/>
  <c r="BW57" i="49"/>
  <c r="BW58" i="49"/>
  <c r="BW59" i="49"/>
  <c r="BW60" i="49"/>
  <c r="BW61" i="49"/>
  <c r="BW62" i="49"/>
  <c r="BW63" i="49"/>
  <c r="BW64" i="49"/>
  <c r="BW65" i="49"/>
  <c r="BW66" i="49"/>
  <c r="BW67" i="49"/>
  <c r="BW68" i="49"/>
  <c r="BW69" i="49"/>
  <c r="BW70" i="49"/>
  <c r="BW71" i="49"/>
  <c r="BW72" i="49"/>
  <c r="BW73" i="49"/>
  <c r="BW74" i="49"/>
  <c r="BW75" i="49"/>
  <c r="BW76" i="49"/>
  <c r="BW77" i="49"/>
  <c r="BW78" i="49"/>
  <c r="BW79" i="49"/>
  <c r="BW80" i="49"/>
  <c r="BW81" i="49"/>
  <c r="BW82" i="49"/>
  <c r="BW84" i="49"/>
  <c r="BW85" i="49"/>
  <c r="BW86" i="49"/>
  <c r="BW87" i="49"/>
  <c r="BW88" i="49"/>
  <c r="BW89" i="49"/>
  <c r="BW90" i="49"/>
  <c r="BW91" i="49"/>
  <c r="BW92" i="49"/>
  <c r="BW93" i="49"/>
  <c r="BW94" i="49"/>
  <c r="BW95" i="49"/>
  <c r="BW96" i="49"/>
  <c r="BW97" i="49"/>
  <c r="BW98" i="49"/>
  <c r="BW99" i="49"/>
  <c r="BW100" i="49"/>
  <c r="BW101" i="49"/>
  <c r="BW102" i="49"/>
  <c r="BV7" i="49"/>
  <c r="BV8" i="49"/>
  <c r="BV9" i="49"/>
  <c r="BV10" i="49"/>
  <c r="BV11" i="49"/>
  <c r="BV12" i="49"/>
  <c r="BV13" i="49"/>
  <c r="BV14" i="49"/>
  <c r="BV15" i="49"/>
  <c r="BV16" i="49"/>
  <c r="BV17" i="49"/>
  <c r="BV18" i="49"/>
  <c r="BV19" i="49"/>
  <c r="BV20" i="49"/>
  <c r="BV21" i="49"/>
  <c r="BV22" i="49"/>
  <c r="BV23" i="49"/>
  <c r="BV24" i="49"/>
  <c r="BV25" i="49"/>
  <c r="BV26" i="49"/>
  <c r="BV27" i="49"/>
  <c r="BV29" i="49"/>
  <c r="BV30" i="49"/>
  <c r="BV31" i="49"/>
  <c r="BV32" i="49"/>
  <c r="BV33" i="49"/>
  <c r="BV34" i="49"/>
  <c r="BV35" i="49"/>
  <c r="BV36" i="49"/>
  <c r="BV37" i="49"/>
  <c r="BV38" i="49"/>
  <c r="BV39" i="49"/>
  <c r="BV40" i="49"/>
  <c r="BV41" i="49"/>
  <c r="BV42"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4" i="49"/>
  <c r="BV85" i="49"/>
  <c r="BV86" i="49"/>
  <c r="BV87" i="49"/>
  <c r="BV88" i="49"/>
  <c r="BV89" i="49"/>
  <c r="BV90" i="49"/>
  <c r="BV91" i="49"/>
  <c r="BV92" i="49"/>
  <c r="BV93" i="49"/>
  <c r="BV94" i="49"/>
  <c r="BV95" i="49"/>
  <c r="BV96" i="49"/>
  <c r="BV97" i="49"/>
  <c r="BV98" i="49"/>
  <c r="BV99" i="49"/>
  <c r="BV100" i="49"/>
  <c r="BV101" i="49"/>
  <c r="BV102" i="49"/>
  <c r="BU7" i="49"/>
  <c r="BU8" i="49"/>
  <c r="BU9" i="49"/>
  <c r="BU10" i="49"/>
  <c r="BU11" i="49"/>
  <c r="BU12" i="49"/>
  <c r="BU13" i="49"/>
  <c r="BU14" i="49"/>
  <c r="BU15" i="49"/>
  <c r="BU16" i="49"/>
  <c r="BU17" i="49"/>
  <c r="BU18" i="49"/>
  <c r="BU19" i="49"/>
  <c r="BU20" i="49"/>
  <c r="BU21" i="49"/>
  <c r="BU22" i="49"/>
  <c r="BU23" i="49"/>
  <c r="BU24" i="49"/>
  <c r="BU25" i="49"/>
  <c r="BU26" i="49"/>
  <c r="BU27" i="49"/>
  <c r="BU29" i="49"/>
  <c r="BU30" i="49"/>
  <c r="BU31" i="49"/>
  <c r="BU32" i="49"/>
  <c r="BU33" i="49"/>
  <c r="BU34" i="49"/>
  <c r="BU35" i="49"/>
  <c r="BU36" i="49"/>
  <c r="BU37" i="49"/>
  <c r="BU38" i="49"/>
  <c r="BU39" i="49"/>
  <c r="BU40" i="49"/>
  <c r="BU41" i="49"/>
  <c r="BU42" i="49"/>
  <c r="BU44" i="49"/>
  <c r="BU45" i="49"/>
  <c r="BU46" i="49"/>
  <c r="BU47" i="49"/>
  <c r="BU48" i="49"/>
  <c r="BU49" i="49"/>
  <c r="BU50" i="49"/>
  <c r="BU51" i="49"/>
  <c r="BU52" i="49"/>
  <c r="BU53" i="49"/>
  <c r="BU54" i="49"/>
  <c r="BU55" i="49"/>
  <c r="BU56" i="49"/>
  <c r="BU57" i="49"/>
  <c r="BU58" i="49"/>
  <c r="BU59" i="49"/>
  <c r="BU60" i="49"/>
  <c r="BU61" i="49"/>
  <c r="BU62" i="49"/>
  <c r="BU63" i="49"/>
  <c r="BU64" i="49"/>
  <c r="BU65" i="49"/>
  <c r="BU66" i="49"/>
  <c r="BU67" i="49"/>
  <c r="BU68" i="49"/>
  <c r="BU69" i="49"/>
  <c r="BU70" i="49"/>
  <c r="BU71" i="49"/>
  <c r="BU72" i="49"/>
  <c r="BU73" i="49"/>
  <c r="BU74" i="49"/>
  <c r="BU75" i="49"/>
  <c r="BU76" i="49"/>
  <c r="BU77" i="49"/>
  <c r="BU78" i="49"/>
  <c r="BU79" i="49"/>
  <c r="BU80" i="49"/>
  <c r="BU81" i="49"/>
  <c r="BU82" i="49"/>
  <c r="BU84" i="49"/>
  <c r="BU85" i="49"/>
  <c r="BU86" i="49"/>
  <c r="BU87" i="49"/>
  <c r="BU88" i="49"/>
  <c r="BU89" i="49"/>
  <c r="BU90" i="49"/>
  <c r="BU91" i="49"/>
  <c r="BU92" i="49"/>
  <c r="BU93" i="49"/>
  <c r="BU94" i="49"/>
  <c r="BU95" i="49"/>
  <c r="BU96" i="49"/>
  <c r="BU97" i="49"/>
  <c r="BU98" i="49"/>
  <c r="BU99" i="49"/>
  <c r="BU100" i="49"/>
  <c r="BU101" i="49"/>
  <c r="BU102" i="49"/>
  <c r="BT7" i="49"/>
  <c r="BT8" i="49"/>
  <c r="BT9" i="49"/>
  <c r="BT10" i="49"/>
  <c r="BT11" i="49"/>
  <c r="BT12" i="49"/>
  <c r="BT13" i="49"/>
  <c r="BT14" i="49"/>
  <c r="BT15" i="49"/>
  <c r="BT16" i="49"/>
  <c r="BT17" i="49"/>
  <c r="BT18" i="49"/>
  <c r="BT19" i="49"/>
  <c r="BT20" i="49"/>
  <c r="BT21" i="49"/>
  <c r="BT22" i="49"/>
  <c r="BT23" i="49"/>
  <c r="BT24" i="49"/>
  <c r="BT25" i="49"/>
  <c r="BT26" i="49"/>
  <c r="BT27" i="49"/>
  <c r="BT29" i="49"/>
  <c r="BT30" i="49"/>
  <c r="BT31" i="49"/>
  <c r="BT32" i="49"/>
  <c r="BT33" i="49"/>
  <c r="BT34" i="49"/>
  <c r="BT35" i="49"/>
  <c r="BT36" i="49"/>
  <c r="BT37" i="49"/>
  <c r="BT38" i="49"/>
  <c r="BT39" i="49"/>
  <c r="BT40" i="49"/>
  <c r="BT41" i="49"/>
  <c r="BT42" i="49"/>
  <c r="BT44" i="49"/>
  <c r="BT45" i="49"/>
  <c r="BT46" i="49"/>
  <c r="BT47" i="49"/>
  <c r="BT48" i="49"/>
  <c r="BT49" i="49"/>
  <c r="BT50" i="49"/>
  <c r="BT51" i="49"/>
  <c r="BT52" i="49"/>
  <c r="BT53" i="49"/>
  <c r="BT54" i="49"/>
  <c r="BT55" i="49"/>
  <c r="BT56" i="49"/>
  <c r="BT57" i="49"/>
  <c r="BT58" i="49"/>
  <c r="BT59" i="49"/>
  <c r="BT60" i="49"/>
  <c r="BT61" i="49"/>
  <c r="BT62" i="49"/>
  <c r="BT63" i="49"/>
  <c r="BT64" i="49"/>
  <c r="BT65" i="49"/>
  <c r="BT66" i="49"/>
  <c r="BT67" i="49"/>
  <c r="BT68" i="49"/>
  <c r="BT69" i="49"/>
  <c r="BT70" i="49"/>
  <c r="BT71" i="49"/>
  <c r="BT72" i="49"/>
  <c r="BT73" i="49"/>
  <c r="BT74" i="49"/>
  <c r="BT75" i="49"/>
  <c r="BT76" i="49"/>
  <c r="BT77" i="49"/>
  <c r="BT78" i="49"/>
  <c r="BT79" i="49"/>
  <c r="BT80" i="49"/>
  <c r="BT81" i="49"/>
  <c r="BT82" i="49"/>
  <c r="BT84" i="49"/>
  <c r="BT85" i="49"/>
  <c r="BT86" i="49"/>
  <c r="BT87" i="49"/>
  <c r="BT88" i="49"/>
  <c r="BT89" i="49"/>
  <c r="BT90" i="49"/>
  <c r="BT91" i="49"/>
  <c r="BT92" i="49"/>
  <c r="BT93" i="49"/>
  <c r="BT94" i="49"/>
  <c r="BT95" i="49"/>
  <c r="BT96" i="49"/>
  <c r="BT97" i="49"/>
  <c r="BT98" i="49"/>
  <c r="BT99" i="49"/>
  <c r="BT100" i="49"/>
  <c r="BT101" i="49"/>
  <c r="BT102" i="49"/>
  <c r="BS7" i="49"/>
  <c r="BS8" i="49"/>
  <c r="BS9" i="49"/>
  <c r="BS10" i="49"/>
  <c r="BS11" i="49"/>
  <c r="BS12" i="49"/>
  <c r="BS13" i="49"/>
  <c r="BS14" i="49"/>
  <c r="BS15" i="49"/>
  <c r="BS16" i="49"/>
  <c r="BS17" i="49"/>
  <c r="BS18" i="49"/>
  <c r="BS19" i="49"/>
  <c r="BS20" i="49"/>
  <c r="BS21" i="49"/>
  <c r="BS22" i="49"/>
  <c r="BS23" i="49"/>
  <c r="BS24" i="49"/>
  <c r="BS25" i="49"/>
  <c r="BS26" i="49"/>
  <c r="BS27" i="49"/>
  <c r="BS29" i="49"/>
  <c r="BS30" i="49"/>
  <c r="BS31" i="49"/>
  <c r="BS32" i="49"/>
  <c r="BS33" i="49"/>
  <c r="BS34" i="49"/>
  <c r="BS35" i="49"/>
  <c r="BS36" i="49"/>
  <c r="BS37" i="49"/>
  <c r="BS38" i="49"/>
  <c r="BS39" i="49"/>
  <c r="BS40" i="49"/>
  <c r="BS41" i="49"/>
  <c r="BS42" i="49"/>
  <c r="BS44" i="49"/>
  <c r="BS45" i="49"/>
  <c r="BS46" i="49"/>
  <c r="BS47" i="49"/>
  <c r="BS48" i="49"/>
  <c r="BS49" i="49"/>
  <c r="BS50" i="49"/>
  <c r="BS51" i="49"/>
  <c r="BS52" i="49"/>
  <c r="BS53" i="49"/>
  <c r="BS54" i="49"/>
  <c r="BS55" i="49"/>
  <c r="BS56" i="49"/>
  <c r="BS57" i="49"/>
  <c r="BS58" i="49"/>
  <c r="BS59" i="49"/>
  <c r="BS60" i="49"/>
  <c r="BS61" i="49"/>
  <c r="BS62" i="49"/>
  <c r="BS63" i="49"/>
  <c r="BS64" i="49"/>
  <c r="BS65" i="49"/>
  <c r="BS66" i="49"/>
  <c r="BS67" i="49"/>
  <c r="BS68" i="49"/>
  <c r="BS69" i="49"/>
  <c r="BS70" i="49"/>
  <c r="BS71" i="49"/>
  <c r="BS72" i="49"/>
  <c r="BS73" i="49"/>
  <c r="BS74" i="49"/>
  <c r="BS75" i="49"/>
  <c r="BS76" i="49"/>
  <c r="BS77" i="49"/>
  <c r="BS78" i="49"/>
  <c r="BS79" i="49"/>
  <c r="BS80" i="49"/>
  <c r="BS81" i="49"/>
  <c r="BS82" i="49"/>
  <c r="BS84" i="49"/>
  <c r="BS85" i="49"/>
  <c r="BS86" i="49"/>
  <c r="BS87" i="49"/>
  <c r="BS88" i="49"/>
  <c r="BS89" i="49"/>
  <c r="BS90" i="49"/>
  <c r="BS91" i="49"/>
  <c r="BS92" i="49"/>
  <c r="BS93" i="49"/>
  <c r="BS94" i="49"/>
  <c r="BS95" i="49"/>
  <c r="BS96" i="49"/>
  <c r="BS97" i="49"/>
  <c r="BS98" i="49"/>
  <c r="BS99" i="49"/>
  <c r="BS100" i="49"/>
  <c r="BS101" i="49"/>
  <c r="BS102" i="49"/>
  <c r="BR7" i="49"/>
  <c r="BR8" i="49"/>
  <c r="BR9" i="49"/>
  <c r="BR10" i="49"/>
  <c r="BR11" i="49"/>
  <c r="BR12" i="49"/>
  <c r="BR13" i="49"/>
  <c r="BR14" i="49"/>
  <c r="BR15" i="49"/>
  <c r="BR16" i="49"/>
  <c r="BR17" i="49"/>
  <c r="BR18" i="49"/>
  <c r="BR19" i="49"/>
  <c r="BR20" i="49"/>
  <c r="BR21" i="49"/>
  <c r="BR22" i="49"/>
  <c r="BR23" i="49"/>
  <c r="BR24" i="49"/>
  <c r="BR25" i="49"/>
  <c r="BR26" i="49"/>
  <c r="BR27" i="49"/>
  <c r="BR29" i="49"/>
  <c r="BR30" i="49"/>
  <c r="BR31" i="49"/>
  <c r="BR32" i="49"/>
  <c r="BR33" i="49"/>
  <c r="BR34" i="49"/>
  <c r="BR35" i="49"/>
  <c r="BR36" i="49"/>
  <c r="BR37" i="49"/>
  <c r="BR38" i="49"/>
  <c r="BR39" i="49"/>
  <c r="BR40" i="49"/>
  <c r="BR41" i="49"/>
  <c r="BR42" i="49"/>
  <c r="BR44" i="49"/>
  <c r="BR45" i="49"/>
  <c r="BR46" i="49"/>
  <c r="BR47" i="49"/>
  <c r="BR48" i="49"/>
  <c r="BR49" i="49"/>
  <c r="BR50" i="49"/>
  <c r="BR51" i="49"/>
  <c r="BR52" i="49"/>
  <c r="BR53" i="49"/>
  <c r="BR54" i="49"/>
  <c r="BR55" i="49"/>
  <c r="BR56" i="49"/>
  <c r="BR57" i="49"/>
  <c r="BR58" i="49"/>
  <c r="BR59" i="49"/>
  <c r="BR60" i="49"/>
  <c r="BR61" i="49"/>
  <c r="BR62" i="49"/>
  <c r="BR63" i="49"/>
  <c r="BR64" i="49"/>
  <c r="BR65" i="49"/>
  <c r="BR66" i="49"/>
  <c r="BR67" i="49"/>
  <c r="BR68" i="49"/>
  <c r="BR69" i="49"/>
  <c r="BR70" i="49"/>
  <c r="BR71" i="49"/>
  <c r="BR72" i="49"/>
  <c r="BR73" i="49"/>
  <c r="BR74" i="49"/>
  <c r="BR75" i="49"/>
  <c r="BR76" i="49"/>
  <c r="BR77" i="49"/>
  <c r="BR78" i="49"/>
  <c r="BR79" i="49"/>
  <c r="BR80" i="49"/>
  <c r="BR81" i="49"/>
  <c r="BR82" i="49"/>
  <c r="BR84" i="49"/>
  <c r="BR85" i="49"/>
  <c r="BR86" i="49"/>
  <c r="BR87" i="49"/>
  <c r="BR88" i="49"/>
  <c r="BR89" i="49"/>
  <c r="BR90" i="49"/>
  <c r="BR91" i="49"/>
  <c r="BR92" i="49"/>
  <c r="BR93" i="49"/>
  <c r="BR94" i="49"/>
  <c r="BR95" i="49"/>
  <c r="BR96" i="49"/>
  <c r="BR97" i="49"/>
  <c r="BR98" i="49"/>
  <c r="BR99" i="49"/>
  <c r="BR100" i="49"/>
  <c r="BR101" i="49"/>
  <c r="BR102" i="49"/>
  <c r="BQ7" i="49"/>
  <c r="BQ8" i="49"/>
  <c r="BQ9" i="49"/>
  <c r="BQ10" i="49"/>
  <c r="BQ11" i="49"/>
  <c r="BQ12" i="49"/>
  <c r="BQ13" i="49"/>
  <c r="BQ14" i="49"/>
  <c r="BQ15" i="49"/>
  <c r="BQ16" i="49"/>
  <c r="BQ17" i="49"/>
  <c r="BQ18" i="49"/>
  <c r="BQ19" i="49"/>
  <c r="BQ20" i="49"/>
  <c r="BQ21" i="49"/>
  <c r="BQ22" i="49"/>
  <c r="BQ23" i="49"/>
  <c r="BQ24" i="49"/>
  <c r="BQ25" i="49"/>
  <c r="BQ26" i="49"/>
  <c r="BQ27" i="49"/>
  <c r="BQ29" i="49"/>
  <c r="BQ30" i="49"/>
  <c r="BQ31" i="49"/>
  <c r="BQ32" i="49"/>
  <c r="BQ33" i="49"/>
  <c r="BQ34" i="49"/>
  <c r="BQ35" i="49"/>
  <c r="BQ36" i="49"/>
  <c r="BQ37" i="49"/>
  <c r="BQ38" i="49"/>
  <c r="BQ39" i="49"/>
  <c r="BQ40" i="49"/>
  <c r="BQ41" i="49"/>
  <c r="BQ42" i="49"/>
  <c r="BQ44" i="49"/>
  <c r="BQ45" i="49"/>
  <c r="BQ46" i="49"/>
  <c r="BQ47" i="49"/>
  <c r="BQ48" i="49"/>
  <c r="BQ49" i="49"/>
  <c r="BQ50" i="49"/>
  <c r="BQ51" i="49"/>
  <c r="BQ52" i="49"/>
  <c r="BQ53" i="49"/>
  <c r="BQ54" i="49"/>
  <c r="BQ55" i="49"/>
  <c r="BQ56" i="49"/>
  <c r="BQ57" i="49"/>
  <c r="BQ58" i="49"/>
  <c r="BQ59" i="49"/>
  <c r="BQ60" i="49"/>
  <c r="BQ61" i="49"/>
  <c r="BQ62" i="49"/>
  <c r="BQ63" i="49"/>
  <c r="BQ64" i="49"/>
  <c r="BQ65" i="49"/>
  <c r="BQ66" i="49"/>
  <c r="BQ67" i="49"/>
  <c r="BQ68" i="49"/>
  <c r="BQ69" i="49"/>
  <c r="BQ70" i="49"/>
  <c r="BQ71" i="49"/>
  <c r="BQ72" i="49"/>
  <c r="BQ73" i="49"/>
  <c r="BQ74" i="49"/>
  <c r="BQ75" i="49"/>
  <c r="BQ76" i="49"/>
  <c r="BQ77" i="49"/>
  <c r="BQ78" i="49"/>
  <c r="BQ79" i="49"/>
  <c r="BQ80" i="49"/>
  <c r="BQ81" i="49"/>
  <c r="BQ82" i="49"/>
  <c r="BQ84" i="49"/>
  <c r="BQ85" i="49"/>
  <c r="BQ86" i="49"/>
  <c r="BQ87" i="49"/>
  <c r="BQ88" i="49"/>
  <c r="BQ89" i="49"/>
  <c r="BQ90" i="49"/>
  <c r="BQ91" i="49"/>
  <c r="BQ92" i="49"/>
  <c r="BQ93" i="49"/>
  <c r="BQ94" i="49"/>
  <c r="BQ95" i="49"/>
  <c r="BQ96" i="49"/>
  <c r="BQ97" i="49"/>
  <c r="BQ98" i="49"/>
  <c r="BQ99" i="49"/>
  <c r="BQ100" i="49"/>
  <c r="BQ101" i="49"/>
  <c r="BQ102" i="49"/>
  <c r="Q9" i="18" l="1"/>
  <c r="Q8" i="18"/>
  <c r="Q7" i="18"/>
  <c r="Q6" i="18"/>
  <c r="Q5" i="18"/>
  <c r="E9" i="18"/>
  <c r="E8" i="18"/>
  <c r="E7" i="18"/>
  <c r="E6" i="18"/>
  <c r="E5" i="18"/>
  <c r="U9" i="18"/>
  <c r="U8" i="18"/>
  <c r="U7" i="18"/>
  <c r="U6" i="18"/>
  <c r="U5" i="18"/>
  <c r="W9" i="18"/>
  <c r="W8" i="18"/>
  <c r="W7" i="18"/>
  <c r="W6" i="18"/>
  <c r="W5" i="18"/>
  <c r="AA5" i="18"/>
  <c r="AA6" i="18"/>
  <c r="AA7" i="18"/>
  <c r="AA8" i="18"/>
  <c r="AA9" i="18"/>
  <c r="V9" i="18"/>
  <c r="V8" i="18"/>
  <c r="V7" i="18"/>
  <c r="V6" i="18"/>
  <c r="V5" i="18"/>
  <c r="AQ4" i="15"/>
  <c r="W447" i="47" l="1"/>
  <c r="BP102" i="49" l="1"/>
  <c r="BO102" i="49"/>
  <c r="BP101" i="49"/>
  <c r="BO101" i="49"/>
  <c r="BP100" i="49"/>
  <c r="BO100" i="49"/>
  <c r="BP99" i="49"/>
  <c r="BO99" i="49"/>
  <c r="BP98" i="49"/>
  <c r="BO98" i="49"/>
  <c r="BP97" i="49"/>
  <c r="BO97" i="49"/>
  <c r="BP96" i="49"/>
  <c r="BO96" i="49"/>
  <c r="BP95" i="49"/>
  <c r="BO95" i="49"/>
  <c r="BP94" i="49"/>
  <c r="BO94" i="49"/>
  <c r="BP93" i="49"/>
  <c r="BO93" i="49"/>
  <c r="BP92" i="49"/>
  <c r="BO92" i="49"/>
  <c r="BP91" i="49"/>
  <c r="BO91" i="49"/>
  <c r="BP90" i="49"/>
  <c r="BO90" i="49"/>
  <c r="BP89" i="49"/>
  <c r="BO89" i="49"/>
  <c r="BP88" i="49"/>
  <c r="BO88" i="49"/>
  <c r="BP87" i="49"/>
  <c r="BO87" i="49"/>
  <c r="BP86" i="49"/>
  <c r="BO86" i="49"/>
  <c r="BP85" i="49"/>
  <c r="BO85" i="49"/>
  <c r="BP84" i="49"/>
  <c r="BO84" i="49"/>
  <c r="BP82" i="49"/>
  <c r="BO82" i="49"/>
  <c r="BP81" i="49"/>
  <c r="BO81" i="49"/>
  <c r="BP80" i="49"/>
  <c r="BO80" i="49"/>
  <c r="BP79" i="49"/>
  <c r="BO79" i="49"/>
  <c r="BP78" i="49"/>
  <c r="BO78" i="49"/>
  <c r="BP77" i="49"/>
  <c r="BO77" i="49"/>
  <c r="BP76" i="49"/>
  <c r="BO76" i="49"/>
  <c r="BP75" i="49"/>
  <c r="BO75" i="49"/>
  <c r="BP74" i="49"/>
  <c r="BO74" i="49"/>
  <c r="BP73" i="49"/>
  <c r="BO73" i="49"/>
  <c r="BP72" i="49"/>
  <c r="BO72" i="49"/>
  <c r="BP71" i="49"/>
  <c r="BO71" i="49"/>
  <c r="BP70" i="49"/>
  <c r="BO70" i="49"/>
  <c r="BP69" i="49"/>
  <c r="BO69" i="49"/>
  <c r="BP68" i="49"/>
  <c r="BO68" i="49"/>
  <c r="BP67" i="49"/>
  <c r="BO67" i="49"/>
  <c r="BP66" i="49"/>
  <c r="BO66" i="49"/>
  <c r="BP65" i="49"/>
  <c r="BO65" i="49"/>
  <c r="BP64" i="49"/>
  <c r="BO64" i="49"/>
  <c r="BP63" i="49"/>
  <c r="BO63" i="49"/>
  <c r="BP62" i="49"/>
  <c r="BO62" i="49"/>
  <c r="BP61" i="49"/>
  <c r="BO61" i="49"/>
  <c r="BP60" i="49"/>
  <c r="BO60" i="49"/>
  <c r="BP59" i="49"/>
  <c r="BO59" i="49"/>
  <c r="BP58" i="49"/>
  <c r="BO58" i="49"/>
  <c r="BP57" i="49"/>
  <c r="BO57" i="49"/>
  <c r="BP56" i="49"/>
  <c r="BO56" i="49"/>
  <c r="BP55" i="49"/>
  <c r="BO55" i="49"/>
  <c r="BP54" i="49"/>
  <c r="BO54" i="49"/>
  <c r="BP53" i="49"/>
  <c r="BO53" i="49"/>
  <c r="BP52" i="49"/>
  <c r="BO52" i="49"/>
  <c r="BP51" i="49"/>
  <c r="BO51" i="49"/>
  <c r="BP50" i="49"/>
  <c r="BO50" i="49"/>
  <c r="BP49" i="49"/>
  <c r="BO49" i="49"/>
  <c r="BP48" i="49"/>
  <c r="BO48" i="49"/>
  <c r="BP47" i="49"/>
  <c r="BO47" i="49"/>
  <c r="BP46" i="49"/>
  <c r="BO46" i="49"/>
  <c r="BP45" i="49"/>
  <c r="BO45" i="49"/>
  <c r="BP44" i="49"/>
  <c r="BO44" i="49"/>
  <c r="BP42" i="49"/>
  <c r="BO42" i="49"/>
  <c r="BP41" i="49"/>
  <c r="BO41" i="49"/>
  <c r="BP40" i="49"/>
  <c r="BO40" i="49"/>
  <c r="BP39" i="49"/>
  <c r="BO39" i="49"/>
  <c r="BP38" i="49"/>
  <c r="BO38" i="49"/>
  <c r="BP37" i="49"/>
  <c r="BO37" i="49"/>
  <c r="BP36" i="49"/>
  <c r="BO36" i="49"/>
  <c r="BP35" i="49"/>
  <c r="BO35" i="49"/>
  <c r="BP34" i="49"/>
  <c r="BO34" i="49"/>
  <c r="BP33" i="49"/>
  <c r="BO33" i="49"/>
  <c r="BP32" i="49"/>
  <c r="BO32" i="49"/>
  <c r="BP31" i="49"/>
  <c r="BO31" i="49"/>
  <c r="BP30" i="49"/>
  <c r="BO30" i="49"/>
  <c r="BP29" i="49"/>
  <c r="BO29" i="49"/>
  <c r="BP27" i="49"/>
  <c r="BO27" i="49"/>
  <c r="BP26" i="49"/>
  <c r="BO26" i="49"/>
  <c r="BP25" i="49"/>
  <c r="BO25" i="49"/>
  <c r="BP24" i="49"/>
  <c r="BO24" i="49"/>
  <c r="BP23" i="49"/>
  <c r="BO23" i="49"/>
  <c r="BP22" i="49"/>
  <c r="BO22" i="49"/>
  <c r="BP21" i="49"/>
  <c r="BO21" i="49"/>
  <c r="BP20" i="49"/>
  <c r="BO20" i="49"/>
  <c r="BP19" i="49"/>
  <c r="BO19" i="49"/>
  <c r="BP18" i="49"/>
  <c r="BO18" i="49"/>
  <c r="BP17" i="49"/>
  <c r="BO17" i="49"/>
  <c r="BP16" i="49"/>
  <c r="BO16" i="49"/>
  <c r="BP15" i="49"/>
  <c r="BO15" i="49"/>
  <c r="BP14" i="49"/>
  <c r="BO14" i="49"/>
  <c r="BP13" i="49"/>
  <c r="BO13" i="49"/>
  <c r="BP12" i="49"/>
  <c r="BO12" i="49"/>
  <c r="BP11" i="49"/>
  <c r="BO11" i="49"/>
  <c r="BP10" i="49"/>
  <c r="BO10" i="49"/>
  <c r="BP9" i="49"/>
  <c r="BO9" i="49"/>
  <c r="BP8" i="49"/>
  <c r="BO8" i="49"/>
  <c r="BP7" i="49"/>
  <c r="BO7" i="49"/>
  <c r="AL102" i="49"/>
  <c r="CM102" i="49"/>
  <c r="CD102" i="49"/>
  <c r="CC102" i="49"/>
  <c r="CS102" i="49"/>
  <c r="DD102" i="49"/>
  <c r="DA102" i="49"/>
  <c r="CP102" i="49"/>
  <c r="EY102" i="49"/>
  <c r="EX102" i="49"/>
  <c r="CN102" i="49"/>
  <c r="CW102" i="49"/>
  <c r="CL102" i="49"/>
  <c r="FO102" i="49" s="1"/>
  <c r="CT102" i="49"/>
  <c r="DW102" i="49"/>
  <c r="DC102" i="49"/>
  <c r="DB102" i="49"/>
  <c r="CZ102" i="49"/>
  <c r="CY102" i="49"/>
  <c r="CK102" i="49"/>
  <c r="CJ102" i="49"/>
  <c r="CI102" i="49"/>
  <c r="AL101" i="49"/>
  <c r="CM101" i="49"/>
  <c r="CD101" i="49"/>
  <c r="CC101" i="49"/>
  <c r="CS101" i="49"/>
  <c r="DD101" i="49"/>
  <c r="DA101" i="49"/>
  <c r="CP101" i="49"/>
  <c r="EY101" i="49"/>
  <c r="EX101" i="49"/>
  <c r="CN101" i="49"/>
  <c r="CW101" i="49"/>
  <c r="CL101" i="49"/>
  <c r="FO101" i="49" s="1"/>
  <c r="CT101" i="49"/>
  <c r="DW101" i="49"/>
  <c r="DC101" i="49"/>
  <c r="DB101" i="49"/>
  <c r="CZ101" i="49"/>
  <c r="CY101" i="49"/>
  <c r="CK101" i="49"/>
  <c r="CJ101" i="49"/>
  <c r="CI101" i="49"/>
  <c r="AL100" i="49"/>
  <c r="CM100" i="49"/>
  <c r="CD100" i="49"/>
  <c r="CC100" i="49"/>
  <c r="CS100" i="49"/>
  <c r="DD100" i="49"/>
  <c r="DA100" i="49"/>
  <c r="CP100" i="49"/>
  <c r="EY100" i="49"/>
  <c r="EX100" i="49"/>
  <c r="CN100" i="49"/>
  <c r="CW100" i="49"/>
  <c r="CL100" i="49"/>
  <c r="FO100" i="49" s="1"/>
  <c r="CT100" i="49"/>
  <c r="DW100" i="49"/>
  <c r="DC100" i="49"/>
  <c r="DB100" i="49"/>
  <c r="CZ100" i="49"/>
  <c r="CY100" i="49"/>
  <c r="CK100" i="49"/>
  <c r="CJ100" i="49"/>
  <c r="CI100" i="49"/>
  <c r="AL99" i="49"/>
  <c r="CM99" i="49"/>
  <c r="CD99" i="49"/>
  <c r="CC99" i="49"/>
  <c r="CS99" i="49"/>
  <c r="DD99" i="49"/>
  <c r="DA99" i="49"/>
  <c r="CP99" i="49"/>
  <c r="EY99" i="49"/>
  <c r="EX99" i="49"/>
  <c r="CN99" i="49"/>
  <c r="CW99" i="49"/>
  <c r="CL99" i="49"/>
  <c r="FO99" i="49" s="1"/>
  <c r="CT99" i="49"/>
  <c r="DW99" i="49"/>
  <c r="DC99" i="49"/>
  <c r="DB99" i="49"/>
  <c r="CZ99" i="49"/>
  <c r="CY99" i="49"/>
  <c r="CK99" i="49"/>
  <c r="CJ99" i="49"/>
  <c r="CI99" i="49"/>
  <c r="AL98" i="49"/>
  <c r="CM98" i="49"/>
  <c r="CD98" i="49"/>
  <c r="CC98" i="49"/>
  <c r="CS98" i="49"/>
  <c r="DD98" i="49"/>
  <c r="DA98" i="49"/>
  <c r="CP98" i="49"/>
  <c r="EY98" i="49"/>
  <c r="EX98" i="49"/>
  <c r="CN98" i="49"/>
  <c r="CW98" i="49"/>
  <c r="CL98" i="49"/>
  <c r="FO98" i="49" s="1"/>
  <c r="CT98" i="49"/>
  <c r="DW98" i="49"/>
  <c r="DC98" i="49"/>
  <c r="DB98" i="49"/>
  <c r="CZ98" i="49"/>
  <c r="CY98" i="49"/>
  <c r="CK98" i="49"/>
  <c r="CJ98" i="49"/>
  <c r="CI98" i="49"/>
  <c r="AL97" i="49"/>
  <c r="CM97" i="49"/>
  <c r="CD97" i="49"/>
  <c r="CC97" i="49"/>
  <c r="CS97" i="49"/>
  <c r="DD97" i="49"/>
  <c r="DA97" i="49"/>
  <c r="CP97" i="49"/>
  <c r="EY97" i="49"/>
  <c r="EX97" i="49"/>
  <c r="CN97" i="49"/>
  <c r="CW97" i="49"/>
  <c r="CL97" i="49"/>
  <c r="FO97" i="49" s="1"/>
  <c r="CT97" i="49"/>
  <c r="DW97" i="49"/>
  <c r="DC97" i="49"/>
  <c r="DB97" i="49"/>
  <c r="CZ97" i="49"/>
  <c r="CY97" i="49"/>
  <c r="CK97" i="49"/>
  <c r="CJ97" i="49"/>
  <c r="CI97" i="49"/>
  <c r="AL96" i="49"/>
  <c r="CM96" i="49"/>
  <c r="CD96" i="49"/>
  <c r="CC96" i="49"/>
  <c r="CS96" i="49"/>
  <c r="DD96" i="49"/>
  <c r="DA96" i="49"/>
  <c r="CP96" i="49"/>
  <c r="EY96" i="49"/>
  <c r="EX96" i="49"/>
  <c r="CN96" i="49"/>
  <c r="CW96" i="49"/>
  <c r="CL96" i="49"/>
  <c r="FO96" i="49" s="1"/>
  <c r="CT96" i="49"/>
  <c r="DW96" i="49"/>
  <c r="DC96" i="49"/>
  <c r="DB96" i="49"/>
  <c r="CZ96" i="49"/>
  <c r="CY96" i="49"/>
  <c r="CK96" i="49"/>
  <c r="CJ96" i="49"/>
  <c r="CI96" i="49"/>
  <c r="AL95" i="49"/>
  <c r="CM95" i="49"/>
  <c r="CD95" i="49"/>
  <c r="CC95" i="49"/>
  <c r="CS95" i="49"/>
  <c r="DD95" i="49"/>
  <c r="DA95" i="49"/>
  <c r="CP95" i="49"/>
  <c r="EY95" i="49"/>
  <c r="EX95" i="49"/>
  <c r="CN95" i="49"/>
  <c r="CW95" i="49"/>
  <c r="CL95" i="49"/>
  <c r="FO95" i="49" s="1"/>
  <c r="CT95" i="49"/>
  <c r="DW95" i="49"/>
  <c r="DC95" i="49"/>
  <c r="DB95" i="49"/>
  <c r="CZ95" i="49"/>
  <c r="CY95" i="49"/>
  <c r="CK95" i="49"/>
  <c r="CJ95" i="49"/>
  <c r="CI95" i="49"/>
  <c r="AL94" i="49"/>
  <c r="CM94" i="49"/>
  <c r="CD94" i="49"/>
  <c r="CC94" i="49"/>
  <c r="CS94" i="49"/>
  <c r="DD94" i="49"/>
  <c r="DA94" i="49"/>
  <c r="CP94" i="49"/>
  <c r="EY94" i="49"/>
  <c r="EX94" i="49"/>
  <c r="CN94" i="49"/>
  <c r="CW94" i="49"/>
  <c r="CL94" i="49"/>
  <c r="FO94" i="49" s="1"/>
  <c r="CT94" i="49"/>
  <c r="DW94" i="49"/>
  <c r="DC94" i="49"/>
  <c r="DB94" i="49"/>
  <c r="CZ94" i="49"/>
  <c r="CY94" i="49"/>
  <c r="CK94" i="49"/>
  <c r="CJ94" i="49"/>
  <c r="CI94" i="49"/>
  <c r="AL93" i="49"/>
  <c r="CM93" i="49"/>
  <c r="CD93" i="49"/>
  <c r="CC93" i="49"/>
  <c r="CS93" i="49"/>
  <c r="DD93" i="49"/>
  <c r="DA93" i="49"/>
  <c r="CP93" i="49"/>
  <c r="EY93" i="49"/>
  <c r="EX93" i="49"/>
  <c r="CN93" i="49"/>
  <c r="CW93" i="49"/>
  <c r="CL93" i="49"/>
  <c r="FO93" i="49" s="1"/>
  <c r="CT93" i="49"/>
  <c r="DW93" i="49"/>
  <c r="DC93" i="49"/>
  <c r="DB93" i="49"/>
  <c r="CZ93" i="49"/>
  <c r="CY93" i="49"/>
  <c r="CK93" i="49"/>
  <c r="CJ93" i="49"/>
  <c r="CI93" i="49"/>
  <c r="AL92" i="49"/>
  <c r="CM92" i="49"/>
  <c r="CD92" i="49"/>
  <c r="CC92" i="49"/>
  <c r="CS92" i="49"/>
  <c r="DD92" i="49"/>
  <c r="DA92" i="49"/>
  <c r="CP92" i="49"/>
  <c r="EY92" i="49"/>
  <c r="EX92" i="49"/>
  <c r="CN92" i="49"/>
  <c r="CW92" i="49"/>
  <c r="CL92" i="49"/>
  <c r="FO92" i="49" s="1"/>
  <c r="CT92" i="49"/>
  <c r="DW92" i="49"/>
  <c r="DC92" i="49"/>
  <c r="DB92" i="49"/>
  <c r="CZ92" i="49"/>
  <c r="CY92" i="49"/>
  <c r="CK92" i="49"/>
  <c r="CJ92" i="49"/>
  <c r="CI92" i="49"/>
  <c r="AL91" i="49"/>
  <c r="CM91" i="49"/>
  <c r="CD91" i="49"/>
  <c r="CC91" i="49"/>
  <c r="CS91" i="49"/>
  <c r="DD91" i="49"/>
  <c r="DA91" i="49"/>
  <c r="CP91" i="49"/>
  <c r="EY91" i="49"/>
  <c r="EX91" i="49"/>
  <c r="CN91" i="49"/>
  <c r="CW91" i="49"/>
  <c r="CL91" i="49"/>
  <c r="FO91" i="49" s="1"/>
  <c r="CT91" i="49"/>
  <c r="DW91" i="49"/>
  <c r="DC91" i="49"/>
  <c r="DB91" i="49"/>
  <c r="CZ91" i="49"/>
  <c r="CY91" i="49"/>
  <c r="CK91" i="49"/>
  <c r="CJ91" i="49"/>
  <c r="CI91" i="49"/>
  <c r="AL90" i="49"/>
  <c r="CM90" i="49"/>
  <c r="CD90" i="49"/>
  <c r="CC90" i="49"/>
  <c r="CS90" i="49"/>
  <c r="DD90" i="49"/>
  <c r="DA90" i="49"/>
  <c r="CP90" i="49"/>
  <c r="EY90" i="49"/>
  <c r="EX90" i="49"/>
  <c r="CN90" i="49"/>
  <c r="CW90" i="49"/>
  <c r="CL90" i="49"/>
  <c r="FO90" i="49" s="1"/>
  <c r="CT90" i="49"/>
  <c r="DW90" i="49"/>
  <c r="DC90" i="49"/>
  <c r="DB90" i="49"/>
  <c r="CZ90" i="49"/>
  <c r="CY90" i="49"/>
  <c r="CK90" i="49"/>
  <c r="CJ90" i="49"/>
  <c r="CI90" i="49"/>
  <c r="AL89" i="49"/>
  <c r="CM89" i="49"/>
  <c r="CD89" i="49"/>
  <c r="CC89" i="49"/>
  <c r="CS89" i="49"/>
  <c r="DD89" i="49"/>
  <c r="DA89" i="49"/>
  <c r="CP89" i="49"/>
  <c r="EY89" i="49"/>
  <c r="EX89" i="49"/>
  <c r="CN89" i="49"/>
  <c r="CW89" i="49"/>
  <c r="CL89" i="49"/>
  <c r="FO89" i="49" s="1"/>
  <c r="CT89" i="49"/>
  <c r="DW89" i="49"/>
  <c r="DC89" i="49"/>
  <c r="DB89" i="49"/>
  <c r="CZ89" i="49"/>
  <c r="CY89" i="49"/>
  <c r="CK89" i="49"/>
  <c r="CJ89" i="49"/>
  <c r="CI89" i="49"/>
  <c r="AL88" i="49"/>
  <c r="CM88" i="49"/>
  <c r="CD88" i="49"/>
  <c r="CC88" i="49"/>
  <c r="CS88" i="49"/>
  <c r="DD88" i="49"/>
  <c r="DA88" i="49"/>
  <c r="CP88" i="49"/>
  <c r="EY88" i="49"/>
  <c r="EX88" i="49"/>
  <c r="CN88" i="49"/>
  <c r="CW88" i="49"/>
  <c r="CL88" i="49"/>
  <c r="FO88" i="49" s="1"/>
  <c r="CT88" i="49"/>
  <c r="DW88" i="49"/>
  <c r="DC88" i="49"/>
  <c r="DB88" i="49"/>
  <c r="CZ88" i="49"/>
  <c r="CY88" i="49"/>
  <c r="CK88" i="49"/>
  <c r="CJ88" i="49"/>
  <c r="CI88" i="49"/>
  <c r="AL87" i="49"/>
  <c r="CM87" i="49"/>
  <c r="CD87" i="49"/>
  <c r="CC87" i="49"/>
  <c r="CS87" i="49"/>
  <c r="DD87" i="49"/>
  <c r="DA87" i="49"/>
  <c r="CP87" i="49"/>
  <c r="EY87" i="49"/>
  <c r="EX87" i="49"/>
  <c r="CN87" i="49"/>
  <c r="CW87" i="49"/>
  <c r="CL87" i="49"/>
  <c r="FO87" i="49" s="1"/>
  <c r="CT87" i="49"/>
  <c r="DW87" i="49"/>
  <c r="DC87" i="49"/>
  <c r="DB87" i="49"/>
  <c r="CZ87" i="49"/>
  <c r="CY87" i="49"/>
  <c r="CK87" i="49"/>
  <c r="CJ87" i="49"/>
  <c r="CI87" i="49"/>
  <c r="AL86" i="49"/>
  <c r="CM86" i="49"/>
  <c r="CD86" i="49"/>
  <c r="CC86" i="49"/>
  <c r="CS86" i="49"/>
  <c r="DD86" i="49"/>
  <c r="DA86" i="49"/>
  <c r="CP86" i="49"/>
  <c r="EY86" i="49"/>
  <c r="EX86" i="49"/>
  <c r="CN86" i="49"/>
  <c r="CW86" i="49"/>
  <c r="CL86" i="49"/>
  <c r="FO86" i="49" s="1"/>
  <c r="CT86" i="49"/>
  <c r="DW86" i="49"/>
  <c r="DC86" i="49"/>
  <c r="DB86" i="49"/>
  <c r="CZ86" i="49"/>
  <c r="CY86" i="49"/>
  <c r="CK86" i="49"/>
  <c r="CJ86" i="49"/>
  <c r="CI86" i="49"/>
  <c r="AL85" i="49"/>
  <c r="CM85" i="49"/>
  <c r="CD85" i="49"/>
  <c r="CC85" i="49"/>
  <c r="CS85" i="49"/>
  <c r="DD85" i="49"/>
  <c r="DA85" i="49"/>
  <c r="CP85" i="49"/>
  <c r="EY85" i="49"/>
  <c r="EX85" i="49"/>
  <c r="CN85" i="49"/>
  <c r="CW85" i="49"/>
  <c r="CL85" i="49"/>
  <c r="FO85" i="49" s="1"/>
  <c r="CT85" i="49"/>
  <c r="DW85" i="49"/>
  <c r="DC85" i="49"/>
  <c r="DB85" i="49"/>
  <c r="CZ85" i="49"/>
  <c r="CY85" i="49"/>
  <c r="CK85" i="49"/>
  <c r="CJ85" i="49"/>
  <c r="CI85" i="49"/>
  <c r="AL84" i="49"/>
  <c r="CM84" i="49"/>
  <c r="CD84" i="49"/>
  <c r="CC84" i="49"/>
  <c r="CS84" i="49"/>
  <c r="DD84" i="49"/>
  <c r="DA84" i="49"/>
  <c r="CP84" i="49"/>
  <c r="EY84" i="49"/>
  <c r="EX84" i="49"/>
  <c r="CN84" i="49"/>
  <c r="CW84" i="49"/>
  <c r="CL84" i="49"/>
  <c r="FO84" i="49" s="1"/>
  <c r="CT84" i="49"/>
  <c r="DW84" i="49"/>
  <c r="DC84" i="49"/>
  <c r="DB84" i="49"/>
  <c r="CZ84" i="49"/>
  <c r="CY84" i="49"/>
  <c r="CK84" i="49"/>
  <c r="CJ84" i="49"/>
  <c r="CI84" i="49"/>
  <c r="DG82" i="49"/>
  <c r="DF82" i="49"/>
  <c r="AL82" i="49"/>
  <c r="CD82" i="49"/>
  <c r="DD82" i="49"/>
  <c r="DA82" i="49"/>
  <c r="CW82" i="49"/>
  <c r="CL82" i="49"/>
  <c r="FO82" i="49" s="1"/>
  <c r="DC82" i="49"/>
  <c r="DB82" i="49"/>
  <c r="CZ82" i="49"/>
  <c r="CY82" i="49"/>
  <c r="DG81" i="49"/>
  <c r="DF81" i="49"/>
  <c r="AL81" i="49"/>
  <c r="CD81" i="49"/>
  <c r="DD81" i="49"/>
  <c r="DA81" i="49"/>
  <c r="CW81" i="49"/>
  <c r="CL81" i="49"/>
  <c r="FO81" i="49" s="1"/>
  <c r="DC81" i="49"/>
  <c r="DB81" i="49"/>
  <c r="CZ81" i="49"/>
  <c r="CY81" i="49"/>
  <c r="DG80" i="49"/>
  <c r="DF80" i="49"/>
  <c r="AL80" i="49"/>
  <c r="CD80" i="49"/>
  <c r="DD80" i="49"/>
  <c r="DA80" i="49"/>
  <c r="CW80" i="49"/>
  <c r="CL80" i="49"/>
  <c r="FO80" i="49" s="1"/>
  <c r="DC80" i="49"/>
  <c r="DB80" i="49"/>
  <c r="CZ80" i="49"/>
  <c r="CY80" i="49"/>
  <c r="DG79" i="49"/>
  <c r="DF79" i="49"/>
  <c r="AL79" i="49"/>
  <c r="CD79" i="49"/>
  <c r="DD79" i="49"/>
  <c r="DA79" i="49"/>
  <c r="CW79" i="49"/>
  <c r="CL79" i="49"/>
  <c r="FO79" i="49" s="1"/>
  <c r="DC79" i="49"/>
  <c r="DB79" i="49"/>
  <c r="CZ79" i="49"/>
  <c r="CY79" i="49"/>
  <c r="DG78" i="49"/>
  <c r="DF78" i="49"/>
  <c r="AL78" i="49"/>
  <c r="CD78" i="49"/>
  <c r="DD78" i="49"/>
  <c r="DA78" i="49"/>
  <c r="CW78" i="49"/>
  <c r="CL78" i="49"/>
  <c r="FO78" i="49" s="1"/>
  <c r="DC78" i="49"/>
  <c r="DB78" i="49"/>
  <c r="CZ78" i="49"/>
  <c r="CY78" i="49"/>
  <c r="DG77" i="49"/>
  <c r="DF77" i="49"/>
  <c r="DE77" i="49"/>
  <c r="AL77" i="49"/>
  <c r="CD77" i="49"/>
  <c r="DD77" i="49"/>
  <c r="DA77" i="49"/>
  <c r="CW77" i="49"/>
  <c r="CL77" i="49"/>
  <c r="FO77" i="49" s="1"/>
  <c r="DC77" i="49"/>
  <c r="DB77" i="49"/>
  <c r="CZ77" i="49"/>
  <c r="CY77" i="49"/>
  <c r="AR77" i="49"/>
  <c r="DG76" i="49"/>
  <c r="DF76" i="49"/>
  <c r="DE76" i="49"/>
  <c r="AL76" i="49"/>
  <c r="CD76" i="49"/>
  <c r="DD76" i="49"/>
  <c r="DA76" i="49"/>
  <c r="CW76" i="49"/>
  <c r="CL76" i="49"/>
  <c r="FO76" i="49" s="1"/>
  <c r="DC76" i="49"/>
  <c r="DB76" i="49"/>
  <c r="CZ76" i="49"/>
  <c r="CY76" i="49"/>
  <c r="AR76" i="49"/>
  <c r="DG75" i="49"/>
  <c r="DF75" i="49"/>
  <c r="DE75" i="49"/>
  <c r="AL75" i="49"/>
  <c r="CD75" i="49"/>
  <c r="DD75" i="49"/>
  <c r="DA75" i="49"/>
  <c r="CW75" i="49"/>
  <c r="CL75" i="49"/>
  <c r="FO75" i="49" s="1"/>
  <c r="DC75" i="49"/>
  <c r="DB75" i="49"/>
  <c r="CZ75" i="49"/>
  <c r="CY75" i="49"/>
  <c r="AR75" i="49"/>
  <c r="DG74" i="49"/>
  <c r="DF74" i="49"/>
  <c r="DE74" i="49"/>
  <c r="AL74" i="49"/>
  <c r="CD74" i="49"/>
  <c r="DD74" i="49"/>
  <c r="DA74" i="49"/>
  <c r="CW74" i="49"/>
  <c r="CL74" i="49"/>
  <c r="FO74" i="49" s="1"/>
  <c r="DC74" i="49"/>
  <c r="DB74" i="49"/>
  <c r="CZ74" i="49"/>
  <c r="CY74" i="49"/>
  <c r="AR74" i="49"/>
  <c r="DG73" i="49"/>
  <c r="DF73" i="49"/>
  <c r="DE73" i="49"/>
  <c r="AL73" i="49"/>
  <c r="CD73" i="49"/>
  <c r="DD73" i="49"/>
  <c r="DA73" i="49"/>
  <c r="CW73" i="49"/>
  <c r="CL73" i="49"/>
  <c r="FO73" i="49" s="1"/>
  <c r="DC73" i="49"/>
  <c r="DB73" i="49"/>
  <c r="CZ73" i="49"/>
  <c r="CY73" i="49"/>
  <c r="AR73" i="49"/>
  <c r="DG72" i="49"/>
  <c r="DF72" i="49"/>
  <c r="DE72" i="49"/>
  <c r="AL72" i="49"/>
  <c r="CD72" i="49"/>
  <c r="DD72" i="49"/>
  <c r="DA72" i="49"/>
  <c r="CW72" i="49"/>
  <c r="CL72" i="49"/>
  <c r="FO72" i="49" s="1"/>
  <c r="DC72" i="49"/>
  <c r="DB72" i="49"/>
  <c r="CZ72" i="49"/>
  <c r="CY72" i="49"/>
  <c r="AR72" i="49"/>
  <c r="DG71" i="49"/>
  <c r="DF71" i="49"/>
  <c r="DE71" i="49"/>
  <c r="AL71" i="49"/>
  <c r="CD71" i="49"/>
  <c r="DD71" i="49"/>
  <c r="DA71" i="49"/>
  <c r="CW71" i="49"/>
  <c r="CL71" i="49"/>
  <c r="FO71" i="49" s="1"/>
  <c r="DC71" i="49"/>
  <c r="DB71" i="49"/>
  <c r="CZ71" i="49"/>
  <c r="CY71" i="49"/>
  <c r="AR71" i="49"/>
  <c r="DG70" i="49"/>
  <c r="DF70" i="49"/>
  <c r="DE70" i="49"/>
  <c r="AL70" i="49"/>
  <c r="CD70" i="49"/>
  <c r="DD70" i="49"/>
  <c r="DA70" i="49"/>
  <c r="CW70" i="49"/>
  <c r="CL70" i="49"/>
  <c r="FO70" i="49" s="1"/>
  <c r="DC70" i="49"/>
  <c r="DB70" i="49"/>
  <c r="CZ70" i="49"/>
  <c r="CY70" i="49"/>
  <c r="AR70" i="49"/>
  <c r="DG69" i="49"/>
  <c r="DF69" i="49"/>
  <c r="DE69" i="49"/>
  <c r="AL69" i="49"/>
  <c r="CD69" i="49"/>
  <c r="DD69" i="49"/>
  <c r="DA69" i="49"/>
  <c r="CW69" i="49"/>
  <c r="CL69" i="49"/>
  <c r="FO69" i="49" s="1"/>
  <c r="DC69" i="49"/>
  <c r="DB69" i="49"/>
  <c r="CZ69" i="49"/>
  <c r="CY69" i="49"/>
  <c r="AR69" i="49"/>
  <c r="DG68" i="49"/>
  <c r="DF68" i="49"/>
  <c r="DE68" i="49"/>
  <c r="AL68" i="49"/>
  <c r="CD68" i="49"/>
  <c r="DD68" i="49"/>
  <c r="DA68" i="49"/>
  <c r="CW68" i="49"/>
  <c r="CL68" i="49"/>
  <c r="FO68" i="49" s="1"/>
  <c r="DC68" i="49"/>
  <c r="DB68" i="49"/>
  <c r="CZ68" i="49"/>
  <c r="CY68" i="49"/>
  <c r="AR68" i="49"/>
  <c r="DG67" i="49"/>
  <c r="DF67" i="49"/>
  <c r="DE67" i="49"/>
  <c r="AL67" i="49"/>
  <c r="CD67" i="49"/>
  <c r="DD67" i="49"/>
  <c r="DA67" i="49"/>
  <c r="CW67" i="49"/>
  <c r="CL67" i="49"/>
  <c r="FO67" i="49" s="1"/>
  <c r="DC67" i="49"/>
  <c r="DB67" i="49"/>
  <c r="CZ67" i="49"/>
  <c r="CY67" i="49"/>
  <c r="AR67" i="49"/>
  <c r="DG66" i="49"/>
  <c r="DF66" i="49"/>
  <c r="DE66" i="49"/>
  <c r="AL66" i="49"/>
  <c r="CD66" i="49"/>
  <c r="DD66" i="49"/>
  <c r="DA66" i="49"/>
  <c r="CW66" i="49"/>
  <c r="CL66" i="49"/>
  <c r="FO66" i="49" s="1"/>
  <c r="DC66" i="49"/>
  <c r="DB66" i="49"/>
  <c r="CZ66" i="49"/>
  <c r="CY66" i="49"/>
  <c r="AR66" i="49"/>
  <c r="DG65" i="49"/>
  <c r="DF65" i="49"/>
  <c r="DE65" i="49"/>
  <c r="AL65" i="49"/>
  <c r="CD65" i="49"/>
  <c r="DD65" i="49"/>
  <c r="DA65" i="49"/>
  <c r="CW65" i="49"/>
  <c r="CL65" i="49"/>
  <c r="FO65" i="49" s="1"/>
  <c r="DC65" i="49"/>
  <c r="DB65" i="49"/>
  <c r="CZ65" i="49"/>
  <c r="CY65" i="49"/>
  <c r="AR65" i="49"/>
  <c r="DG64" i="49"/>
  <c r="DF64" i="49"/>
  <c r="DE64" i="49"/>
  <c r="AL64" i="49"/>
  <c r="CD64" i="49"/>
  <c r="DD64" i="49"/>
  <c r="DA64" i="49"/>
  <c r="CW64" i="49"/>
  <c r="CL64" i="49"/>
  <c r="FO64" i="49" s="1"/>
  <c r="DC64" i="49"/>
  <c r="DB64" i="49"/>
  <c r="CZ64" i="49"/>
  <c r="CY64" i="49"/>
  <c r="AR64" i="49"/>
  <c r="DG63" i="49"/>
  <c r="DF63" i="49"/>
  <c r="DE63" i="49"/>
  <c r="AL63" i="49"/>
  <c r="CD63" i="49"/>
  <c r="DD63" i="49"/>
  <c r="DA63" i="49"/>
  <c r="CW63" i="49"/>
  <c r="CL63" i="49"/>
  <c r="FO63" i="49" s="1"/>
  <c r="DC63" i="49"/>
  <c r="DB63" i="49"/>
  <c r="CZ63" i="49"/>
  <c r="CY63" i="49"/>
  <c r="AR63" i="49"/>
  <c r="DG62" i="49"/>
  <c r="DF62" i="49"/>
  <c r="DE62" i="49"/>
  <c r="AL62" i="49"/>
  <c r="CD62" i="49"/>
  <c r="DD62" i="49"/>
  <c r="DA62" i="49"/>
  <c r="CW62" i="49"/>
  <c r="CL62" i="49"/>
  <c r="FO62" i="49" s="1"/>
  <c r="DC62" i="49"/>
  <c r="DB62" i="49"/>
  <c r="CZ62" i="49"/>
  <c r="CY62" i="49"/>
  <c r="AR62" i="49"/>
  <c r="DG61" i="49"/>
  <c r="DF61" i="49"/>
  <c r="DE61" i="49"/>
  <c r="AL61" i="49"/>
  <c r="CD61" i="49"/>
  <c r="DD61" i="49"/>
  <c r="DA61" i="49"/>
  <c r="CW61" i="49"/>
  <c r="CL61" i="49"/>
  <c r="FO61" i="49" s="1"/>
  <c r="DC61" i="49"/>
  <c r="DB61" i="49"/>
  <c r="CZ61" i="49"/>
  <c r="CY61" i="49"/>
  <c r="AR61" i="49"/>
  <c r="DG60" i="49"/>
  <c r="DF60" i="49"/>
  <c r="DE60" i="49"/>
  <c r="AL60" i="49"/>
  <c r="CD60" i="49"/>
  <c r="DD60" i="49"/>
  <c r="DA60" i="49"/>
  <c r="CW60" i="49"/>
  <c r="CL60" i="49"/>
  <c r="FO60" i="49" s="1"/>
  <c r="DC60" i="49"/>
  <c r="DB60" i="49"/>
  <c r="CZ60" i="49"/>
  <c r="CY60" i="49"/>
  <c r="AR60" i="49"/>
  <c r="DG59" i="49"/>
  <c r="DF59" i="49"/>
  <c r="DE59" i="49"/>
  <c r="AL59" i="49"/>
  <c r="CD59" i="49"/>
  <c r="DD59" i="49"/>
  <c r="DA59" i="49"/>
  <c r="CW59" i="49"/>
  <c r="CL59" i="49"/>
  <c r="FO59" i="49" s="1"/>
  <c r="DC59" i="49"/>
  <c r="DB59" i="49"/>
  <c r="CZ59" i="49"/>
  <c r="CY59" i="49"/>
  <c r="AR59" i="49"/>
  <c r="DG58" i="49"/>
  <c r="DF58" i="49"/>
  <c r="DE58" i="49"/>
  <c r="AL58" i="49"/>
  <c r="CD58" i="49"/>
  <c r="DD58" i="49"/>
  <c r="DA58" i="49"/>
  <c r="CW58" i="49"/>
  <c r="CL58" i="49"/>
  <c r="FO58" i="49" s="1"/>
  <c r="DC58" i="49"/>
  <c r="DB58" i="49"/>
  <c r="CZ58" i="49"/>
  <c r="CY58" i="49"/>
  <c r="AR58" i="49"/>
  <c r="DG57" i="49"/>
  <c r="DF57" i="49"/>
  <c r="DE57" i="49"/>
  <c r="AL57" i="49"/>
  <c r="CD57" i="49"/>
  <c r="DD57" i="49"/>
  <c r="DA57" i="49"/>
  <c r="CW57" i="49"/>
  <c r="CL57" i="49"/>
  <c r="FO57" i="49" s="1"/>
  <c r="DC57" i="49"/>
  <c r="DB57" i="49"/>
  <c r="CZ57" i="49"/>
  <c r="CY57" i="49"/>
  <c r="AR57" i="49"/>
  <c r="DG56" i="49"/>
  <c r="DF56" i="49"/>
  <c r="DE56" i="49"/>
  <c r="AL56" i="49"/>
  <c r="CD56" i="49"/>
  <c r="DD56" i="49"/>
  <c r="DA56" i="49"/>
  <c r="CW56" i="49"/>
  <c r="CL56" i="49"/>
  <c r="FO56" i="49" s="1"/>
  <c r="DC56" i="49"/>
  <c r="DB56" i="49"/>
  <c r="CZ56" i="49"/>
  <c r="CY56" i="49"/>
  <c r="AR56" i="49"/>
  <c r="DG55" i="49"/>
  <c r="DF55" i="49"/>
  <c r="DE55" i="49"/>
  <c r="AL55" i="49"/>
  <c r="CD55" i="49"/>
  <c r="DD55" i="49"/>
  <c r="DA55" i="49"/>
  <c r="CW55" i="49"/>
  <c r="CL55" i="49"/>
  <c r="FO55" i="49" s="1"/>
  <c r="DC55" i="49"/>
  <c r="DB55" i="49"/>
  <c r="CZ55" i="49"/>
  <c r="CY55" i="49"/>
  <c r="AR55" i="49"/>
  <c r="DG54" i="49"/>
  <c r="DF54" i="49"/>
  <c r="DE54" i="49"/>
  <c r="AL54" i="49"/>
  <c r="CD54" i="49"/>
  <c r="DD54" i="49"/>
  <c r="DA54" i="49"/>
  <c r="CW54" i="49"/>
  <c r="CL54" i="49"/>
  <c r="FO54" i="49" s="1"/>
  <c r="DC54" i="49"/>
  <c r="DB54" i="49"/>
  <c r="CZ54" i="49"/>
  <c r="CY54" i="49"/>
  <c r="AR54" i="49"/>
  <c r="DG53" i="49"/>
  <c r="DF53" i="49"/>
  <c r="DE53" i="49"/>
  <c r="AL53" i="49"/>
  <c r="CD53" i="49"/>
  <c r="DD53" i="49"/>
  <c r="DA53" i="49"/>
  <c r="CW53" i="49"/>
  <c r="CL53" i="49"/>
  <c r="FO53" i="49" s="1"/>
  <c r="DC53" i="49"/>
  <c r="DB53" i="49"/>
  <c r="CZ53" i="49"/>
  <c r="CY53" i="49"/>
  <c r="AR53" i="49"/>
  <c r="DG52" i="49"/>
  <c r="DF52" i="49"/>
  <c r="DE52" i="49"/>
  <c r="AL52" i="49"/>
  <c r="CD52" i="49"/>
  <c r="DD52" i="49"/>
  <c r="DA52" i="49"/>
  <c r="CW52" i="49"/>
  <c r="CL52" i="49"/>
  <c r="FO52" i="49" s="1"/>
  <c r="DC52" i="49"/>
  <c r="DB52" i="49"/>
  <c r="CZ52" i="49"/>
  <c r="CY52" i="49"/>
  <c r="AR52" i="49"/>
  <c r="DG51" i="49"/>
  <c r="DF51" i="49"/>
  <c r="DE51" i="49"/>
  <c r="AL51" i="49"/>
  <c r="CD51" i="49"/>
  <c r="DD51" i="49"/>
  <c r="DA51" i="49"/>
  <c r="CW51" i="49"/>
  <c r="CL51" i="49"/>
  <c r="FO51" i="49" s="1"/>
  <c r="DC51" i="49"/>
  <c r="DB51" i="49"/>
  <c r="CZ51" i="49"/>
  <c r="CY51" i="49"/>
  <c r="AR51" i="49"/>
  <c r="DG50" i="49"/>
  <c r="DF50" i="49"/>
  <c r="DE50" i="49"/>
  <c r="AL50" i="49"/>
  <c r="CD50" i="49"/>
  <c r="DD50" i="49"/>
  <c r="DA50" i="49"/>
  <c r="CW50" i="49"/>
  <c r="CL50" i="49"/>
  <c r="FO50" i="49" s="1"/>
  <c r="DC50" i="49"/>
  <c r="DB50" i="49"/>
  <c r="CZ50" i="49"/>
  <c r="CY50" i="49"/>
  <c r="AR50" i="49"/>
  <c r="DG49" i="49"/>
  <c r="DF49" i="49"/>
  <c r="DE49" i="49"/>
  <c r="AL49" i="49"/>
  <c r="CD49" i="49"/>
  <c r="DD49" i="49"/>
  <c r="DA49" i="49"/>
  <c r="CW49" i="49"/>
  <c r="CL49" i="49"/>
  <c r="FO49" i="49" s="1"/>
  <c r="DC49" i="49"/>
  <c r="DB49" i="49"/>
  <c r="CZ49" i="49"/>
  <c r="CY49" i="49"/>
  <c r="AR49" i="49"/>
  <c r="DG48" i="49"/>
  <c r="DF48" i="49"/>
  <c r="DE48" i="49"/>
  <c r="AL48" i="49"/>
  <c r="CD48" i="49"/>
  <c r="DD48" i="49"/>
  <c r="DA48" i="49"/>
  <c r="CW48" i="49"/>
  <c r="CL48" i="49"/>
  <c r="FO48" i="49" s="1"/>
  <c r="DC48" i="49"/>
  <c r="DB48" i="49"/>
  <c r="CZ48" i="49"/>
  <c r="CY48" i="49"/>
  <c r="AR48" i="49"/>
  <c r="DG47" i="49"/>
  <c r="DF47" i="49"/>
  <c r="DE47" i="49"/>
  <c r="AL47" i="49"/>
  <c r="CD47" i="49"/>
  <c r="DD47" i="49"/>
  <c r="DA47" i="49"/>
  <c r="CW47" i="49"/>
  <c r="CL47" i="49"/>
  <c r="FO47" i="49" s="1"/>
  <c r="DC47" i="49"/>
  <c r="DB47" i="49"/>
  <c r="CZ47" i="49"/>
  <c r="CY47" i="49"/>
  <c r="AR47" i="49"/>
  <c r="DG46" i="49"/>
  <c r="DF46" i="49"/>
  <c r="DE46" i="49"/>
  <c r="AL46" i="49"/>
  <c r="CD46" i="49"/>
  <c r="DD46" i="49"/>
  <c r="DA46" i="49"/>
  <c r="CW46" i="49"/>
  <c r="CL46" i="49"/>
  <c r="FO46" i="49" s="1"/>
  <c r="DC46" i="49"/>
  <c r="DB46" i="49"/>
  <c r="CZ46" i="49"/>
  <c r="CY46" i="49"/>
  <c r="AR46" i="49"/>
  <c r="DG45" i="49"/>
  <c r="DF45" i="49"/>
  <c r="DE45" i="49"/>
  <c r="AL45" i="49"/>
  <c r="CD45" i="49"/>
  <c r="DD45" i="49"/>
  <c r="DA45" i="49"/>
  <c r="CW45" i="49"/>
  <c r="CL45" i="49"/>
  <c r="FO45" i="49" s="1"/>
  <c r="DC45" i="49"/>
  <c r="DB45" i="49"/>
  <c r="CZ45" i="49"/>
  <c r="CY45" i="49"/>
  <c r="AR45" i="49"/>
  <c r="DG44" i="49"/>
  <c r="DF44" i="49"/>
  <c r="DE44" i="49"/>
  <c r="AL44" i="49"/>
  <c r="CD44" i="49"/>
  <c r="DD44" i="49"/>
  <c r="DA44" i="49"/>
  <c r="CW44" i="49"/>
  <c r="CL44" i="49"/>
  <c r="FO44" i="49" s="1"/>
  <c r="DC44" i="49"/>
  <c r="DB44" i="49"/>
  <c r="CZ44" i="49"/>
  <c r="CY44" i="49"/>
  <c r="AR44" i="49"/>
  <c r="DG42" i="49"/>
  <c r="DF42" i="49"/>
  <c r="DE42" i="49"/>
  <c r="AL42" i="49"/>
  <c r="CD42" i="49"/>
  <c r="DD42" i="49"/>
  <c r="DA42" i="49"/>
  <c r="CW42" i="49"/>
  <c r="FO42" i="49"/>
  <c r="DC42" i="49"/>
  <c r="DB42" i="49"/>
  <c r="CZ42" i="49"/>
  <c r="CY42" i="49"/>
  <c r="AR42" i="49"/>
  <c r="DG41" i="49"/>
  <c r="DF41" i="49"/>
  <c r="DE41" i="49"/>
  <c r="AL41" i="49"/>
  <c r="CD41" i="49"/>
  <c r="DD41" i="49"/>
  <c r="DA41" i="49"/>
  <c r="CW41" i="49"/>
  <c r="FO41" i="49"/>
  <c r="DC41" i="49"/>
  <c r="DB41" i="49"/>
  <c r="CZ41" i="49"/>
  <c r="CY41" i="49"/>
  <c r="AR41" i="49"/>
  <c r="DG40" i="49"/>
  <c r="DF40" i="49"/>
  <c r="DE40" i="49"/>
  <c r="AL40" i="49"/>
  <c r="CD40" i="49"/>
  <c r="DD40" i="49"/>
  <c r="DA40" i="49"/>
  <c r="CW40" i="49"/>
  <c r="FO40" i="49"/>
  <c r="DC40" i="49"/>
  <c r="DB40" i="49"/>
  <c r="CZ40" i="49"/>
  <c r="CY40" i="49"/>
  <c r="AR40" i="49"/>
  <c r="DG39" i="49"/>
  <c r="DF39" i="49"/>
  <c r="DE39" i="49"/>
  <c r="AL39" i="49"/>
  <c r="CD39" i="49"/>
  <c r="DD39" i="49"/>
  <c r="DA39" i="49"/>
  <c r="CW39" i="49"/>
  <c r="FO39" i="49"/>
  <c r="DC39" i="49"/>
  <c r="DB39" i="49"/>
  <c r="CZ39" i="49"/>
  <c r="CY39" i="49"/>
  <c r="AR39" i="49"/>
  <c r="DG38" i="49"/>
  <c r="DF38" i="49"/>
  <c r="DE38" i="49"/>
  <c r="AL38" i="49"/>
  <c r="CD38" i="49"/>
  <c r="DD38" i="49"/>
  <c r="DA38" i="49"/>
  <c r="CW38" i="49"/>
  <c r="FO38" i="49"/>
  <c r="DC38" i="49"/>
  <c r="DB38" i="49"/>
  <c r="CZ38" i="49"/>
  <c r="CY38" i="49"/>
  <c r="AR38" i="49"/>
  <c r="DG37" i="49"/>
  <c r="DF37" i="49"/>
  <c r="DE37" i="49"/>
  <c r="AL37" i="49"/>
  <c r="CD37" i="49"/>
  <c r="DD37" i="49"/>
  <c r="DA37" i="49"/>
  <c r="CW37" i="49"/>
  <c r="FO37" i="49"/>
  <c r="DC37" i="49"/>
  <c r="DB37" i="49"/>
  <c r="CZ37" i="49"/>
  <c r="CY37" i="49"/>
  <c r="AR37" i="49"/>
  <c r="DG36" i="49"/>
  <c r="DF36" i="49"/>
  <c r="DE36" i="49"/>
  <c r="AL36" i="49"/>
  <c r="CD36" i="49"/>
  <c r="DD36" i="49"/>
  <c r="DA36" i="49"/>
  <c r="CW36" i="49"/>
  <c r="FO36" i="49"/>
  <c r="DC36" i="49"/>
  <c r="DB36" i="49"/>
  <c r="CZ36" i="49"/>
  <c r="CY36" i="49"/>
  <c r="AR36" i="49"/>
  <c r="DG35" i="49"/>
  <c r="DF35" i="49"/>
  <c r="DE35" i="49"/>
  <c r="AL35" i="49"/>
  <c r="CD35" i="49"/>
  <c r="DD35" i="49"/>
  <c r="DA35" i="49"/>
  <c r="CW35" i="49"/>
  <c r="FO35" i="49"/>
  <c r="DC35" i="49"/>
  <c r="DB35" i="49"/>
  <c r="CZ35" i="49"/>
  <c r="CY35" i="49"/>
  <c r="AR35" i="49"/>
  <c r="DG34" i="49"/>
  <c r="DF34" i="49"/>
  <c r="DE34" i="49"/>
  <c r="AL34" i="49"/>
  <c r="CD34" i="49"/>
  <c r="DD34" i="49"/>
  <c r="DA34" i="49"/>
  <c r="CW34" i="49"/>
  <c r="FO34" i="49"/>
  <c r="DC34" i="49"/>
  <c r="DB34" i="49"/>
  <c r="CZ34" i="49"/>
  <c r="CY34" i="49"/>
  <c r="AR34" i="49"/>
  <c r="DG33" i="49"/>
  <c r="DF33" i="49"/>
  <c r="DE33" i="49"/>
  <c r="AL33" i="49"/>
  <c r="CD33" i="49"/>
  <c r="DD33" i="49"/>
  <c r="DA33" i="49"/>
  <c r="CW33" i="49"/>
  <c r="FO33" i="49"/>
  <c r="DC33" i="49"/>
  <c r="DB33" i="49"/>
  <c r="CZ33" i="49"/>
  <c r="CY33" i="49"/>
  <c r="AR33" i="49"/>
  <c r="DG32" i="49"/>
  <c r="DF32" i="49"/>
  <c r="DE32" i="49"/>
  <c r="AL32" i="49"/>
  <c r="CD32" i="49"/>
  <c r="DD32" i="49"/>
  <c r="DA32" i="49"/>
  <c r="CW32" i="49"/>
  <c r="FO32" i="49"/>
  <c r="DC32" i="49"/>
  <c r="DB32" i="49"/>
  <c r="CZ32" i="49"/>
  <c r="CY32" i="49"/>
  <c r="AR32" i="49"/>
  <c r="DG31" i="49"/>
  <c r="DF31" i="49"/>
  <c r="DE31" i="49"/>
  <c r="AL31" i="49"/>
  <c r="CD31" i="49"/>
  <c r="DD31" i="49"/>
  <c r="DA31" i="49"/>
  <c r="CW31" i="49"/>
  <c r="FO31" i="49"/>
  <c r="DC31" i="49"/>
  <c r="DB31" i="49"/>
  <c r="CZ31" i="49"/>
  <c r="CY31" i="49"/>
  <c r="AR31" i="49"/>
  <c r="DG30" i="49"/>
  <c r="DF30" i="49"/>
  <c r="DE30" i="49"/>
  <c r="AL30" i="49"/>
  <c r="CD30" i="49"/>
  <c r="DD30" i="49"/>
  <c r="DA30" i="49"/>
  <c r="CW30" i="49"/>
  <c r="FO30" i="49"/>
  <c r="DC30" i="49"/>
  <c r="DB30" i="49"/>
  <c r="CZ30" i="49"/>
  <c r="CY30" i="49"/>
  <c r="AR30" i="49"/>
  <c r="DG29" i="49"/>
  <c r="DF29" i="49"/>
  <c r="DE29" i="49"/>
  <c r="AL29" i="49"/>
  <c r="CD29" i="49"/>
  <c r="DD29" i="49"/>
  <c r="DA29" i="49"/>
  <c r="CW29" i="49"/>
  <c r="FO29" i="49"/>
  <c r="DC29" i="49"/>
  <c r="DB29" i="49"/>
  <c r="CZ29" i="49"/>
  <c r="CY29" i="49"/>
  <c r="AR29" i="49"/>
  <c r="DG27" i="49"/>
  <c r="DF27" i="49"/>
  <c r="DE27" i="49"/>
  <c r="AL27" i="49"/>
  <c r="CD27" i="49"/>
  <c r="DD27" i="49"/>
  <c r="DA27" i="49"/>
  <c r="CW27" i="49"/>
  <c r="FO27" i="49"/>
  <c r="DC27" i="49"/>
  <c r="DB27" i="49"/>
  <c r="CZ27" i="49"/>
  <c r="CY27" i="49"/>
  <c r="AR27" i="49"/>
  <c r="DG26" i="49"/>
  <c r="DF26" i="49"/>
  <c r="DE26" i="49"/>
  <c r="AL26" i="49"/>
  <c r="CD26" i="49"/>
  <c r="DD26" i="49"/>
  <c r="DA26" i="49"/>
  <c r="CW26" i="49"/>
  <c r="FO26" i="49"/>
  <c r="DC26" i="49"/>
  <c r="DB26" i="49"/>
  <c r="CZ26" i="49"/>
  <c r="CY26" i="49"/>
  <c r="AR26" i="49"/>
  <c r="DG25" i="49"/>
  <c r="DF25" i="49"/>
  <c r="DE25" i="49"/>
  <c r="AL25" i="49"/>
  <c r="CD25" i="49"/>
  <c r="DD25" i="49"/>
  <c r="DA25" i="49"/>
  <c r="CW25" i="49"/>
  <c r="FO25" i="49"/>
  <c r="DC25" i="49"/>
  <c r="DB25" i="49"/>
  <c r="CZ25" i="49"/>
  <c r="CY25" i="49"/>
  <c r="AR25" i="49"/>
  <c r="DG24" i="49"/>
  <c r="DF24" i="49"/>
  <c r="DE24" i="49"/>
  <c r="AL24" i="49"/>
  <c r="CD24" i="49"/>
  <c r="DD24" i="49"/>
  <c r="DA24" i="49"/>
  <c r="CW24" i="49"/>
  <c r="FO24" i="49"/>
  <c r="DC24" i="49"/>
  <c r="DB24" i="49"/>
  <c r="CZ24" i="49"/>
  <c r="CY24" i="49"/>
  <c r="AR24" i="49"/>
  <c r="DG23" i="49"/>
  <c r="DF23" i="49"/>
  <c r="DE23" i="49"/>
  <c r="AL23" i="49"/>
  <c r="CD23" i="49"/>
  <c r="DD23" i="49"/>
  <c r="DA23" i="49"/>
  <c r="CW23" i="49"/>
  <c r="FO23" i="49"/>
  <c r="DC23" i="49"/>
  <c r="DB23" i="49"/>
  <c r="CZ23" i="49"/>
  <c r="CY23" i="49"/>
  <c r="AR23" i="49"/>
  <c r="DG22" i="49"/>
  <c r="DF22" i="49"/>
  <c r="DE22" i="49"/>
  <c r="AL22" i="49"/>
  <c r="CD22" i="49"/>
  <c r="DD22" i="49"/>
  <c r="DA22" i="49"/>
  <c r="CW22" i="49"/>
  <c r="FO22" i="49"/>
  <c r="DC22" i="49"/>
  <c r="DB22" i="49"/>
  <c r="CZ22" i="49"/>
  <c r="CY22" i="49"/>
  <c r="AR22" i="49"/>
  <c r="DG21" i="49"/>
  <c r="DF21" i="49"/>
  <c r="DE21" i="49"/>
  <c r="AL21" i="49"/>
  <c r="CD21" i="49"/>
  <c r="DD21" i="49"/>
  <c r="DA21" i="49"/>
  <c r="CW21" i="49"/>
  <c r="FO21" i="49"/>
  <c r="DC21" i="49"/>
  <c r="DB21" i="49"/>
  <c r="CZ21" i="49"/>
  <c r="CY21" i="49"/>
  <c r="AR21" i="49"/>
  <c r="DG20" i="49"/>
  <c r="DF20" i="49"/>
  <c r="DE20" i="49"/>
  <c r="AL20" i="49"/>
  <c r="CD20" i="49"/>
  <c r="DD20" i="49"/>
  <c r="DA20" i="49"/>
  <c r="CW20" i="49"/>
  <c r="FO20" i="49"/>
  <c r="DC20" i="49"/>
  <c r="DB20" i="49"/>
  <c r="CZ20" i="49"/>
  <c r="CY20" i="49"/>
  <c r="AR20" i="49"/>
  <c r="DG19" i="49"/>
  <c r="DF19" i="49"/>
  <c r="DE19" i="49"/>
  <c r="AL19" i="49"/>
  <c r="CD19" i="49"/>
  <c r="DD19" i="49"/>
  <c r="DA19" i="49"/>
  <c r="CW19" i="49"/>
  <c r="FO19" i="49"/>
  <c r="DC19" i="49"/>
  <c r="DB19" i="49"/>
  <c r="CZ19" i="49"/>
  <c r="CY19" i="49"/>
  <c r="AR19" i="49"/>
  <c r="DG18" i="49"/>
  <c r="DF18" i="49"/>
  <c r="DE18" i="49"/>
  <c r="AL18" i="49"/>
  <c r="CD18" i="49"/>
  <c r="DD18" i="49"/>
  <c r="DA18" i="49"/>
  <c r="CW18" i="49"/>
  <c r="FO18" i="49"/>
  <c r="DC18" i="49"/>
  <c r="DB18" i="49"/>
  <c r="CZ18" i="49"/>
  <c r="CY18" i="49"/>
  <c r="AR18" i="49"/>
  <c r="DG17" i="49"/>
  <c r="DF17" i="49"/>
  <c r="DE17" i="49"/>
  <c r="AL17" i="49"/>
  <c r="CD17" i="49"/>
  <c r="DD17" i="49"/>
  <c r="DA17" i="49"/>
  <c r="CW17" i="49"/>
  <c r="FO17" i="49"/>
  <c r="DC17" i="49"/>
  <c r="DB17" i="49"/>
  <c r="CZ17" i="49"/>
  <c r="CY17" i="49"/>
  <c r="AR17" i="49"/>
  <c r="DG16" i="49"/>
  <c r="DF16" i="49"/>
  <c r="DE16" i="49"/>
  <c r="AL16" i="49"/>
  <c r="CD16" i="49"/>
  <c r="DD16" i="49"/>
  <c r="DA16" i="49"/>
  <c r="CW16" i="49"/>
  <c r="FO16" i="49"/>
  <c r="DC16" i="49"/>
  <c r="DB16" i="49"/>
  <c r="CZ16" i="49"/>
  <c r="CY16" i="49"/>
  <c r="AR16" i="49"/>
  <c r="DG15" i="49"/>
  <c r="DF15" i="49"/>
  <c r="DE15" i="49"/>
  <c r="AL15" i="49"/>
  <c r="CD15" i="49"/>
  <c r="DD15" i="49"/>
  <c r="DA15" i="49"/>
  <c r="CW15" i="49"/>
  <c r="FO15" i="49"/>
  <c r="DC15" i="49"/>
  <c r="DB15" i="49"/>
  <c r="CZ15" i="49"/>
  <c r="CY15" i="49"/>
  <c r="AR15" i="49"/>
  <c r="DG14" i="49"/>
  <c r="DF14" i="49"/>
  <c r="DE14" i="49"/>
  <c r="AL14" i="49"/>
  <c r="CD14" i="49"/>
  <c r="DD14" i="49"/>
  <c r="DA14" i="49"/>
  <c r="CW14" i="49"/>
  <c r="FO14" i="49"/>
  <c r="DC14" i="49"/>
  <c r="DB14" i="49"/>
  <c r="CZ14" i="49"/>
  <c r="CY14" i="49"/>
  <c r="AR14" i="49"/>
  <c r="DG13" i="49"/>
  <c r="DF13" i="49"/>
  <c r="DE13" i="49"/>
  <c r="AL13" i="49"/>
  <c r="CD13" i="49"/>
  <c r="DD13" i="49"/>
  <c r="DA13" i="49"/>
  <c r="CW13" i="49"/>
  <c r="FO13" i="49"/>
  <c r="DC13" i="49"/>
  <c r="DB13" i="49"/>
  <c r="CZ13" i="49"/>
  <c r="CY13" i="49"/>
  <c r="AR13" i="49"/>
  <c r="DG12" i="49"/>
  <c r="DF12" i="49"/>
  <c r="DE12" i="49"/>
  <c r="AL12" i="49"/>
  <c r="CD12" i="49"/>
  <c r="DD12" i="49"/>
  <c r="DA12" i="49"/>
  <c r="CW12" i="49"/>
  <c r="FO12" i="49"/>
  <c r="DC12" i="49"/>
  <c r="DB12" i="49"/>
  <c r="CZ12" i="49"/>
  <c r="CY12" i="49"/>
  <c r="AR12" i="49"/>
  <c r="DG11" i="49"/>
  <c r="DF11" i="49"/>
  <c r="DE11" i="49"/>
  <c r="AL11" i="49"/>
  <c r="CD11" i="49"/>
  <c r="DD11" i="49"/>
  <c r="DA11" i="49"/>
  <c r="CW11" i="49"/>
  <c r="FO11" i="49"/>
  <c r="DC11" i="49"/>
  <c r="DB11" i="49"/>
  <c r="CZ11" i="49"/>
  <c r="CY11" i="49"/>
  <c r="AR11" i="49"/>
  <c r="DG10" i="49"/>
  <c r="DF10" i="49"/>
  <c r="DE10" i="49"/>
  <c r="AL10" i="49"/>
  <c r="CD10" i="49"/>
  <c r="DD10" i="49"/>
  <c r="DA10" i="49"/>
  <c r="CW10" i="49"/>
  <c r="FO10" i="49"/>
  <c r="DC10" i="49"/>
  <c r="DB10" i="49"/>
  <c r="CZ10" i="49"/>
  <c r="CY10" i="49"/>
  <c r="AR10" i="49"/>
  <c r="DG9" i="49"/>
  <c r="DF9" i="49"/>
  <c r="DE9" i="49"/>
  <c r="AL9" i="49"/>
  <c r="CD9" i="49"/>
  <c r="DD9" i="49"/>
  <c r="DA9" i="49"/>
  <c r="CW9" i="49"/>
  <c r="FO9" i="49"/>
  <c r="DC9" i="49"/>
  <c r="DB9" i="49"/>
  <c r="CZ9" i="49"/>
  <c r="CY9" i="49"/>
  <c r="AR9" i="49"/>
  <c r="DG8" i="49"/>
  <c r="DF8" i="49"/>
  <c r="DE8" i="49"/>
  <c r="AL8" i="49"/>
  <c r="CD8" i="49"/>
  <c r="DD8" i="49"/>
  <c r="DA8" i="49"/>
  <c r="CW8" i="49"/>
  <c r="FO8" i="49"/>
  <c r="DC8" i="49"/>
  <c r="DB8" i="49"/>
  <c r="CZ8" i="49"/>
  <c r="CY8" i="49"/>
  <c r="AR8" i="49"/>
  <c r="DG7" i="49"/>
  <c r="DF7" i="49"/>
  <c r="DE7" i="49"/>
  <c r="AL7" i="49"/>
  <c r="CD7" i="49"/>
  <c r="DD7" i="49"/>
  <c r="DA7" i="49"/>
  <c r="CW7" i="49"/>
  <c r="FO7" i="49"/>
  <c r="DC7" i="49"/>
  <c r="DB7" i="49"/>
  <c r="CZ7" i="49"/>
  <c r="CY7" i="49"/>
  <c r="AR7" i="49"/>
  <c r="W141" i="57"/>
  <c r="V141" i="57"/>
  <c r="W140" i="57"/>
  <c r="V140" i="57"/>
  <c r="W139" i="57"/>
  <c r="V139" i="57"/>
  <c r="W138" i="57"/>
  <c r="V138" i="57"/>
  <c r="W137" i="57"/>
  <c r="V137" i="57"/>
  <c r="W136" i="57"/>
  <c r="V136" i="57"/>
  <c r="W135" i="57"/>
  <c r="V135" i="57"/>
  <c r="W134" i="57"/>
  <c r="V134" i="57"/>
  <c r="W133" i="57"/>
  <c r="V133" i="57"/>
  <c r="W132" i="57"/>
  <c r="V132" i="57"/>
  <c r="W131" i="57"/>
  <c r="V131" i="57"/>
  <c r="W130" i="57"/>
  <c r="V130" i="57"/>
  <c r="W129" i="57"/>
  <c r="V129" i="57"/>
  <c r="W128" i="57"/>
  <c r="V128" i="57"/>
  <c r="W127" i="57"/>
  <c r="V127" i="57"/>
  <c r="W126" i="57"/>
  <c r="V126" i="57"/>
  <c r="W125" i="57"/>
  <c r="V125" i="57"/>
  <c r="W124" i="57"/>
  <c r="V124" i="57"/>
  <c r="W123" i="57"/>
  <c r="V123" i="57"/>
  <c r="W122" i="57"/>
  <c r="V122" i="57"/>
  <c r="W121" i="57"/>
  <c r="V121" i="57"/>
  <c r="W120" i="57"/>
  <c r="V120" i="57"/>
  <c r="W119" i="57"/>
  <c r="V119" i="57"/>
  <c r="W118" i="57"/>
  <c r="V118" i="57"/>
  <c r="W117" i="57"/>
  <c r="V117" i="57"/>
  <c r="W116" i="57"/>
  <c r="V116" i="57"/>
  <c r="W115" i="57"/>
  <c r="V115" i="57"/>
  <c r="W114" i="57"/>
  <c r="V114" i="57"/>
  <c r="W113" i="57"/>
  <c r="V113" i="57"/>
  <c r="W112" i="57"/>
  <c r="V112" i="57"/>
  <c r="W111" i="57"/>
  <c r="V111" i="57"/>
  <c r="W110" i="57"/>
  <c r="V110" i="57"/>
  <c r="W109" i="57"/>
  <c r="V109" i="57"/>
  <c r="W108" i="57"/>
  <c r="V108" i="57"/>
  <c r="W107" i="57"/>
  <c r="V107" i="57"/>
  <c r="W106" i="57"/>
  <c r="V106" i="57"/>
  <c r="W105" i="57"/>
  <c r="V105" i="57"/>
  <c r="W104" i="57"/>
  <c r="V104" i="57"/>
  <c r="W103" i="57"/>
  <c r="V103" i="57"/>
  <c r="W102" i="57"/>
  <c r="V102" i="57"/>
  <c r="W101" i="57"/>
  <c r="V101" i="57"/>
  <c r="W100" i="57"/>
  <c r="V100" i="57"/>
  <c r="W99" i="57"/>
  <c r="V99" i="57"/>
  <c r="W98" i="57"/>
  <c r="V98" i="57"/>
  <c r="W97" i="57"/>
  <c r="V97" i="57"/>
  <c r="W96" i="57"/>
  <c r="V96" i="57"/>
  <c r="W95" i="57"/>
  <c r="V95" i="57"/>
  <c r="W94" i="57"/>
  <c r="V94" i="57"/>
  <c r="W93" i="57"/>
  <c r="V93" i="57"/>
  <c r="W92" i="57"/>
  <c r="V92" i="57"/>
  <c r="W91" i="57"/>
  <c r="V91" i="57"/>
  <c r="W90" i="57"/>
  <c r="V90" i="57"/>
  <c r="W89" i="57"/>
  <c r="V89" i="57"/>
  <c r="W88" i="57"/>
  <c r="V88" i="57"/>
  <c r="W87" i="57"/>
  <c r="V87" i="57"/>
  <c r="W86" i="57"/>
  <c r="V86" i="57"/>
  <c r="W85" i="57"/>
  <c r="V85" i="57"/>
  <c r="W84" i="57"/>
  <c r="V84" i="57"/>
  <c r="W83" i="57"/>
  <c r="V83" i="57"/>
  <c r="W82" i="57"/>
  <c r="V82" i="57"/>
  <c r="W81" i="57"/>
  <c r="V81" i="57"/>
  <c r="W80" i="57"/>
  <c r="V80" i="57"/>
  <c r="W79" i="57"/>
  <c r="V79" i="57"/>
  <c r="W78" i="57"/>
  <c r="V78" i="57"/>
  <c r="W77" i="57"/>
  <c r="V77" i="57"/>
  <c r="W76" i="57"/>
  <c r="V76" i="57"/>
  <c r="W75" i="57"/>
  <c r="V75" i="57"/>
  <c r="W74" i="57"/>
  <c r="V74" i="57"/>
  <c r="W73" i="57"/>
  <c r="V73" i="57"/>
  <c r="W72" i="57"/>
  <c r="V72" i="57"/>
  <c r="W71" i="57"/>
  <c r="V71" i="57"/>
  <c r="W70" i="57"/>
  <c r="V70" i="57"/>
  <c r="W69" i="57"/>
  <c r="V69" i="57"/>
  <c r="W68" i="57"/>
  <c r="V68" i="57"/>
  <c r="W67" i="57"/>
  <c r="V67" i="57"/>
  <c r="W66" i="57"/>
  <c r="V66" i="57"/>
  <c r="W65" i="57"/>
  <c r="V65" i="57"/>
  <c r="W64" i="57"/>
  <c r="V64" i="57"/>
  <c r="W63" i="57"/>
  <c r="V63" i="57"/>
  <c r="W62" i="57"/>
  <c r="V62" i="57"/>
  <c r="W61" i="57"/>
  <c r="V61" i="57"/>
  <c r="W60" i="57"/>
  <c r="V60" i="57"/>
  <c r="W59" i="57"/>
  <c r="V59" i="57"/>
  <c r="W57" i="57"/>
  <c r="V57" i="57"/>
  <c r="W56" i="57"/>
  <c r="V56" i="57"/>
  <c r="W55" i="57"/>
  <c r="V55" i="57"/>
  <c r="W54" i="57"/>
  <c r="V54" i="57"/>
  <c r="W53" i="57"/>
  <c r="V53" i="57"/>
  <c r="W52" i="57"/>
  <c r="V52" i="57"/>
  <c r="W51" i="57"/>
  <c r="V51" i="57"/>
  <c r="W50" i="57"/>
  <c r="V50" i="57"/>
  <c r="W49" i="57"/>
  <c r="V49" i="57"/>
  <c r="W48" i="57"/>
  <c r="V48" i="57"/>
  <c r="W47" i="57"/>
  <c r="V47" i="57"/>
  <c r="W46" i="57"/>
  <c r="V46" i="57"/>
  <c r="W45" i="57"/>
  <c r="V45" i="57"/>
  <c r="W44" i="57"/>
  <c r="V44" i="57"/>
  <c r="W43" i="57"/>
  <c r="V43" i="57"/>
  <c r="W42" i="57"/>
  <c r="V42" i="57"/>
  <c r="W41" i="57"/>
  <c r="V41" i="57"/>
  <c r="W40" i="57"/>
  <c r="V40" i="57"/>
  <c r="W39" i="57"/>
  <c r="V39" i="57"/>
  <c r="W38" i="57"/>
  <c r="V38" i="57"/>
  <c r="W37" i="57"/>
  <c r="V37" i="57"/>
  <c r="W36" i="57"/>
  <c r="V36" i="57"/>
  <c r="W35" i="57"/>
  <c r="V35" i="57"/>
  <c r="W34" i="57"/>
  <c r="V34" i="57"/>
  <c r="W33" i="57"/>
  <c r="V33" i="57"/>
  <c r="W32" i="57"/>
  <c r="V32" i="57"/>
  <c r="W31" i="57"/>
  <c r="V31" i="57"/>
  <c r="W30" i="57"/>
  <c r="V30" i="57"/>
  <c r="W29" i="57"/>
  <c r="V29" i="57"/>
  <c r="W28" i="57"/>
  <c r="V28" i="57"/>
  <c r="W27" i="57"/>
  <c r="V27" i="57"/>
  <c r="W26" i="57"/>
  <c r="V26" i="57"/>
  <c r="W25" i="57"/>
  <c r="V25" i="57"/>
  <c r="W24" i="57"/>
  <c r="V24" i="57"/>
  <c r="W23" i="57"/>
  <c r="V23" i="57"/>
  <c r="W22" i="57"/>
  <c r="V22" i="57"/>
  <c r="W21" i="57"/>
  <c r="V21" i="57"/>
  <c r="W20" i="57"/>
  <c r="V20" i="57"/>
  <c r="W19" i="57"/>
  <c r="V19" i="57"/>
  <c r="W18" i="57"/>
  <c r="V18" i="57"/>
  <c r="W17" i="57"/>
  <c r="V17" i="57"/>
  <c r="W16" i="57"/>
  <c r="V16" i="57"/>
  <c r="W15" i="57"/>
  <c r="V15" i="57"/>
  <c r="W14" i="57"/>
  <c r="V14" i="57"/>
  <c r="W13" i="57"/>
  <c r="V13" i="57"/>
  <c r="W12" i="57"/>
  <c r="V12" i="57"/>
  <c r="W11" i="57"/>
  <c r="V11" i="57"/>
  <c r="W10" i="57"/>
  <c r="V10" i="57"/>
  <c r="W9" i="57"/>
  <c r="V9" i="57"/>
  <c r="W8" i="57"/>
  <c r="V8" i="57"/>
  <c r="W7" i="57"/>
  <c r="V7" i="57"/>
  <c r="AO141" i="57"/>
  <c r="AP141" i="57"/>
  <c r="AN141" i="57"/>
  <c r="AH141" i="57"/>
  <c r="AG141" i="57"/>
  <c r="Z141" i="57"/>
  <c r="Y141" i="57"/>
  <c r="AC141" i="57"/>
  <c r="AF141" i="57"/>
  <c r="AB141" i="57"/>
  <c r="AR141" i="57"/>
  <c r="AL141" i="57"/>
  <c r="R141" i="57"/>
  <c r="AE141" i="57"/>
  <c r="I141" i="57"/>
  <c r="AO140" i="57"/>
  <c r="AP140" i="57"/>
  <c r="AN140" i="57"/>
  <c r="AH140" i="57"/>
  <c r="AG140" i="57"/>
  <c r="Z140" i="57"/>
  <c r="Y140" i="57"/>
  <c r="AC140" i="57"/>
  <c r="AF140" i="57"/>
  <c r="AB140" i="57"/>
  <c r="AR140" i="57"/>
  <c r="AL140" i="57"/>
  <c r="R140" i="57"/>
  <c r="AE140" i="57"/>
  <c r="I140" i="57"/>
  <c r="AM140" i="57" s="1"/>
  <c r="AO139" i="57"/>
  <c r="AP139" i="57"/>
  <c r="AN139" i="57"/>
  <c r="AH139" i="57"/>
  <c r="AG139" i="57"/>
  <c r="Z139" i="57"/>
  <c r="Y139" i="57"/>
  <c r="AC139" i="57"/>
  <c r="AF139" i="57"/>
  <c r="AB139" i="57"/>
  <c r="AR139" i="57"/>
  <c r="AL139" i="57"/>
  <c r="R139" i="57"/>
  <c r="AE139" i="57"/>
  <c r="I139" i="57"/>
  <c r="AO138" i="57"/>
  <c r="AP138" i="57"/>
  <c r="AN138" i="57"/>
  <c r="AH138" i="57"/>
  <c r="AG138" i="57"/>
  <c r="Z138" i="57"/>
  <c r="Y138" i="57"/>
  <c r="AC138" i="57"/>
  <c r="AF138" i="57"/>
  <c r="AB138" i="57"/>
  <c r="AR138" i="57"/>
  <c r="AL138" i="57"/>
  <c r="R138" i="57"/>
  <c r="AE138" i="57"/>
  <c r="I138" i="57"/>
  <c r="AO137" i="57"/>
  <c r="AP137" i="57"/>
  <c r="AN137" i="57"/>
  <c r="AH137" i="57"/>
  <c r="AG137" i="57"/>
  <c r="Z137" i="57"/>
  <c r="Y137" i="57"/>
  <c r="AC137" i="57"/>
  <c r="AF137" i="57"/>
  <c r="AB137" i="57"/>
  <c r="AR137" i="57"/>
  <c r="AL137" i="57"/>
  <c r="R137" i="57"/>
  <c r="AE137" i="57"/>
  <c r="I137" i="57"/>
  <c r="AM137" i="57" s="1"/>
  <c r="AO136" i="57"/>
  <c r="AP136" i="57"/>
  <c r="AN136" i="57"/>
  <c r="AH136" i="57"/>
  <c r="AG136" i="57"/>
  <c r="Z136" i="57"/>
  <c r="Y136" i="57"/>
  <c r="AC136" i="57"/>
  <c r="AF136" i="57"/>
  <c r="AB136" i="57"/>
  <c r="AR136" i="57"/>
  <c r="AL136" i="57"/>
  <c r="R136" i="57"/>
  <c r="AE136" i="57"/>
  <c r="I136" i="57"/>
  <c r="AO135" i="57"/>
  <c r="AP135" i="57"/>
  <c r="AN135" i="57"/>
  <c r="AH135" i="57"/>
  <c r="AG135" i="57"/>
  <c r="Z135" i="57"/>
  <c r="Y135" i="57"/>
  <c r="AC135" i="57"/>
  <c r="AF135" i="57"/>
  <c r="AB135" i="57"/>
  <c r="AR135" i="57"/>
  <c r="AL135" i="57"/>
  <c r="R135" i="57"/>
  <c r="AE135" i="57"/>
  <c r="I135" i="57"/>
  <c r="AO134" i="57"/>
  <c r="AP134" i="57"/>
  <c r="AN134" i="57"/>
  <c r="AH134" i="57"/>
  <c r="AG134" i="57"/>
  <c r="Z134" i="57"/>
  <c r="Y134" i="57"/>
  <c r="AC134" i="57"/>
  <c r="AF134" i="57"/>
  <c r="AB134" i="57"/>
  <c r="AR134" i="57"/>
  <c r="AL134" i="57"/>
  <c r="R134" i="57"/>
  <c r="AE134" i="57"/>
  <c r="I134" i="57"/>
  <c r="AM134" i="57" s="1"/>
  <c r="AO133" i="57"/>
  <c r="AP133" i="57"/>
  <c r="AN133" i="57"/>
  <c r="AH133" i="57"/>
  <c r="AG133" i="57"/>
  <c r="Z133" i="57"/>
  <c r="Y133" i="57"/>
  <c r="AC133" i="57"/>
  <c r="AF133" i="57"/>
  <c r="AB133" i="57"/>
  <c r="AR133" i="57"/>
  <c r="AL133" i="57"/>
  <c r="R133" i="57"/>
  <c r="AE133" i="57"/>
  <c r="I133" i="57"/>
  <c r="AO132" i="57"/>
  <c r="AP132" i="57"/>
  <c r="AN132" i="57"/>
  <c r="AH132" i="57"/>
  <c r="AG132" i="57"/>
  <c r="Z132" i="57"/>
  <c r="Y132" i="57"/>
  <c r="AC132" i="57"/>
  <c r="AF132" i="57"/>
  <c r="AB132" i="57"/>
  <c r="AR132" i="57"/>
  <c r="AL132" i="57"/>
  <c r="R132" i="57"/>
  <c r="AE132" i="57"/>
  <c r="I132" i="57"/>
  <c r="AO131" i="57"/>
  <c r="AP131" i="57"/>
  <c r="AN131" i="57"/>
  <c r="AH131" i="57"/>
  <c r="AG131" i="57"/>
  <c r="Z131" i="57"/>
  <c r="Y131" i="57"/>
  <c r="AC131" i="57"/>
  <c r="AF131" i="57"/>
  <c r="AB131" i="57"/>
  <c r="AR131" i="57"/>
  <c r="AL131" i="57"/>
  <c r="R131" i="57"/>
  <c r="AE131" i="57"/>
  <c r="I131" i="57"/>
  <c r="AM131" i="57" s="1"/>
  <c r="AO130" i="57"/>
  <c r="AP130" i="57"/>
  <c r="AN130" i="57"/>
  <c r="AH130" i="57"/>
  <c r="AG130" i="57"/>
  <c r="Z130" i="57"/>
  <c r="Y130" i="57"/>
  <c r="AC130" i="57"/>
  <c r="AF130" i="57"/>
  <c r="AB130" i="57"/>
  <c r="AR130" i="57"/>
  <c r="AL130" i="57"/>
  <c r="R130" i="57"/>
  <c r="AE130" i="57"/>
  <c r="I130" i="57"/>
  <c r="AO129" i="57"/>
  <c r="AP129" i="57"/>
  <c r="AN129" i="57"/>
  <c r="AH129" i="57"/>
  <c r="AG129" i="57"/>
  <c r="Z129" i="57"/>
  <c r="Y129" i="57"/>
  <c r="AC129" i="57"/>
  <c r="AF129" i="57"/>
  <c r="AB129" i="57"/>
  <c r="AR129" i="57"/>
  <c r="AL129" i="57"/>
  <c r="R129" i="57"/>
  <c r="AE129" i="57"/>
  <c r="I129" i="57"/>
  <c r="AO128" i="57"/>
  <c r="AP128" i="57"/>
  <c r="AN128" i="57"/>
  <c r="AH128" i="57"/>
  <c r="AG128" i="57"/>
  <c r="Z128" i="57"/>
  <c r="Y128" i="57"/>
  <c r="AC128" i="57"/>
  <c r="AF128" i="57"/>
  <c r="AB128" i="57"/>
  <c r="AR128" i="57"/>
  <c r="AL128" i="57"/>
  <c r="R128" i="57"/>
  <c r="AE128" i="57"/>
  <c r="I128" i="57"/>
  <c r="AM128" i="57" s="1"/>
  <c r="AO127" i="57"/>
  <c r="AP127" i="57"/>
  <c r="AN127" i="57"/>
  <c r="AH127" i="57"/>
  <c r="AG127" i="57"/>
  <c r="Z127" i="57"/>
  <c r="Y127" i="57"/>
  <c r="AC127" i="57"/>
  <c r="AF127" i="57"/>
  <c r="AB127" i="57"/>
  <c r="AR127" i="57"/>
  <c r="AL127" i="57"/>
  <c r="R127" i="57"/>
  <c r="AE127" i="57"/>
  <c r="I127" i="57"/>
  <c r="AO126" i="57"/>
  <c r="AP126" i="57"/>
  <c r="AN126" i="57"/>
  <c r="AH126" i="57"/>
  <c r="AG126" i="57"/>
  <c r="Z126" i="57"/>
  <c r="Y126" i="57"/>
  <c r="AC126" i="57"/>
  <c r="AF126" i="57"/>
  <c r="AB126" i="57"/>
  <c r="AR126" i="57"/>
  <c r="AL126" i="57"/>
  <c r="R126" i="57"/>
  <c r="AE126" i="57"/>
  <c r="I126" i="57"/>
  <c r="AO125" i="57"/>
  <c r="AP125" i="57"/>
  <c r="AN125" i="57"/>
  <c r="AH125" i="57"/>
  <c r="AG125" i="57"/>
  <c r="Z125" i="57"/>
  <c r="Y125" i="57"/>
  <c r="AC125" i="57"/>
  <c r="AF125" i="57"/>
  <c r="AB125" i="57"/>
  <c r="AR125" i="57"/>
  <c r="AL125" i="57"/>
  <c r="R125" i="57"/>
  <c r="AE125" i="57"/>
  <c r="I125" i="57"/>
  <c r="AM125" i="57" s="1"/>
  <c r="AO124" i="57"/>
  <c r="AP124" i="57"/>
  <c r="AN124" i="57"/>
  <c r="AH124" i="57"/>
  <c r="AG124" i="57"/>
  <c r="Z124" i="57"/>
  <c r="Y124" i="57"/>
  <c r="AC124" i="57"/>
  <c r="AF124" i="57"/>
  <c r="AB124" i="57"/>
  <c r="AR124" i="57"/>
  <c r="AL124" i="57"/>
  <c r="R124" i="57"/>
  <c r="AE124" i="57"/>
  <c r="I124" i="57"/>
  <c r="AM124" i="57" s="1"/>
  <c r="AO123" i="57"/>
  <c r="AP123" i="57"/>
  <c r="AN123" i="57"/>
  <c r="AH123" i="57"/>
  <c r="AG123" i="57"/>
  <c r="Z123" i="57"/>
  <c r="Y123" i="57"/>
  <c r="AC123" i="57"/>
  <c r="AF123" i="57"/>
  <c r="AB123" i="57"/>
  <c r="AR123" i="57"/>
  <c r="AL123" i="57"/>
  <c r="R123" i="57"/>
  <c r="AE123" i="57"/>
  <c r="I123" i="57"/>
  <c r="AO122" i="57"/>
  <c r="AP122" i="57"/>
  <c r="AN122" i="57"/>
  <c r="AH122" i="57"/>
  <c r="AG122" i="57"/>
  <c r="Z122" i="57"/>
  <c r="Y122" i="57"/>
  <c r="AC122" i="57"/>
  <c r="AF122" i="57"/>
  <c r="AB122" i="57"/>
  <c r="AR122" i="57"/>
  <c r="AL122" i="57"/>
  <c r="R122" i="57"/>
  <c r="AE122" i="57"/>
  <c r="I122" i="57"/>
  <c r="AO121" i="57"/>
  <c r="AP121" i="57"/>
  <c r="AN121" i="57"/>
  <c r="AH121" i="57"/>
  <c r="AG121" i="57"/>
  <c r="Z121" i="57"/>
  <c r="Y121" i="57"/>
  <c r="AC121" i="57"/>
  <c r="AF121" i="57"/>
  <c r="AB121" i="57"/>
  <c r="AR121" i="57"/>
  <c r="AL121" i="57"/>
  <c r="R121" i="57"/>
  <c r="AE121" i="57"/>
  <c r="I121" i="57"/>
  <c r="AM121" i="57" s="1"/>
  <c r="AO120" i="57"/>
  <c r="AP120" i="57"/>
  <c r="AN120" i="57"/>
  <c r="AH120" i="57"/>
  <c r="AG120" i="57"/>
  <c r="Z120" i="57"/>
  <c r="Y120" i="57"/>
  <c r="AC120" i="57"/>
  <c r="AF120" i="57"/>
  <c r="AB120" i="57"/>
  <c r="AR120" i="57"/>
  <c r="AL120" i="57"/>
  <c r="R120" i="57"/>
  <c r="AE120" i="57"/>
  <c r="I120" i="57"/>
  <c r="AO119" i="57"/>
  <c r="AP119" i="57"/>
  <c r="AN119" i="57"/>
  <c r="AH119" i="57"/>
  <c r="AG119" i="57"/>
  <c r="Z119" i="57"/>
  <c r="Y119" i="57"/>
  <c r="AC119" i="57"/>
  <c r="AF119" i="57"/>
  <c r="AB119" i="57"/>
  <c r="AR119" i="57"/>
  <c r="AL119" i="57"/>
  <c r="R119" i="57"/>
  <c r="AE119" i="57"/>
  <c r="I119" i="57"/>
  <c r="AM119" i="57" s="1"/>
  <c r="AO118" i="57"/>
  <c r="AP118" i="57"/>
  <c r="AN118" i="57"/>
  <c r="AH118" i="57"/>
  <c r="AG118" i="57"/>
  <c r="Z118" i="57"/>
  <c r="Y118" i="57"/>
  <c r="AC118" i="57"/>
  <c r="AF118" i="57"/>
  <c r="AB118" i="57"/>
  <c r="AR118" i="57"/>
  <c r="AL118" i="57"/>
  <c r="R118" i="57"/>
  <c r="AE118" i="57"/>
  <c r="I118" i="57"/>
  <c r="AO117" i="57"/>
  <c r="AP117" i="57"/>
  <c r="AN117" i="57"/>
  <c r="AH117" i="57"/>
  <c r="AG117" i="57"/>
  <c r="Z117" i="57"/>
  <c r="Y117" i="57"/>
  <c r="AC117" i="57"/>
  <c r="AF117" i="57"/>
  <c r="AB117" i="57"/>
  <c r="AR117" i="57"/>
  <c r="AL117" i="57"/>
  <c r="R117" i="57"/>
  <c r="AE117" i="57"/>
  <c r="I117" i="57"/>
  <c r="AM117" i="57" s="1"/>
  <c r="AO116" i="57"/>
  <c r="AP116" i="57"/>
  <c r="AN116" i="57"/>
  <c r="AH116" i="57"/>
  <c r="AG116" i="57"/>
  <c r="Z116" i="57"/>
  <c r="Y116" i="57"/>
  <c r="AC116" i="57"/>
  <c r="AF116" i="57"/>
  <c r="AB116" i="57"/>
  <c r="AR116" i="57"/>
  <c r="AL116" i="57"/>
  <c r="R116" i="57"/>
  <c r="AE116" i="57"/>
  <c r="I116" i="57"/>
  <c r="AO115" i="57"/>
  <c r="AP115" i="57"/>
  <c r="AN115" i="57"/>
  <c r="AH115" i="57"/>
  <c r="AG115" i="57"/>
  <c r="Z115" i="57"/>
  <c r="Y115" i="57"/>
  <c r="AC115" i="57"/>
  <c r="AF115" i="57"/>
  <c r="AB115" i="57"/>
  <c r="AR115" i="57"/>
  <c r="AL115" i="57"/>
  <c r="R115" i="57"/>
  <c r="AE115" i="57"/>
  <c r="I115" i="57"/>
  <c r="AO114" i="57"/>
  <c r="AP114" i="57"/>
  <c r="AN114" i="57"/>
  <c r="AH114" i="57"/>
  <c r="AG114" i="57"/>
  <c r="Z114" i="57"/>
  <c r="Y114" i="57"/>
  <c r="AC114" i="57"/>
  <c r="AF114" i="57"/>
  <c r="AB114" i="57"/>
  <c r="AR114" i="57"/>
  <c r="AL114" i="57"/>
  <c r="R114" i="57"/>
  <c r="AE114" i="57"/>
  <c r="I114" i="57"/>
  <c r="AM114" i="57" s="1"/>
  <c r="AO113" i="57"/>
  <c r="AP113" i="57"/>
  <c r="AN113" i="57"/>
  <c r="AH113" i="57"/>
  <c r="AG113" i="57"/>
  <c r="Z113" i="57"/>
  <c r="Y113" i="57"/>
  <c r="AC113" i="57"/>
  <c r="AF113" i="57"/>
  <c r="AB113" i="57"/>
  <c r="AR113" i="57"/>
  <c r="AL113" i="57"/>
  <c r="R113" i="57"/>
  <c r="AE113" i="57"/>
  <c r="I113" i="57"/>
  <c r="AM113" i="57" s="1"/>
  <c r="AO112" i="57"/>
  <c r="AP112" i="57"/>
  <c r="AN112" i="57"/>
  <c r="AH112" i="57"/>
  <c r="AG112" i="57"/>
  <c r="Z112" i="57"/>
  <c r="Y112" i="57"/>
  <c r="AC112" i="57"/>
  <c r="AF112" i="57"/>
  <c r="AB112" i="57"/>
  <c r="AR112" i="57"/>
  <c r="AL112" i="57"/>
  <c r="R112" i="57"/>
  <c r="AE112" i="57"/>
  <c r="I112" i="57"/>
  <c r="AM112" i="57" s="1"/>
  <c r="AO111" i="57"/>
  <c r="AP111" i="57"/>
  <c r="AN111" i="57"/>
  <c r="AH111" i="57"/>
  <c r="AG111" i="57"/>
  <c r="Z111" i="57"/>
  <c r="Y111" i="57"/>
  <c r="AC111" i="57"/>
  <c r="AF111" i="57"/>
  <c r="AB111" i="57"/>
  <c r="AR111" i="57"/>
  <c r="AL111" i="57"/>
  <c r="R111" i="57"/>
  <c r="AE111" i="57"/>
  <c r="I111" i="57"/>
  <c r="AO110" i="57"/>
  <c r="AP110" i="57"/>
  <c r="AN110" i="57"/>
  <c r="AH110" i="57"/>
  <c r="AG110" i="57"/>
  <c r="Z110" i="57"/>
  <c r="Y110" i="57"/>
  <c r="AC110" i="57"/>
  <c r="AF110" i="57"/>
  <c r="AB110" i="57"/>
  <c r="AR110" i="57"/>
  <c r="AL110" i="57"/>
  <c r="R110" i="57"/>
  <c r="AE110" i="57"/>
  <c r="I110" i="57"/>
  <c r="AM110" i="57" s="1"/>
  <c r="AO109" i="57"/>
  <c r="AP109" i="57"/>
  <c r="AN109" i="57"/>
  <c r="AH109" i="57"/>
  <c r="AG109" i="57"/>
  <c r="Z109" i="57"/>
  <c r="Y109" i="57"/>
  <c r="AC109" i="57"/>
  <c r="AF109" i="57"/>
  <c r="AB109" i="57"/>
  <c r="AR109" i="57"/>
  <c r="AL109" i="57"/>
  <c r="R109" i="57"/>
  <c r="AE109" i="57"/>
  <c r="I109" i="57"/>
  <c r="AO108" i="57"/>
  <c r="AP108" i="57"/>
  <c r="AN108" i="57"/>
  <c r="AH108" i="57"/>
  <c r="AG108" i="57"/>
  <c r="Z108" i="57"/>
  <c r="Y108" i="57"/>
  <c r="AC108" i="57"/>
  <c r="AF108" i="57"/>
  <c r="AB108" i="57"/>
  <c r="AR108" i="57"/>
  <c r="AL108" i="57"/>
  <c r="R108" i="57"/>
  <c r="AE108" i="57"/>
  <c r="I108" i="57"/>
  <c r="AM108" i="57" s="1"/>
  <c r="AO107" i="57"/>
  <c r="AP107" i="57"/>
  <c r="AN107" i="57"/>
  <c r="AH107" i="57"/>
  <c r="AG107" i="57"/>
  <c r="Z107" i="57"/>
  <c r="Y107" i="57"/>
  <c r="AC107" i="57"/>
  <c r="AF107" i="57"/>
  <c r="AB107" i="57"/>
  <c r="AR107" i="57"/>
  <c r="AL107" i="57"/>
  <c r="R107" i="57"/>
  <c r="AE107" i="57"/>
  <c r="I107" i="57"/>
  <c r="AM107" i="57" s="1"/>
  <c r="AO106" i="57"/>
  <c r="AP106" i="57"/>
  <c r="AN106" i="57"/>
  <c r="AH106" i="57"/>
  <c r="AG106" i="57"/>
  <c r="Z106" i="57"/>
  <c r="Y106" i="57"/>
  <c r="AC106" i="57"/>
  <c r="AF106" i="57"/>
  <c r="AB106" i="57"/>
  <c r="AR106" i="57"/>
  <c r="AL106" i="57"/>
  <c r="R106" i="57"/>
  <c r="AE106" i="57"/>
  <c r="I106" i="57"/>
  <c r="AM106" i="57" s="1"/>
  <c r="AO105" i="57"/>
  <c r="AP105" i="57"/>
  <c r="AN105" i="57"/>
  <c r="AH105" i="57"/>
  <c r="AG105" i="57"/>
  <c r="Z105" i="57"/>
  <c r="Y105" i="57"/>
  <c r="AC105" i="57"/>
  <c r="AF105" i="57"/>
  <c r="AB105" i="57"/>
  <c r="AR105" i="57"/>
  <c r="AL105" i="57"/>
  <c r="R105" i="57"/>
  <c r="AE105" i="57"/>
  <c r="I105" i="57"/>
  <c r="AO104" i="57"/>
  <c r="AP104" i="57"/>
  <c r="AN104" i="57"/>
  <c r="AH104" i="57"/>
  <c r="AG104" i="57"/>
  <c r="Z104" i="57"/>
  <c r="Y104" i="57"/>
  <c r="AC104" i="57"/>
  <c r="AF104" i="57"/>
  <c r="AB104" i="57"/>
  <c r="AR104" i="57"/>
  <c r="AL104" i="57"/>
  <c r="R104" i="57"/>
  <c r="AE104" i="57"/>
  <c r="I104" i="57"/>
  <c r="AM104" i="57" s="1"/>
  <c r="AO103" i="57"/>
  <c r="AP103" i="57"/>
  <c r="AN103" i="57"/>
  <c r="AH103" i="57"/>
  <c r="AG103" i="57"/>
  <c r="Z103" i="57"/>
  <c r="Y103" i="57"/>
  <c r="AC103" i="57"/>
  <c r="AF103" i="57"/>
  <c r="AB103" i="57"/>
  <c r="AR103" i="57"/>
  <c r="AL103" i="57"/>
  <c r="R103" i="57"/>
  <c r="AE103" i="57"/>
  <c r="I103" i="57"/>
  <c r="AO102" i="57"/>
  <c r="AP102" i="57"/>
  <c r="AN102" i="57"/>
  <c r="AH102" i="57"/>
  <c r="AG102" i="57"/>
  <c r="Z102" i="57"/>
  <c r="Y102" i="57"/>
  <c r="AC102" i="57"/>
  <c r="AF102" i="57"/>
  <c r="AB102" i="57"/>
  <c r="AR102" i="57"/>
  <c r="AL102" i="57"/>
  <c r="R102" i="57"/>
  <c r="AE102" i="57"/>
  <c r="I102" i="57"/>
  <c r="AM102" i="57" s="1"/>
  <c r="AO101" i="57"/>
  <c r="AP101" i="57"/>
  <c r="AN101" i="57"/>
  <c r="AH101" i="57"/>
  <c r="AG101" i="57"/>
  <c r="Z101" i="57"/>
  <c r="Y101" i="57"/>
  <c r="AC101" i="57"/>
  <c r="AF101" i="57"/>
  <c r="AB101" i="57"/>
  <c r="AR101" i="57"/>
  <c r="AL101" i="57"/>
  <c r="R101" i="57"/>
  <c r="AE101" i="57"/>
  <c r="I101" i="57"/>
  <c r="AM101" i="57" s="1"/>
  <c r="AO100" i="57"/>
  <c r="AP100" i="57"/>
  <c r="AN100" i="57"/>
  <c r="AH100" i="57"/>
  <c r="AG100" i="57"/>
  <c r="Z100" i="57"/>
  <c r="Y100" i="57"/>
  <c r="AC100" i="57"/>
  <c r="AF100" i="57"/>
  <c r="AB100" i="57"/>
  <c r="AR100" i="57"/>
  <c r="AL100" i="57"/>
  <c r="R100" i="57"/>
  <c r="AE100" i="57"/>
  <c r="I100" i="57"/>
  <c r="AM100" i="57" s="1"/>
  <c r="AO99" i="57"/>
  <c r="AP99" i="57"/>
  <c r="AN99" i="57"/>
  <c r="AH99" i="57"/>
  <c r="AG99" i="57"/>
  <c r="Z99" i="57"/>
  <c r="Y99" i="57"/>
  <c r="AC99" i="57"/>
  <c r="AF99" i="57"/>
  <c r="AB99" i="57"/>
  <c r="AR99" i="57"/>
  <c r="AL99" i="57"/>
  <c r="R99" i="57"/>
  <c r="AE99" i="57"/>
  <c r="I99" i="57"/>
  <c r="AO98" i="57"/>
  <c r="AP98" i="57"/>
  <c r="AN98" i="57"/>
  <c r="AH98" i="57"/>
  <c r="AG98" i="57"/>
  <c r="Z98" i="57"/>
  <c r="Y98" i="57"/>
  <c r="AC98" i="57"/>
  <c r="AF98" i="57"/>
  <c r="AB98" i="57"/>
  <c r="AR98" i="57"/>
  <c r="AL98" i="57"/>
  <c r="R98" i="57"/>
  <c r="AE98" i="57"/>
  <c r="I98" i="57"/>
  <c r="AM98" i="57" s="1"/>
  <c r="AO97" i="57"/>
  <c r="AP97" i="57"/>
  <c r="AN97" i="57"/>
  <c r="AH97" i="57"/>
  <c r="AG97" i="57"/>
  <c r="Z97" i="57"/>
  <c r="Y97" i="57"/>
  <c r="AC97" i="57"/>
  <c r="AF97" i="57"/>
  <c r="AB97" i="57"/>
  <c r="AR97" i="57"/>
  <c r="AL97" i="57"/>
  <c r="R97" i="57"/>
  <c r="AE97" i="57"/>
  <c r="I97" i="57"/>
  <c r="AO96" i="57"/>
  <c r="AP96" i="57"/>
  <c r="AN96" i="57"/>
  <c r="AH96" i="57"/>
  <c r="AG96" i="57"/>
  <c r="Z96" i="57"/>
  <c r="Y96" i="57"/>
  <c r="AC96" i="57"/>
  <c r="AF96" i="57"/>
  <c r="AB96" i="57"/>
  <c r="AR96" i="57"/>
  <c r="AL96" i="57"/>
  <c r="R96" i="57"/>
  <c r="AE96" i="57"/>
  <c r="I96" i="57"/>
  <c r="AM96" i="57" s="1"/>
  <c r="AO95" i="57"/>
  <c r="AP95" i="57"/>
  <c r="AN95" i="57"/>
  <c r="AH95" i="57"/>
  <c r="AG95" i="57"/>
  <c r="Z95" i="57"/>
  <c r="Y95" i="57"/>
  <c r="AC95" i="57"/>
  <c r="AF95" i="57"/>
  <c r="AB95" i="57"/>
  <c r="AR95" i="57"/>
  <c r="AL95" i="57"/>
  <c r="R95" i="57"/>
  <c r="AE95" i="57"/>
  <c r="I95" i="57"/>
  <c r="AM95" i="57" s="1"/>
  <c r="AO94" i="57"/>
  <c r="AP94" i="57"/>
  <c r="AN94" i="57"/>
  <c r="AH94" i="57"/>
  <c r="AG94" i="57"/>
  <c r="Z94" i="57"/>
  <c r="Y94" i="57"/>
  <c r="AC94" i="57"/>
  <c r="AF94" i="57"/>
  <c r="AB94" i="57"/>
  <c r="AR94" i="57"/>
  <c r="AL94" i="57"/>
  <c r="R94" i="57"/>
  <c r="AE94" i="57"/>
  <c r="I94" i="57"/>
  <c r="AM94" i="57" s="1"/>
  <c r="AO93" i="57"/>
  <c r="AP93" i="57"/>
  <c r="AN93" i="57"/>
  <c r="AH93" i="57"/>
  <c r="AG93" i="57"/>
  <c r="Z93" i="57"/>
  <c r="Y93" i="57"/>
  <c r="AC93" i="57"/>
  <c r="AF93" i="57"/>
  <c r="AB93" i="57"/>
  <c r="AR93" i="57"/>
  <c r="AL93" i="57"/>
  <c r="R93" i="57"/>
  <c r="AE93" i="57"/>
  <c r="I93" i="57"/>
  <c r="AO92" i="57"/>
  <c r="AP92" i="57"/>
  <c r="AN92" i="57"/>
  <c r="AH92" i="57"/>
  <c r="AG92" i="57"/>
  <c r="Z92" i="57"/>
  <c r="Y92" i="57"/>
  <c r="AC92" i="57"/>
  <c r="AF92" i="57"/>
  <c r="AB92" i="57"/>
  <c r="AR92" i="57"/>
  <c r="AL92" i="57"/>
  <c r="R92" i="57"/>
  <c r="AE92" i="57"/>
  <c r="I92" i="57"/>
  <c r="AM92" i="57" s="1"/>
  <c r="AO91" i="57"/>
  <c r="AP91" i="57"/>
  <c r="AN91" i="57"/>
  <c r="AH91" i="57"/>
  <c r="AG91" i="57"/>
  <c r="Z91" i="57"/>
  <c r="Y91" i="57"/>
  <c r="AC91" i="57"/>
  <c r="AF91" i="57"/>
  <c r="AB91" i="57"/>
  <c r="AR91" i="57"/>
  <c r="AL91" i="57"/>
  <c r="R91" i="57"/>
  <c r="AE91" i="57"/>
  <c r="I91" i="57"/>
  <c r="AO90" i="57"/>
  <c r="AP90" i="57"/>
  <c r="AN90" i="57"/>
  <c r="AH90" i="57"/>
  <c r="AG90" i="57"/>
  <c r="Z90" i="57"/>
  <c r="Y90" i="57"/>
  <c r="AC90" i="57"/>
  <c r="AF90" i="57"/>
  <c r="AB90" i="57"/>
  <c r="AR90" i="57"/>
  <c r="AL90" i="57"/>
  <c r="R90" i="57"/>
  <c r="AE90" i="57"/>
  <c r="I90" i="57"/>
  <c r="AM90" i="57" s="1"/>
  <c r="AO89" i="57"/>
  <c r="AP89" i="57"/>
  <c r="AN89" i="57"/>
  <c r="AH89" i="57"/>
  <c r="AG89" i="57"/>
  <c r="Z89" i="57"/>
  <c r="Y89" i="57"/>
  <c r="AC89" i="57"/>
  <c r="AF89" i="57"/>
  <c r="AB89" i="57"/>
  <c r="AR89" i="57"/>
  <c r="AL89" i="57"/>
  <c r="R89" i="57"/>
  <c r="AE89" i="57"/>
  <c r="I89" i="57"/>
  <c r="AM89" i="57" s="1"/>
  <c r="AO88" i="57"/>
  <c r="AP88" i="57"/>
  <c r="AN88" i="57"/>
  <c r="AH88" i="57"/>
  <c r="AG88" i="57"/>
  <c r="Z88" i="57"/>
  <c r="Y88" i="57"/>
  <c r="AC88" i="57"/>
  <c r="AF88" i="57"/>
  <c r="AB88" i="57"/>
  <c r="AR88" i="57"/>
  <c r="AL88" i="57"/>
  <c r="R88" i="57"/>
  <c r="AE88" i="57"/>
  <c r="I88" i="57"/>
  <c r="AM88" i="57" s="1"/>
  <c r="AO87" i="57"/>
  <c r="AP87" i="57"/>
  <c r="AN87" i="57"/>
  <c r="AH87" i="57"/>
  <c r="AG87" i="57"/>
  <c r="Z87" i="57"/>
  <c r="Y87" i="57"/>
  <c r="AC87" i="57"/>
  <c r="AF87" i="57"/>
  <c r="AB87" i="57"/>
  <c r="AR87" i="57"/>
  <c r="AL87" i="57"/>
  <c r="R87" i="57"/>
  <c r="AE87" i="57"/>
  <c r="I87" i="57"/>
  <c r="AO86" i="57"/>
  <c r="AP86" i="57"/>
  <c r="AN86" i="57"/>
  <c r="AH86" i="57"/>
  <c r="AG86" i="57"/>
  <c r="Z86" i="57"/>
  <c r="Y86" i="57"/>
  <c r="AC86" i="57"/>
  <c r="AF86" i="57"/>
  <c r="AB86" i="57"/>
  <c r="AR86" i="57"/>
  <c r="AL86" i="57"/>
  <c r="R86" i="57"/>
  <c r="AE86" i="57"/>
  <c r="I86" i="57"/>
  <c r="AM86" i="57" s="1"/>
  <c r="AO85" i="57"/>
  <c r="AP85" i="57"/>
  <c r="AN85" i="57"/>
  <c r="AH85" i="57"/>
  <c r="AG85" i="57"/>
  <c r="Z85" i="57"/>
  <c r="Y85" i="57"/>
  <c r="AC85" i="57"/>
  <c r="AF85" i="57"/>
  <c r="AB85" i="57"/>
  <c r="AR85" i="57"/>
  <c r="AL85" i="57"/>
  <c r="R85" i="57"/>
  <c r="AE85" i="57"/>
  <c r="I85" i="57"/>
  <c r="AO84" i="57"/>
  <c r="AP84" i="57"/>
  <c r="AN84" i="57"/>
  <c r="AH84" i="57"/>
  <c r="AG84" i="57"/>
  <c r="Z84" i="57"/>
  <c r="Y84" i="57"/>
  <c r="AC84" i="57"/>
  <c r="AF84" i="57"/>
  <c r="AB84" i="57"/>
  <c r="AR84" i="57"/>
  <c r="AL84" i="57"/>
  <c r="R84" i="57"/>
  <c r="AE84" i="57"/>
  <c r="I84" i="57"/>
  <c r="AM84" i="57" s="1"/>
  <c r="AO83" i="57"/>
  <c r="AP83" i="57"/>
  <c r="AN83" i="57"/>
  <c r="AH83" i="57"/>
  <c r="AG83" i="57"/>
  <c r="Z83" i="57"/>
  <c r="Y83" i="57"/>
  <c r="AC83" i="57"/>
  <c r="AF83" i="57"/>
  <c r="AB83" i="57"/>
  <c r="AR83" i="57"/>
  <c r="AL83" i="57"/>
  <c r="R83" i="57"/>
  <c r="AE83" i="57"/>
  <c r="I83" i="57"/>
  <c r="AM83" i="57" s="1"/>
  <c r="AO82" i="57"/>
  <c r="AP82" i="57"/>
  <c r="AN82" i="57"/>
  <c r="AH82" i="57"/>
  <c r="AG82" i="57"/>
  <c r="Z82" i="57"/>
  <c r="Y82" i="57"/>
  <c r="AC82" i="57"/>
  <c r="AF82" i="57"/>
  <c r="AB82" i="57"/>
  <c r="AR82" i="57"/>
  <c r="AL82" i="57"/>
  <c r="R82" i="57"/>
  <c r="AE82" i="57"/>
  <c r="I82" i="57"/>
  <c r="AM82" i="57" s="1"/>
  <c r="AO81" i="57"/>
  <c r="AP81" i="57"/>
  <c r="AN81" i="57"/>
  <c r="AH81" i="57"/>
  <c r="AG81" i="57"/>
  <c r="Z81" i="57"/>
  <c r="Y81" i="57"/>
  <c r="AC81" i="57"/>
  <c r="AF81" i="57"/>
  <c r="AB81" i="57"/>
  <c r="AR81" i="57"/>
  <c r="AL81" i="57"/>
  <c r="R81" i="57"/>
  <c r="AE81" i="57"/>
  <c r="I81" i="57"/>
  <c r="AO80" i="57"/>
  <c r="AP80" i="57"/>
  <c r="AN80" i="57"/>
  <c r="AH80" i="57"/>
  <c r="AG80" i="57"/>
  <c r="Z80" i="57"/>
  <c r="Y80" i="57"/>
  <c r="AC80" i="57"/>
  <c r="AF80" i="57"/>
  <c r="AB80" i="57"/>
  <c r="AR80" i="57"/>
  <c r="AL80" i="57"/>
  <c r="R80" i="57"/>
  <c r="AE80" i="57"/>
  <c r="I80" i="57"/>
  <c r="AM80" i="57" s="1"/>
  <c r="AO79" i="57"/>
  <c r="AP79" i="57"/>
  <c r="AN79" i="57"/>
  <c r="AH79" i="57"/>
  <c r="AG79" i="57"/>
  <c r="Z79" i="57"/>
  <c r="Y79" i="57"/>
  <c r="AC79" i="57"/>
  <c r="AF79" i="57"/>
  <c r="AB79" i="57"/>
  <c r="AR79" i="57"/>
  <c r="AL79" i="57"/>
  <c r="R79" i="57"/>
  <c r="AE79" i="57"/>
  <c r="I79" i="57"/>
  <c r="AO78" i="57"/>
  <c r="AP78" i="57"/>
  <c r="AN78" i="57"/>
  <c r="AH78" i="57"/>
  <c r="AG78" i="57"/>
  <c r="Z78" i="57"/>
  <c r="Y78" i="57"/>
  <c r="AC78" i="57"/>
  <c r="AF78" i="57"/>
  <c r="AB78" i="57"/>
  <c r="AR78" i="57"/>
  <c r="AL78" i="57"/>
  <c r="R78" i="57"/>
  <c r="AE78" i="57"/>
  <c r="I78" i="57"/>
  <c r="AM78" i="57" s="1"/>
  <c r="AO77" i="57"/>
  <c r="AP77" i="57"/>
  <c r="AN77" i="57"/>
  <c r="AH77" i="57"/>
  <c r="AG77" i="57"/>
  <c r="Z77" i="57"/>
  <c r="Y77" i="57"/>
  <c r="AC77" i="57"/>
  <c r="AF77" i="57"/>
  <c r="AB77" i="57"/>
  <c r="AR77" i="57"/>
  <c r="AL77" i="57"/>
  <c r="R77" i="57"/>
  <c r="AE77" i="57"/>
  <c r="I77" i="57"/>
  <c r="AM77" i="57" s="1"/>
  <c r="AO76" i="57"/>
  <c r="AP76" i="57"/>
  <c r="AN76" i="57"/>
  <c r="AH76" i="57"/>
  <c r="AG76" i="57"/>
  <c r="Z76" i="57"/>
  <c r="Y76" i="57"/>
  <c r="AC76" i="57"/>
  <c r="AF76" i="57"/>
  <c r="AB76" i="57"/>
  <c r="AR76" i="57"/>
  <c r="AL76" i="57"/>
  <c r="R76" i="57"/>
  <c r="AE76" i="57"/>
  <c r="I76" i="57"/>
  <c r="AM76" i="57" s="1"/>
  <c r="AO75" i="57"/>
  <c r="AP75" i="57"/>
  <c r="AN75" i="57"/>
  <c r="AH75" i="57"/>
  <c r="AG75" i="57"/>
  <c r="Z75" i="57"/>
  <c r="Y75" i="57"/>
  <c r="AC75" i="57"/>
  <c r="AF75" i="57"/>
  <c r="AB75" i="57"/>
  <c r="AR75" i="57"/>
  <c r="AL75" i="57"/>
  <c r="R75" i="57"/>
  <c r="AE75" i="57"/>
  <c r="I75" i="57"/>
  <c r="AO74" i="57"/>
  <c r="AP74" i="57"/>
  <c r="AN74" i="57"/>
  <c r="AH74" i="57"/>
  <c r="AG74" i="57"/>
  <c r="Z74" i="57"/>
  <c r="Y74" i="57"/>
  <c r="AC74" i="57"/>
  <c r="AF74" i="57"/>
  <c r="AB74" i="57"/>
  <c r="AR74" i="57"/>
  <c r="AL74" i="57"/>
  <c r="R74" i="57"/>
  <c r="AE74" i="57"/>
  <c r="I74" i="57"/>
  <c r="AM74" i="57" s="1"/>
  <c r="AO73" i="57"/>
  <c r="AP73" i="57"/>
  <c r="AN73" i="57"/>
  <c r="AH73" i="57"/>
  <c r="AG73" i="57"/>
  <c r="Z73" i="57"/>
  <c r="Y73" i="57"/>
  <c r="AC73" i="57"/>
  <c r="AF73" i="57"/>
  <c r="AB73" i="57"/>
  <c r="AR73" i="57"/>
  <c r="AL73" i="57"/>
  <c r="R73" i="57"/>
  <c r="AE73" i="57"/>
  <c r="I73" i="57"/>
  <c r="AO72" i="57"/>
  <c r="AP72" i="57"/>
  <c r="AN72" i="57"/>
  <c r="AH72" i="57"/>
  <c r="AG72" i="57"/>
  <c r="Z72" i="57"/>
  <c r="Y72" i="57"/>
  <c r="AC72" i="57"/>
  <c r="AF72" i="57"/>
  <c r="AB72" i="57"/>
  <c r="AR72" i="57"/>
  <c r="AL72" i="57"/>
  <c r="R72" i="57"/>
  <c r="AE72" i="57"/>
  <c r="I72" i="57"/>
  <c r="AM72" i="57" s="1"/>
  <c r="AO71" i="57"/>
  <c r="AP71" i="57"/>
  <c r="AN71" i="57"/>
  <c r="AH71" i="57"/>
  <c r="AG71" i="57"/>
  <c r="Z71" i="57"/>
  <c r="Y71" i="57"/>
  <c r="AC71" i="57"/>
  <c r="AF71" i="57"/>
  <c r="AB71" i="57"/>
  <c r="AR71" i="57"/>
  <c r="AL71" i="57"/>
  <c r="R71" i="57"/>
  <c r="AE71" i="57"/>
  <c r="I71" i="57"/>
  <c r="AO70" i="57"/>
  <c r="AP70" i="57"/>
  <c r="AN70" i="57"/>
  <c r="AH70" i="57"/>
  <c r="AG70" i="57"/>
  <c r="Z70" i="57"/>
  <c r="Y70" i="57"/>
  <c r="AC70" i="57"/>
  <c r="AF70" i="57"/>
  <c r="AB70" i="57"/>
  <c r="AR70" i="57"/>
  <c r="AL70" i="57"/>
  <c r="R70" i="57"/>
  <c r="AE70" i="57"/>
  <c r="I70" i="57"/>
  <c r="AM70" i="57" s="1"/>
  <c r="AO69" i="57"/>
  <c r="AP69" i="57"/>
  <c r="AN69" i="57"/>
  <c r="AH69" i="57"/>
  <c r="AG69" i="57"/>
  <c r="Z69" i="57"/>
  <c r="Y69" i="57"/>
  <c r="AC69" i="57"/>
  <c r="AF69" i="57"/>
  <c r="AB69" i="57"/>
  <c r="AR69" i="57"/>
  <c r="AL69" i="57"/>
  <c r="R69" i="57"/>
  <c r="AE69" i="57"/>
  <c r="I69" i="57"/>
  <c r="AM69" i="57" s="1"/>
  <c r="AO68" i="57"/>
  <c r="AP68" i="57"/>
  <c r="AN68" i="57"/>
  <c r="AH68" i="57"/>
  <c r="AG68" i="57"/>
  <c r="Z68" i="57"/>
  <c r="Y68" i="57"/>
  <c r="AC68" i="57"/>
  <c r="AF68" i="57"/>
  <c r="AB68" i="57"/>
  <c r="AR68" i="57"/>
  <c r="AL68" i="57"/>
  <c r="R68" i="57"/>
  <c r="AE68" i="57"/>
  <c r="I68" i="57"/>
  <c r="AM68" i="57" s="1"/>
  <c r="AO67" i="57"/>
  <c r="AP67" i="57"/>
  <c r="AN67" i="57"/>
  <c r="AH67" i="57"/>
  <c r="AG67" i="57"/>
  <c r="Z67" i="57"/>
  <c r="Y67" i="57"/>
  <c r="AC67" i="57"/>
  <c r="AF67" i="57"/>
  <c r="AB67" i="57"/>
  <c r="AR67" i="57"/>
  <c r="AL67" i="57"/>
  <c r="R67" i="57"/>
  <c r="AE67" i="57"/>
  <c r="I67" i="57"/>
  <c r="AK67" i="57" s="1"/>
  <c r="AO66" i="57"/>
  <c r="AP66" i="57"/>
  <c r="AN66" i="57"/>
  <c r="AH66" i="57"/>
  <c r="AG66" i="57"/>
  <c r="Z66" i="57"/>
  <c r="Y66" i="57"/>
  <c r="AC66" i="57"/>
  <c r="AF66" i="57"/>
  <c r="AB66" i="57"/>
  <c r="AR66" i="57"/>
  <c r="AL66" i="57"/>
  <c r="R66" i="57"/>
  <c r="AE66" i="57"/>
  <c r="I66" i="57"/>
  <c r="AM66" i="57" s="1"/>
  <c r="AO65" i="57"/>
  <c r="AP65" i="57"/>
  <c r="AN65" i="57"/>
  <c r="AH65" i="57"/>
  <c r="AG65" i="57"/>
  <c r="Z65" i="57"/>
  <c r="Y65" i="57"/>
  <c r="AC65" i="57"/>
  <c r="AF65" i="57"/>
  <c r="AB65" i="57"/>
  <c r="AR65" i="57"/>
  <c r="AL65" i="57"/>
  <c r="R65" i="57"/>
  <c r="AE65" i="57"/>
  <c r="I65" i="57"/>
  <c r="AO64" i="57"/>
  <c r="AP64" i="57"/>
  <c r="AN64" i="57"/>
  <c r="AH64" i="57"/>
  <c r="AG64" i="57"/>
  <c r="Z64" i="57"/>
  <c r="Y64" i="57"/>
  <c r="AC64" i="57"/>
  <c r="AF64" i="57"/>
  <c r="AB64" i="57"/>
  <c r="AR64" i="57"/>
  <c r="AL64" i="57"/>
  <c r="R64" i="57"/>
  <c r="AE64" i="57"/>
  <c r="I64" i="57"/>
  <c r="AO63" i="57"/>
  <c r="AP63" i="57"/>
  <c r="AN63" i="57"/>
  <c r="AH63" i="57"/>
  <c r="AG63" i="57"/>
  <c r="Z63" i="57"/>
  <c r="Y63" i="57"/>
  <c r="AC63" i="57"/>
  <c r="AF63" i="57"/>
  <c r="AB63" i="57"/>
  <c r="AR63" i="57"/>
  <c r="AL63" i="57"/>
  <c r="R63" i="57"/>
  <c r="AE63" i="57"/>
  <c r="I63" i="57"/>
  <c r="AM63" i="57" s="1"/>
  <c r="AO62" i="57"/>
  <c r="AP62" i="57"/>
  <c r="AN62" i="57"/>
  <c r="AH62" i="57"/>
  <c r="AG62" i="57"/>
  <c r="Z62" i="57"/>
  <c r="Y62" i="57"/>
  <c r="AC62" i="57"/>
  <c r="AF62" i="57"/>
  <c r="AB62" i="57"/>
  <c r="AR62" i="57"/>
  <c r="AL62" i="57"/>
  <c r="R62" i="57"/>
  <c r="AE62" i="57"/>
  <c r="I62" i="57"/>
  <c r="AO61" i="57"/>
  <c r="AP61" i="57"/>
  <c r="AN61" i="57"/>
  <c r="AH61" i="57"/>
  <c r="AG61" i="57"/>
  <c r="Z61" i="57"/>
  <c r="Y61" i="57"/>
  <c r="AC61" i="57"/>
  <c r="AF61" i="57"/>
  <c r="AB61" i="57"/>
  <c r="AR61" i="57"/>
  <c r="AL61" i="57"/>
  <c r="R61" i="57"/>
  <c r="AE61" i="57"/>
  <c r="I61" i="57"/>
  <c r="AK61" i="57" s="1"/>
  <c r="AO60" i="57"/>
  <c r="AP60" i="57"/>
  <c r="AN60" i="57"/>
  <c r="AH60" i="57"/>
  <c r="AG60" i="57"/>
  <c r="Z60" i="57"/>
  <c r="Y60" i="57"/>
  <c r="AC60" i="57"/>
  <c r="AF60" i="57"/>
  <c r="AB60" i="57"/>
  <c r="AR60" i="57"/>
  <c r="AL60" i="57"/>
  <c r="R60" i="57"/>
  <c r="AE60" i="57"/>
  <c r="I60" i="57"/>
  <c r="AM60" i="57" s="1"/>
  <c r="AO59" i="57"/>
  <c r="AP59" i="57"/>
  <c r="AN59" i="57"/>
  <c r="AH59" i="57"/>
  <c r="AG59" i="57"/>
  <c r="Z59" i="57"/>
  <c r="Y59" i="57"/>
  <c r="AC59" i="57"/>
  <c r="AF59" i="57"/>
  <c r="AB59" i="57"/>
  <c r="AR59" i="57"/>
  <c r="AL59" i="57"/>
  <c r="R59" i="57"/>
  <c r="AE59" i="57"/>
  <c r="I59" i="57"/>
  <c r="AM59" i="57" s="1"/>
  <c r="AO57" i="57"/>
  <c r="AP57" i="57"/>
  <c r="AN57" i="57"/>
  <c r="AH57" i="57"/>
  <c r="AG57" i="57"/>
  <c r="Z57" i="57"/>
  <c r="Y57" i="57"/>
  <c r="AC57" i="57"/>
  <c r="AF57" i="57"/>
  <c r="AB57" i="57"/>
  <c r="AR57" i="57"/>
  <c r="AL57" i="57"/>
  <c r="R57" i="57"/>
  <c r="AE57" i="57"/>
  <c r="I57" i="57"/>
  <c r="AK57" i="57" s="1"/>
  <c r="AO56" i="57"/>
  <c r="AP56" i="57"/>
  <c r="AN56" i="57"/>
  <c r="AH56" i="57"/>
  <c r="AG56" i="57"/>
  <c r="Z56" i="57"/>
  <c r="Y56" i="57"/>
  <c r="AC56" i="57"/>
  <c r="AF56" i="57"/>
  <c r="AB56" i="57"/>
  <c r="AR56" i="57"/>
  <c r="AL56" i="57"/>
  <c r="R56" i="57"/>
  <c r="AE56" i="57"/>
  <c r="I56" i="57"/>
  <c r="AM56" i="57" s="1"/>
  <c r="AO55" i="57"/>
  <c r="AP55" i="57"/>
  <c r="AN55" i="57"/>
  <c r="AH55" i="57"/>
  <c r="AG55" i="57"/>
  <c r="Z55" i="57"/>
  <c r="Y55" i="57"/>
  <c r="AC55" i="57"/>
  <c r="AF55" i="57"/>
  <c r="AB55" i="57"/>
  <c r="AR55" i="57"/>
  <c r="AL55" i="57"/>
  <c r="R55" i="57"/>
  <c r="AE55" i="57"/>
  <c r="I55" i="57"/>
  <c r="AO54" i="57"/>
  <c r="AP54" i="57"/>
  <c r="AN54" i="57"/>
  <c r="AH54" i="57"/>
  <c r="AG54" i="57"/>
  <c r="Z54" i="57"/>
  <c r="Y54" i="57"/>
  <c r="AC54" i="57"/>
  <c r="AF54" i="57"/>
  <c r="AB54" i="57"/>
  <c r="AR54" i="57"/>
  <c r="AL54" i="57"/>
  <c r="R54" i="57"/>
  <c r="AE54" i="57"/>
  <c r="I54" i="57"/>
  <c r="AO53" i="57"/>
  <c r="AP53" i="57"/>
  <c r="AN53" i="57"/>
  <c r="AH53" i="57"/>
  <c r="AG53" i="57"/>
  <c r="Z53" i="57"/>
  <c r="Y53" i="57"/>
  <c r="AC53" i="57"/>
  <c r="AF53" i="57"/>
  <c r="AB53" i="57"/>
  <c r="AR53" i="57"/>
  <c r="AL53" i="57"/>
  <c r="R53" i="57"/>
  <c r="AE53" i="57"/>
  <c r="I53" i="57"/>
  <c r="AM53" i="57" s="1"/>
  <c r="AO52" i="57"/>
  <c r="AP52" i="57"/>
  <c r="AN52" i="57"/>
  <c r="AH52" i="57"/>
  <c r="AG52" i="57"/>
  <c r="Z52" i="57"/>
  <c r="Y52" i="57"/>
  <c r="AC52" i="57"/>
  <c r="AF52" i="57"/>
  <c r="AB52" i="57"/>
  <c r="AR52" i="57"/>
  <c r="AL52" i="57"/>
  <c r="R52" i="57"/>
  <c r="AE52" i="57"/>
  <c r="I52" i="57"/>
  <c r="AO51" i="57"/>
  <c r="AP51" i="57"/>
  <c r="AN51" i="57"/>
  <c r="AH51" i="57"/>
  <c r="AG51" i="57"/>
  <c r="Z51" i="57"/>
  <c r="Y51" i="57"/>
  <c r="AC51" i="57"/>
  <c r="AF51" i="57"/>
  <c r="AB51" i="57"/>
  <c r="AR51" i="57"/>
  <c r="AL51" i="57"/>
  <c r="R51" i="57"/>
  <c r="AE51" i="57"/>
  <c r="I51" i="57"/>
  <c r="AM51" i="57" s="1"/>
  <c r="AO50" i="57"/>
  <c r="AP50" i="57"/>
  <c r="AN50" i="57"/>
  <c r="AH50" i="57"/>
  <c r="AG50" i="57"/>
  <c r="Z50" i="57"/>
  <c r="Y50" i="57"/>
  <c r="AC50" i="57"/>
  <c r="AF50" i="57"/>
  <c r="AB50" i="57"/>
  <c r="AR50" i="57"/>
  <c r="AL50" i="57"/>
  <c r="R50" i="57"/>
  <c r="AE50" i="57"/>
  <c r="I50" i="57"/>
  <c r="AM50" i="57" s="1"/>
  <c r="AO49" i="57"/>
  <c r="AP49" i="57"/>
  <c r="AN49" i="57"/>
  <c r="AH49" i="57"/>
  <c r="AG49" i="57"/>
  <c r="Z49" i="57"/>
  <c r="Y49" i="57"/>
  <c r="AC49" i="57"/>
  <c r="AF49" i="57"/>
  <c r="AB49" i="57"/>
  <c r="AR49" i="57"/>
  <c r="AL49" i="57"/>
  <c r="R49" i="57"/>
  <c r="AE49" i="57"/>
  <c r="I49" i="57"/>
  <c r="AM49" i="57" s="1"/>
  <c r="AO48" i="57"/>
  <c r="AP48" i="57"/>
  <c r="AN48" i="57"/>
  <c r="AH48" i="57"/>
  <c r="AG48" i="57"/>
  <c r="Z48" i="57"/>
  <c r="Y48" i="57"/>
  <c r="AC48" i="57"/>
  <c r="AF48" i="57"/>
  <c r="AB48" i="57"/>
  <c r="AR48" i="57"/>
  <c r="AL48" i="57"/>
  <c r="R48" i="57"/>
  <c r="AE48" i="57"/>
  <c r="I48" i="57"/>
  <c r="AK48" i="57" s="1"/>
  <c r="AO47" i="57"/>
  <c r="AP47" i="57"/>
  <c r="AN47" i="57"/>
  <c r="AH47" i="57"/>
  <c r="AG47" i="57"/>
  <c r="Z47" i="57"/>
  <c r="Y47" i="57"/>
  <c r="AC47" i="57"/>
  <c r="AF47" i="57"/>
  <c r="AB47" i="57"/>
  <c r="AR47" i="57"/>
  <c r="AL47" i="57"/>
  <c r="R47" i="57"/>
  <c r="AE47" i="57"/>
  <c r="I47" i="57"/>
  <c r="AM47" i="57" s="1"/>
  <c r="AO46" i="57"/>
  <c r="AP46" i="57"/>
  <c r="AN46" i="57"/>
  <c r="AH46" i="57"/>
  <c r="AG46" i="57"/>
  <c r="Z46" i="57"/>
  <c r="Y46" i="57"/>
  <c r="AC46" i="57"/>
  <c r="AF46" i="57"/>
  <c r="AB46" i="57"/>
  <c r="AR46" i="57"/>
  <c r="AL46" i="57"/>
  <c r="R46" i="57"/>
  <c r="AE46" i="57"/>
  <c r="I46" i="57"/>
  <c r="AO45" i="57"/>
  <c r="AP45" i="57"/>
  <c r="AN45" i="57"/>
  <c r="AH45" i="57"/>
  <c r="AG45" i="57"/>
  <c r="Z45" i="57"/>
  <c r="Y45" i="57"/>
  <c r="AC45" i="57"/>
  <c r="AF45" i="57"/>
  <c r="AB45" i="57"/>
  <c r="AR45" i="57"/>
  <c r="AL45" i="57"/>
  <c r="R45" i="57"/>
  <c r="AE45" i="57"/>
  <c r="I45" i="57"/>
  <c r="AO44" i="57"/>
  <c r="AP44" i="57"/>
  <c r="AN44" i="57"/>
  <c r="AH44" i="57"/>
  <c r="AG44" i="57"/>
  <c r="Z44" i="57"/>
  <c r="Y44" i="57"/>
  <c r="AC44" i="57"/>
  <c r="AF44" i="57"/>
  <c r="AB44" i="57"/>
  <c r="AR44" i="57"/>
  <c r="AL44" i="57"/>
  <c r="R44" i="57"/>
  <c r="AE44" i="57"/>
  <c r="I44" i="57"/>
  <c r="AM44" i="57" s="1"/>
  <c r="AO43" i="57"/>
  <c r="AP43" i="57"/>
  <c r="AN43" i="57"/>
  <c r="AH43" i="57"/>
  <c r="AG43" i="57"/>
  <c r="Z43" i="57"/>
  <c r="Y43" i="57"/>
  <c r="AC43" i="57"/>
  <c r="AF43" i="57"/>
  <c r="AB43" i="57"/>
  <c r="AR43" i="57"/>
  <c r="AL43" i="57"/>
  <c r="R43" i="57"/>
  <c r="AE43" i="57"/>
  <c r="I43" i="57"/>
  <c r="AO42" i="57"/>
  <c r="AP42" i="57"/>
  <c r="AN42" i="57"/>
  <c r="AH42" i="57"/>
  <c r="AG42" i="57"/>
  <c r="Z42" i="57"/>
  <c r="Y42" i="57"/>
  <c r="AC42" i="57"/>
  <c r="AF42" i="57"/>
  <c r="AB42" i="57"/>
  <c r="AR42" i="57"/>
  <c r="AL42" i="57"/>
  <c r="R42" i="57"/>
  <c r="AE42" i="57"/>
  <c r="I42" i="57"/>
  <c r="AM42" i="57" s="1"/>
  <c r="AO41" i="57"/>
  <c r="AP41" i="57"/>
  <c r="AN41" i="57"/>
  <c r="AH41" i="57"/>
  <c r="AG41" i="57"/>
  <c r="Z41" i="57"/>
  <c r="Y41" i="57"/>
  <c r="AC41" i="57"/>
  <c r="AF41" i="57"/>
  <c r="AB41" i="57"/>
  <c r="AR41" i="57"/>
  <c r="AL41" i="57"/>
  <c r="R41" i="57"/>
  <c r="AE41" i="57"/>
  <c r="I41" i="57"/>
  <c r="AO40" i="57"/>
  <c r="AP40" i="57"/>
  <c r="AN40" i="57"/>
  <c r="AH40" i="57"/>
  <c r="AG40" i="57"/>
  <c r="Z40" i="57"/>
  <c r="Y40" i="57"/>
  <c r="AC40" i="57"/>
  <c r="AF40" i="57"/>
  <c r="AB40" i="57"/>
  <c r="AR40" i="57"/>
  <c r="AL40" i="57"/>
  <c r="R40" i="57"/>
  <c r="AE40" i="57"/>
  <c r="I40" i="57"/>
  <c r="AM40" i="57" s="1"/>
  <c r="AO39" i="57"/>
  <c r="AP39" i="57"/>
  <c r="AN39" i="57"/>
  <c r="AH39" i="57"/>
  <c r="AG39" i="57"/>
  <c r="Z39" i="57"/>
  <c r="Y39" i="57"/>
  <c r="AC39" i="57"/>
  <c r="AF39" i="57"/>
  <c r="AB39" i="57"/>
  <c r="AR39" i="57"/>
  <c r="AL39" i="57"/>
  <c r="R39" i="57"/>
  <c r="AE39" i="57"/>
  <c r="I39" i="57"/>
  <c r="AO38" i="57"/>
  <c r="AP38" i="57"/>
  <c r="AN38" i="57"/>
  <c r="AH38" i="57"/>
  <c r="AG38" i="57"/>
  <c r="Z38" i="57"/>
  <c r="Y38" i="57"/>
  <c r="AC38" i="57"/>
  <c r="AF38" i="57"/>
  <c r="AB38" i="57"/>
  <c r="AR38" i="57"/>
  <c r="AL38" i="57"/>
  <c r="R38" i="57"/>
  <c r="AE38" i="57"/>
  <c r="I38" i="57"/>
  <c r="AM38" i="57" s="1"/>
  <c r="AO37" i="57"/>
  <c r="AP37" i="57"/>
  <c r="AN37" i="57"/>
  <c r="AH37" i="57"/>
  <c r="AG37" i="57"/>
  <c r="Z37" i="57"/>
  <c r="Y37" i="57"/>
  <c r="AC37" i="57"/>
  <c r="AF37" i="57"/>
  <c r="AB37" i="57"/>
  <c r="AR37" i="57"/>
  <c r="AL37" i="57"/>
  <c r="R37" i="57"/>
  <c r="AE37" i="57"/>
  <c r="I37" i="57"/>
  <c r="AM37" i="57" s="1"/>
  <c r="AO36" i="57"/>
  <c r="AP36" i="57"/>
  <c r="AN36" i="57"/>
  <c r="AH36" i="57"/>
  <c r="AG36" i="57"/>
  <c r="Z36" i="57"/>
  <c r="Y36" i="57"/>
  <c r="AC36" i="57"/>
  <c r="AF36" i="57"/>
  <c r="AB36" i="57"/>
  <c r="AR36" i="57"/>
  <c r="AL36" i="57"/>
  <c r="R36" i="57"/>
  <c r="AE36" i="57"/>
  <c r="I36" i="57"/>
  <c r="AO35" i="57"/>
  <c r="AP35" i="57"/>
  <c r="AN35" i="57"/>
  <c r="AH35" i="57"/>
  <c r="AG35" i="57"/>
  <c r="Z35" i="57"/>
  <c r="Y35" i="57"/>
  <c r="AC35" i="57"/>
  <c r="AF35" i="57"/>
  <c r="AB35" i="57"/>
  <c r="AR35" i="57"/>
  <c r="AL35" i="57"/>
  <c r="R35" i="57"/>
  <c r="AE35" i="57"/>
  <c r="I35" i="57"/>
  <c r="AM35" i="57" s="1"/>
  <c r="AO34" i="57"/>
  <c r="AP34" i="57"/>
  <c r="AN34" i="57"/>
  <c r="AH34" i="57"/>
  <c r="AG34" i="57"/>
  <c r="Z34" i="57"/>
  <c r="Y34" i="57"/>
  <c r="AC34" i="57"/>
  <c r="AF34" i="57"/>
  <c r="AB34" i="57"/>
  <c r="AR34" i="57"/>
  <c r="AL34" i="57"/>
  <c r="R34" i="57"/>
  <c r="AE34" i="57"/>
  <c r="I34" i="57"/>
  <c r="AM34" i="57" s="1"/>
  <c r="AO33" i="57"/>
  <c r="AP33" i="57"/>
  <c r="AN33" i="57"/>
  <c r="AH33" i="57"/>
  <c r="AG33" i="57"/>
  <c r="Z33" i="57"/>
  <c r="Y33" i="57"/>
  <c r="AC33" i="57"/>
  <c r="AF33" i="57"/>
  <c r="AB33" i="57"/>
  <c r="AR33" i="57"/>
  <c r="AL33" i="57"/>
  <c r="R33" i="57"/>
  <c r="AE33" i="57"/>
  <c r="I33" i="57"/>
  <c r="AM33" i="57" s="1"/>
  <c r="AO32" i="57"/>
  <c r="AP32" i="57"/>
  <c r="AN32" i="57"/>
  <c r="AH32" i="57"/>
  <c r="AG32" i="57"/>
  <c r="Z32" i="57"/>
  <c r="Y32" i="57"/>
  <c r="AC32" i="57"/>
  <c r="AF32" i="57"/>
  <c r="AB32" i="57"/>
  <c r="AR32" i="57"/>
  <c r="AL32" i="57"/>
  <c r="R32" i="57"/>
  <c r="AE32" i="57"/>
  <c r="I32" i="57"/>
  <c r="AM32" i="57" s="1"/>
  <c r="AO31" i="57"/>
  <c r="AP31" i="57"/>
  <c r="AN31" i="57"/>
  <c r="AH31" i="57"/>
  <c r="AG31" i="57"/>
  <c r="Z31" i="57"/>
  <c r="Y31" i="57"/>
  <c r="AC31" i="57"/>
  <c r="AF31" i="57"/>
  <c r="AB31" i="57"/>
  <c r="AR31" i="57"/>
  <c r="AL31" i="57"/>
  <c r="R31" i="57"/>
  <c r="AE31" i="57"/>
  <c r="I31" i="57"/>
  <c r="AM31" i="57" s="1"/>
  <c r="AO30" i="57"/>
  <c r="AP30" i="57"/>
  <c r="AN30" i="57"/>
  <c r="AH30" i="57"/>
  <c r="AG30" i="57"/>
  <c r="Z30" i="57"/>
  <c r="Y30" i="57"/>
  <c r="AC30" i="57"/>
  <c r="AF30" i="57"/>
  <c r="AB30" i="57"/>
  <c r="AR30" i="57"/>
  <c r="AL30" i="57"/>
  <c r="R30" i="57"/>
  <c r="AE30" i="57"/>
  <c r="I30" i="57"/>
  <c r="AO29" i="57"/>
  <c r="AP29" i="57"/>
  <c r="AN29" i="57"/>
  <c r="AH29" i="57"/>
  <c r="AG29" i="57"/>
  <c r="Z29" i="57"/>
  <c r="Y29" i="57"/>
  <c r="AC29" i="57"/>
  <c r="AF29" i="57"/>
  <c r="AB29" i="57"/>
  <c r="AR29" i="57"/>
  <c r="AL29" i="57"/>
  <c r="R29" i="57"/>
  <c r="AE29" i="57"/>
  <c r="I29" i="57"/>
  <c r="AM29" i="57" s="1"/>
  <c r="AO28" i="57"/>
  <c r="AP28" i="57"/>
  <c r="AN28" i="57"/>
  <c r="AH28" i="57"/>
  <c r="AG28" i="57"/>
  <c r="Z28" i="57"/>
  <c r="Y28" i="57"/>
  <c r="AC28" i="57"/>
  <c r="AF28" i="57"/>
  <c r="AB28" i="57"/>
  <c r="AR28" i="57"/>
  <c r="AL28" i="57"/>
  <c r="R28" i="57"/>
  <c r="AE28" i="57"/>
  <c r="I28" i="57"/>
  <c r="AM28" i="57" s="1"/>
  <c r="AO27" i="57"/>
  <c r="AP27" i="57"/>
  <c r="AN27" i="57"/>
  <c r="AH27" i="57"/>
  <c r="AG27" i="57"/>
  <c r="Z27" i="57"/>
  <c r="Y27" i="57"/>
  <c r="AC27" i="57"/>
  <c r="AF27" i="57"/>
  <c r="AB27" i="57"/>
  <c r="AR27" i="57"/>
  <c r="AL27" i="57"/>
  <c r="R27" i="57"/>
  <c r="AE27" i="57"/>
  <c r="I27" i="57"/>
  <c r="AO26" i="57"/>
  <c r="AP26" i="57"/>
  <c r="AN26" i="57"/>
  <c r="AH26" i="57"/>
  <c r="AG26" i="57"/>
  <c r="Z26" i="57"/>
  <c r="Y26" i="57"/>
  <c r="AC26" i="57"/>
  <c r="AF26" i="57"/>
  <c r="AB26" i="57"/>
  <c r="AR26" i="57"/>
  <c r="AL26" i="57"/>
  <c r="R26" i="57"/>
  <c r="AE26" i="57"/>
  <c r="I26" i="57"/>
  <c r="AM26" i="57" s="1"/>
  <c r="AO25" i="57"/>
  <c r="AP25" i="57"/>
  <c r="AN25" i="57"/>
  <c r="AH25" i="57"/>
  <c r="AG25" i="57"/>
  <c r="Z25" i="57"/>
  <c r="Y25" i="57"/>
  <c r="AC25" i="57"/>
  <c r="AF25" i="57"/>
  <c r="AB25" i="57"/>
  <c r="AR25" i="57"/>
  <c r="AL25" i="57"/>
  <c r="R25" i="57"/>
  <c r="AE25" i="57"/>
  <c r="I25" i="57"/>
  <c r="AM25" i="57" s="1"/>
  <c r="AO24" i="57"/>
  <c r="AP24" i="57"/>
  <c r="AN24" i="57"/>
  <c r="AH24" i="57"/>
  <c r="AG24" i="57"/>
  <c r="Z24" i="57"/>
  <c r="Y24" i="57"/>
  <c r="AC24" i="57"/>
  <c r="AF24" i="57"/>
  <c r="AB24" i="57"/>
  <c r="AR24" i="57"/>
  <c r="AL24" i="57"/>
  <c r="R24" i="57"/>
  <c r="AE24" i="57"/>
  <c r="I24" i="57"/>
  <c r="AM24" i="57" s="1"/>
  <c r="AO23" i="57"/>
  <c r="AP23" i="57"/>
  <c r="AN23" i="57"/>
  <c r="AH23" i="57"/>
  <c r="AG23" i="57"/>
  <c r="Z23" i="57"/>
  <c r="Y23" i="57"/>
  <c r="AC23" i="57"/>
  <c r="AF23" i="57"/>
  <c r="AB23" i="57"/>
  <c r="AR23" i="57"/>
  <c r="AL23" i="57"/>
  <c r="R23" i="57"/>
  <c r="AE23" i="57"/>
  <c r="I23" i="57"/>
  <c r="AM23" i="57" s="1"/>
  <c r="AO22" i="57"/>
  <c r="AP22" i="57"/>
  <c r="AN22" i="57"/>
  <c r="AH22" i="57"/>
  <c r="AG22" i="57"/>
  <c r="Z22" i="57"/>
  <c r="Y22" i="57"/>
  <c r="AC22" i="57"/>
  <c r="AF22" i="57"/>
  <c r="AB22" i="57"/>
  <c r="AR22" i="57"/>
  <c r="AL22" i="57"/>
  <c r="R22" i="57"/>
  <c r="AE22" i="57"/>
  <c r="I22" i="57"/>
  <c r="AM22" i="57" s="1"/>
  <c r="AO21" i="57"/>
  <c r="AP21" i="57"/>
  <c r="AN21" i="57"/>
  <c r="AH21" i="57"/>
  <c r="AG21" i="57"/>
  <c r="Z21" i="57"/>
  <c r="Y21" i="57"/>
  <c r="AC21" i="57"/>
  <c r="AF21" i="57"/>
  <c r="AB21" i="57"/>
  <c r="AR21" i="57"/>
  <c r="AL21" i="57"/>
  <c r="R21" i="57"/>
  <c r="AE21" i="57"/>
  <c r="I21" i="57"/>
  <c r="AO20" i="57"/>
  <c r="AP20" i="57"/>
  <c r="AN20" i="57"/>
  <c r="AH20" i="57"/>
  <c r="AG20" i="57"/>
  <c r="Z20" i="57"/>
  <c r="Y20" i="57"/>
  <c r="AC20" i="57"/>
  <c r="AF20" i="57"/>
  <c r="AB20" i="57"/>
  <c r="AR20" i="57"/>
  <c r="AL20" i="57"/>
  <c r="R20" i="57"/>
  <c r="AE20" i="57"/>
  <c r="I20" i="57"/>
  <c r="AM20" i="57" s="1"/>
  <c r="AO19" i="57"/>
  <c r="AP19" i="57"/>
  <c r="AN19" i="57"/>
  <c r="AH19" i="57"/>
  <c r="AG19" i="57"/>
  <c r="Z19" i="57"/>
  <c r="Y19" i="57"/>
  <c r="AC19" i="57"/>
  <c r="AF19" i="57"/>
  <c r="AB19" i="57"/>
  <c r="AR19" i="57"/>
  <c r="AL19" i="57"/>
  <c r="R19" i="57"/>
  <c r="AE19" i="57"/>
  <c r="I19" i="57"/>
  <c r="AM19" i="57" s="1"/>
  <c r="AO18" i="57"/>
  <c r="AP18" i="57"/>
  <c r="AN18" i="57"/>
  <c r="AH18" i="57"/>
  <c r="AG18" i="57"/>
  <c r="Z18" i="57"/>
  <c r="Y18" i="57"/>
  <c r="AC18" i="57"/>
  <c r="AF18" i="57"/>
  <c r="AB18" i="57"/>
  <c r="AR18" i="57"/>
  <c r="AL18" i="57"/>
  <c r="R18" i="57"/>
  <c r="AE18" i="57"/>
  <c r="I18" i="57"/>
  <c r="AO17" i="57"/>
  <c r="AP17" i="57"/>
  <c r="AN17" i="57"/>
  <c r="AH17" i="57"/>
  <c r="AG17" i="57"/>
  <c r="Z17" i="57"/>
  <c r="Y17" i="57"/>
  <c r="AC17" i="57"/>
  <c r="AF17" i="57"/>
  <c r="AB17" i="57"/>
  <c r="AR17" i="57"/>
  <c r="AL17" i="57"/>
  <c r="R17" i="57"/>
  <c r="AE17" i="57"/>
  <c r="I17" i="57"/>
  <c r="AM17" i="57" s="1"/>
  <c r="AO16" i="57"/>
  <c r="AP16" i="57"/>
  <c r="AN16" i="57"/>
  <c r="AH16" i="57"/>
  <c r="AG16" i="57"/>
  <c r="Z16" i="57"/>
  <c r="Y16" i="57"/>
  <c r="AC16" i="57"/>
  <c r="AF16" i="57"/>
  <c r="AB16" i="57"/>
  <c r="AR16" i="57"/>
  <c r="AL16" i="57"/>
  <c r="R16" i="57"/>
  <c r="AE16" i="57"/>
  <c r="I16" i="57"/>
  <c r="AM16" i="57" s="1"/>
  <c r="AO15" i="57"/>
  <c r="AP15" i="57"/>
  <c r="AN15" i="57"/>
  <c r="AH15" i="57"/>
  <c r="AG15" i="57"/>
  <c r="Z15" i="57"/>
  <c r="Y15" i="57"/>
  <c r="AC15" i="57"/>
  <c r="AF15" i="57"/>
  <c r="AB15" i="57"/>
  <c r="AR15" i="57"/>
  <c r="AL15" i="57"/>
  <c r="R15" i="57"/>
  <c r="AE15" i="57"/>
  <c r="I15" i="57"/>
  <c r="AM15" i="57" s="1"/>
  <c r="AO14" i="57"/>
  <c r="AP14" i="57"/>
  <c r="AN14" i="57"/>
  <c r="AH14" i="57"/>
  <c r="AG14" i="57"/>
  <c r="Z14" i="57"/>
  <c r="Y14" i="57"/>
  <c r="AC14" i="57"/>
  <c r="AF14" i="57"/>
  <c r="AB14" i="57"/>
  <c r="AR14" i="57"/>
  <c r="AL14" i="57"/>
  <c r="R14" i="57"/>
  <c r="AE14" i="57"/>
  <c r="I14" i="57"/>
  <c r="AM14" i="57" s="1"/>
  <c r="AO13" i="57"/>
  <c r="AP13" i="57"/>
  <c r="AN13" i="57"/>
  <c r="AH13" i="57"/>
  <c r="AG13" i="57"/>
  <c r="Z13" i="57"/>
  <c r="Y13" i="57"/>
  <c r="AC13" i="57"/>
  <c r="AF13" i="57"/>
  <c r="AB13" i="57"/>
  <c r="AR13" i="57"/>
  <c r="AL13" i="57"/>
  <c r="R13" i="57"/>
  <c r="AE13" i="57"/>
  <c r="I13" i="57"/>
  <c r="AM13" i="57" s="1"/>
  <c r="AO12" i="57"/>
  <c r="AP12" i="57"/>
  <c r="AN12" i="57"/>
  <c r="AH12" i="57"/>
  <c r="AG12" i="57"/>
  <c r="Z12" i="57"/>
  <c r="Y12" i="57"/>
  <c r="AC12" i="57"/>
  <c r="AF12" i="57"/>
  <c r="AB12" i="57"/>
  <c r="AR12" i="57"/>
  <c r="AL12" i="57"/>
  <c r="R12" i="57"/>
  <c r="AE12" i="57"/>
  <c r="I12" i="57"/>
  <c r="AO11" i="57"/>
  <c r="AP11" i="57"/>
  <c r="AN11" i="57"/>
  <c r="AH11" i="57"/>
  <c r="AG11" i="57"/>
  <c r="Z11" i="57"/>
  <c r="Y11" i="57"/>
  <c r="AC11" i="57"/>
  <c r="AF11" i="57"/>
  <c r="AB11" i="57"/>
  <c r="AR11" i="57"/>
  <c r="AL11" i="57"/>
  <c r="R11" i="57"/>
  <c r="AE11" i="57"/>
  <c r="I11" i="57"/>
  <c r="AM11" i="57" s="1"/>
  <c r="AO10" i="57"/>
  <c r="AP10" i="57"/>
  <c r="AN10" i="57"/>
  <c r="AH10" i="57"/>
  <c r="AG10" i="57"/>
  <c r="Z10" i="57"/>
  <c r="Y10" i="57"/>
  <c r="AC10" i="57"/>
  <c r="AF10" i="57"/>
  <c r="AB10" i="57"/>
  <c r="AR10" i="57"/>
  <c r="AL10" i="57"/>
  <c r="R10" i="57"/>
  <c r="AE10" i="57"/>
  <c r="I10" i="57"/>
  <c r="AO9" i="57"/>
  <c r="AP9" i="57"/>
  <c r="AN9" i="57"/>
  <c r="AH9" i="57"/>
  <c r="AG9" i="57"/>
  <c r="Z9" i="57"/>
  <c r="Y9" i="57"/>
  <c r="AC9" i="57"/>
  <c r="AF9" i="57"/>
  <c r="AB9" i="57"/>
  <c r="AR9" i="57"/>
  <c r="AL9" i="57"/>
  <c r="R9" i="57"/>
  <c r="AE9" i="57"/>
  <c r="I9" i="57"/>
  <c r="AM9" i="57" s="1"/>
  <c r="AO8" i="57"/>
  <c r="AP8" i="57"/>
  <c r="AN8" i="57"/>
  <c r="AH8" i="57"/>
  <c r="AG8" i="57"/>
  <c r="Z8" i="57"/>
  <c r="Y8" i="57"/>
  <c r="AC8" i="57"/>
  <c r="AF8" i="57"/>
  <c r="AB8" i="57"/>
  <c r="AR8" i="57"/>
  <c r="AL8" i="57"/>
  <c r="R8" i="57"/>
  <c r="AE8" i="57"/>
  <c r="I8" i="57"/>
  <c r="AK8" i="57" s="1"/>
  <c r="AO7" i="57"/>
  <c r="AP7" i="57"/>
  <c r="AN7" i="57"/>
  <c r="AH7" i="57"/>
  <c r="AG7" i="57"/>
  <c r="Z7" i="57"/>
  <c r="Y7" i="57"/>
  <c r="AC7" i="57"/>
  <c r="AF7" i="57"/>
  <c r="AB7" i="57"/>
  <c r="AR7" i="57"/>
  <c r="AL7" i="57"/>
  <c r="R7" i="57"/>
  <c r="AE7" i="57"/>
  <c r="I7" i="57"/>
  <c r="AM7" i="57" s="1"/>
  <c r="G96" i="40"/>
  <c r="F96" i="40"/>
  <c r="G95" i="40"/>
  <c r="G94" i="40"/>
  <c r="G93" i="40"/>
  <c r="F93" i="40"/>
  <c r="G90" i="40"/>
  <c r="F90" i="40"/>
  <c r="G89" i="40"/>
  <c r="G88" i="40"/>
  <c r="G87" i="40"/>
  <c r="F87" i="40"/>
  <c r="AH82" i="48"/>
  <c r="AG82" i="48"/>
  <c r="AF82" i="48"/>
  <c r="AE82" i="48"/>
  <c r="AD82" i="48"/>
  <c r="AC82" i="48"/>
  <c r="X82" i="48"/>
  <c r="W82" i="48"/>
  <c r="V82" i="48"/>
  <c r="AH81" i="48"/>
  <c r="AG81" i="48"/>
  <c r="AF81" i="48"/>
  <c r="AE81" i="48"/>
  <c r="AD81" i="48"/>
  <c r="AC81" i="48"/>
  <c r="X81" i="48"/>
  <c r="W81" i="48"/>
  <c r="V81" i="48"/>
  <c r="AH80" i="48"/>
  <c r="AG80" i="48"/>
  <c r="AF80" i="48"/>
  <c r="AE80" i="48"/>
  <c r="AD80" i="48"/>
  <c r="AC80" i="48"/>
  <c r="X80" i="48"/>
  <c r="W80" i="48"/>
  <c r="V80" i="48"/>
  <c r="AH79" i="48"/>
  <c r="AG79" i="48"/>
  <c r="AF79" i="48"/>
  <c r="AE79" i="48"/>
  <c r="AD79" i="48"/>
  <c r="AC79" i="48"/>
  <c r="X79" i="48"/>
  <c r="W79" i="48"/>
  <c r="V79" i="48"/>
  <c r="AH78" i="48"/>
  <c r="AG78" i="48"/>
  <c r="AF78" i="48"/>
  <c r="AE78" i="48"/>
  <c r="AD78" i="48"/>
  <c r="AC78" i="48"/>
  <c r="X78" i="48"/>
  <c r="W78" i="48"/>
  <c r="V78" i="48"/>
  <c r="AH77" i="48"/>
  <c r="AG77" i="48"/>
  <c r="AF77" i="48"/>
  <c r="AE77" i="48"/>
  <c r="AD77" i="48"/>
  <c r="AC77" i="48"/>
  <c r="X77" i="48"/>
  <c r="W77" i="48"/>
  <c r="V77" i="48"/>
  <c r="AH76" i="48"/>
  <c r="AG76" i="48"/>
  <c r="AF76" i="48"/>
  <c r="AE76" i="48"/>
  <c r="AD76" i="48"/>
  <c r="AC76" i="48"/>
  <c r="X76" i="48"/>
  <c r="W76" i="48"/>
  <c r="V76" i="48"/>
  <c r="AH75" i="48"/>
  <c r="AG75" i="48"/>
  <c r="AF75" i="48"/>
  <c r="AE75" i="48"/>
  <c r="AD75" i="48"/>
  <c r="AC75" i="48"/>
  <c r="X75" i="48"/>
  <c r="W75" i="48"/>
  <c r="V75" i="48"/>
  <c r="AH74" i="48"/>
  <c r="AG74" i="48"/>
  <c r="AF74" i="48"/>
  <c r="AE74" i="48"/>
  <c r="AD74" i="48"/>
  <c r="AC74" i="48"/>
  <c r="X74" i="48"/>
  <c r="W74" i="48"/>
  <c r="V74" i="48"/>
  <c r="AH73" i="48"/>
  <c r="AG73" i="48"/>
  <c r="AH72" i="48"/>
  <c r="AG72" i="48"/>
  <c r="AH71" i="48"/>
  <c r="AG71" i="48"/>
  <c r="AH70" i="48"/>
  <c r="AG70" i="48"/>
  <c r="AH69" i="48"/>
  <c r="AG69" i="48"/>
  <c r="AH68" i="48"/>
  <c r="AG68" i="48"/>
  <c r="AH67" i="48"/>
  <c r="AG67" i="48"/>
  <c r="P67" i="48"/>
  <c r="AH66" i="48"/>
  <c r="AG66" i="48"/>
  <c r="P66" i="48"/>
  <c r="AH65" i="48"/>
  <c r="AG65" i="48"/>
  <c r="P65" i="48"/>
  <c r="AH64" i="48"/>
  <c r="AG64" i="48"/>
  <c r="P64" i="48"/>
  <c r="AH63" i="48"/>
  <c r="AG63" i="48"/>
  <c r="P63" i="48"/>
  <c r="AH62" i="48"/>
  <c r="AG62" i="48"/>
  <c r="P62" i="48"/>
  <c r="AH61" i="48"/>
  <c r="AG61" i="48"/>
  <c r="P61" i="48"/>
  <c r="AH60" i="48"/>
  <c r="AG60" i="48"/>
  <c r="P60" i="48"/>
  <c r="AH59" i="48"/>
  <c r="AG59" i="48"/>
  <c r="P59" i="48"/>
  <c r="AH58" i="48"/>
  <c r="AG58" i="48"/>
  <c r="P58" i="48"/>
  <c r="AH57" i="48"/>
  <c r="AG57" i="48"/>
  <c r="P57" i="48"/>
  <c r="AH56" i="48"/>
  <c r="AG56" i="48"/>
  <c r="P56" i="48"/>
  <c r="AH55" i="48"/>
  <c r="AG55" i="48"/>
  <c r="P55" i="48"/>
  <c r="AH54" i="48"/>
  <c r="AG54" i="48"/>
  <c r="P54" i="48"/>
  <c r="AH53" i="48"/>
  <c r="AG53" i="48"/>
  <c r="P53" i="48"/>
  <c r="AH52" i="48"/>
  <c r="AG52" i="48"/>
  <c r="P52" i="48"/>
  <c r="AH51" i="48"/>
  <c r="AG51" i="48"/>
  <c r="AF51" i="48"/>
  <c r="AE51" i="48"/>
  <c r="AD51" i="48"/>
  <c r="AC51" i="48"/>
  <c r="X51" i="48"/>
  <c r="W51" i="48"/>
  <c r="V51" i="48"/>
  <c r="AH50" i="48"/>
  <c r="AG50" i="48"/>
  <c r="AF50" i="48"/>
  <c r="AE50" i="48"/>
  <c r="AD50" i="48"/>
  <c r="AC50" i="48"/>
  <c r="X50" i="48"/>
  <c r="W50" i="48"/>
  <c r="V50" i="48"/>
  <c r="AH49" i="48"/>
  <c r="AG49" i="48"/>
  <c r="AF49" i="48"/>
  <c r="AE49" i="48"/>
  <c r="AD49" i="48"/>
  <c r="AC49" i="48"/>
  <c r="X49" i="48"/>
  <c r="W49" i="48"/>
  <c r="V49" i="48"/>
  <c r="AH48" i="48"/>
  <c r="AG48" i="48"/>
  <c r="AF48" i="48"/>
  <c r="AE48" i="48"/>
  <c r="AD48" i="48"/>
  <c r="AC48" i="48"/>
  <c r="X48" i="48"/>
  <c r="W48" i="48"/>
  <c r="V48" i="48"/>
  <c r="AH47" i="48"/>
  <c r="AG47" i="48"/>
  <c r="AF47" i="48"/>
  <c r="AE47" i="48"/>
  <c r="AD47" i="48"/>
  <c r="AC47" i="48"/>
  <c r="X47" i="48"/>
  <c r="W47" i="48"/>
  <c r="V47" i="48"/>
  <c r="AH46" i="48"/>
  <c r="AG46" i="48"/>
  <c r="AF46" i="48"/>
  <c r="AE46" i="48"/>
  <c r="AD46" i="48"/>
  <c r="AC46" i="48"/>
  <c r="X46" i="48"/>
  <c r="W46" i="48"/>
  <c r="V46" i="48"/>
  <c r="AH45" i="48"/>
  <c r="AG45" i="48"/>
  <c r="AF45" i="48"/>
  <c r="AE45" i="48"/>
  <c r="AD45" i="48"/>
  <c r="AC45" i="48"/>
  <c r="X45" i="48"/>
  <c r="W45" i="48"/>
  <c r="V45" i="48"/>
  <c r="AH44" i="48"/>
  <c r="AG44" i="48"/>
  <c r="AF44" i="48"/>
  <c r="AE44" i="48"/>
  <c r="AD44" i="48"/>
  <c r="AC44" i="48"/>
  <c r="X44" i="48"/>
  <c r="W44" i="48"/>
  <c r="V44" i="48"/>
  <c r="AH43" i="48"/>
  <c r="AG43" i="48"/>
  <c r="AH42" i="48"/>
  <c r="AG42" i="48"/>
  <c r="AH41" i="48"/>
  <c r="AG41" i="48"/>
  <c r="AH40" i="48"/>
  <c r="AG40" i="48"/>
  <c r="AH39" i="48"/>
  <c r="AG39" i="48"/>
  <c r="AH38" i="48"/>
  <c r="AG38" i="48"/>
  <c r="AF38" i="48"/>
  <c r="AE38" i="48"/>
  <c r="AD38" i="48"/>
  <c r="AC38" i="48"/>
  <c r="X38" i="48"/>
  <c r="W38" i="48"/>
  <c r="V38" i="48"/>
  <c r="P38" i="48"/>
  <c r="AH37" i="48"/>
  <c r="AG37" i="48"/>
  <c r="AF37" i="48"/>
  <c r="AE37" i="48"/>
  <c r="AD37" i="48"/>
  <c r="AC37" i="48"/>
  <c r="X37" i="48"/>
  <c r="W37" i="48"/>
  <c r="V37" i="48"/>
  <c r="P37" i="48"/>
  <c r="AH36" i="48"/>
  <c r="AG36" i="48"/>
  <c r="AF36" i="48"/>
  <c r="AE36" i="48"/>
  <c r="AD36" i="48"/>
  <c r="AC36" i="48"/>
  <c r="X36" i="48"/>
  <c r="W36" i="48"/>
  <c r="V36" i="48"/>
  <c r="P36" i="48"/>
  <c r="AH35" i="48"/>
  <c r="AG35" i="48"/>
  <c r="AF35" i="48"/>
  <c r="AE35" i="48"/>
  <c r="AD35" i="48"/>
  <c r="AC35" i="48"/>
  <c r="X35" i="48"/>
  <c r="W35" i="48"/>
  <c r="V35" i="48"/>
  <c r="P35" i="48"/>
  <c r="AH34" i="48"/>
  <c r="AG34" i="48"/>
  <c r="AF34" i="48"/>
  <c r="AE34" i="48"/>
  <c r="AD34" i="48"/>
  <c r="AC34" i="48"/>
  <c r="X34" i="48"/>
  <c r="W34" i="48"/>
  <c r="V34" i="48"/>
  <c r="P34" i="48"/>
  <c r="AH33" i="48"/>
  <c r="AG33" i="48"/>
  <c r="AF33" i="48"/>
  <c r="AE33" i="48"/>
  <c r="AD33" i="48"/>
  <c r="AC33" i="48"/>
  <c r="X33" i="48"/>
  <c r="W33" i="48"/>
  <c r="V33" i="48"/>
  <c r="P33" i="48"/>
  <c r="AH32" i="48"/>
  <c r="AG32" i="48"/>
  <c r="AF32" i="48"/>
  <c r="AE32" i="48"/>
  <c r="AD32" i="48"/>
  <c r="AC32" i="48"/>
  <c r="X32" i="48"/>
  <c r="W32" i="48"/>
  <c r="V32" i="48"/>
  <c r="P32" i="48"/>
  <c r="AH31" i="48"/>
  <c r="AG31" i="48"/>
  <c r="AF31" i="48"/>
  <c r="AE31" i="48"/>
  <c r="AD31" i="48"/>
  <c r="AC31" i="48"/>
  <c r="X31" i="48"/>
  <c r="W31" i="48"/>
  <c r="V31" i="48"/>
  <c r="P31" i="48"/>
  <c r="AH30" i="48"/>
  <c r="AG30" i="48"/>
  <c r="AF30" i="48"/>
  <c r="AE30" i="48"/>
  <c r="AD30" i="48"/>
  <c r="AC30" i="48"/>
  <c r="X30" i="48"/>
  <c r="W30" i="48"/>
  <c r="V30" i="48"/>
  <c r="P30" i="48"/>
  <c r="AH29" i="48"/>
  <c r="AG29" i="48"/>
  <c r="AF29" i="48"/>
  <c r="AE29" i="48"/>
  <c r="AD29" i="48"/>
  <c r="AC29" i="48"/>
  <c r="X29" i="48"/>
  <c r="W29" i="48"/>
  <c r="V29" i="48"/>
  <c r="P29" i="48"/>
  <c r="AH28" i="48"/>
  <c r="AG28" i="48"/>
  <c r="AF28" i="48"/>
  <c r="AE28" i="48"/>
  <c r="AD28" i="48"/>
  <c r="AC28" i="48"/>
  <c r="X28" i="48"/>
  <c r="W28" i="48"/>
  <c r="V28" i="48"/>
  <c r="P28" i="48"/>
  <c r="AH27" i="48"/>
  <c r="AG27" i="48"/>
  <c r="AF27" i="48"/>
  <c r="AE27" i="48"/>
  <c r="AD27" i="48"/>
  <c r="AC27" i="48"/>
  <c r="X27" i="48"/>
  <c r="W27" i="48"/>
  <c r="V27" i="48"/>
  <c r="P27" i="48"/>
  <c r="AH26" i="48"/>
  <c r="AG26" i="48"/>
  <c r="AF26" i="48"/>
  <c r="AE26" i="48"/>
  <c r="AD26" i="48"/>
  <c r="AC26" i="48"/>
  <c r="X26" i="48"/>
  <c r="W26" i="48"/>
  <c r="V26" i="48"/>
  <c r="P26" i="48"/>
  <c r="AH25" i="48"/>
  <c r="AG25" i="48"/>
  <c r="AF25" i="48"/>
  <c r="AE25" i="48"/>
  <c r="AD25" i="48"/>
  <c r="AC25" i="48"/>
  <c r="X25" i="48"/>
  <c r="W25" i="48"/>
  <c r="V25" i="48"/>
  <c r="P25" i="48"/>
  <c r="AH24" i="48"/>
  <c r="AG24" i="48"/>
  <c r="AF24" i="48"/>
  <c r="AE24" i="48"/>
  <c r="AD24" i="48"/>
  <c r="AC24" i="48"/>
  <c r="X24" i="48"/>
  <c r="W24" i="48"/>
  <c r="V24" i="48"/>
  <c r="P24" i="48"/>
  <c r="AH23" i="48"/>
  <c r="AG23" i="48"/>
  <c r="AF23" i="48"/>
  <c r="AE23" i="48"/>
  <c r="AD23" i="48"/>
  <c r="AC23" i="48"/>
  <c r="X23" i="48"/>
  <c r="W23" i="48"/>
  <c r="V23" i="48"/>
  <c r="P23" i="48"/>
  <c r="AH22" i="48"/>
  <c r="AG22" i="48"/>
  <c r="AF22" i="48"/>
  <c r="AE22" i="48"/>
  <c r="AD22" i="48"/>
  <c r="AC22" i="48"/>
  <c r="X22" i="48"/>
  <c r="W22" i="48"/>
  <c r="V22" i="48"/>
  <c r="P22" i="48"/>
  <c r="AH21" i="48"/>
  <c r="AG21" i="48"/>
  <c r="AF21" i="48"/>
  <c r="AE21" i="48"/>
  <c r="AD21" i="48"/>
  <c r="AC21" i="48"/>
  <c r="X21" i="48"/>
  <c r="W21" i="48"/>
  <c r="V21" i="48"/>
  <c r="P21" i="48"/>
  <c r="G21" i="48"/>
  <c r="E21" i="48"/>
  <c r="AH20" i="48"/>
  <c r="AG20" i="48"/>
  <c r="AF20" i="48"/>
  <c r="AE20" i="48"/>
  <c r="AD20" i="48"/>
  <c r="AC20" i="48"/>
  <c r="X20" i="48"/>
  <c r="W20" i="48"/>
  <c r="V20" i="48"/>
  <c r="P20" i="48"/>
  <c r="G20" i="48"/>
  <c r="E20" i="48"/>
  <c r="AH19" i="48"/>
  <c r="AG19" i="48"/>
  <c r="AF19" i="48"/>
  <c r="AE19" i="48"/>
  <c r="AD19" i="48"/>
  <c r="AC19" i="48"/>
  <c r="X19" i="48"/>
  <c r="W19" i="48"/>
  <c r="V19" i="48"/>
  <c r="P19" i="48"/>
  <c r="G19" i="48"/>
  <c r="E19" i="48"/>
  <c r="AH18" i="48"/>
  <c r="AG18" i="48"/>
  <c r="AF18" i="48"/>
  <c r="AE18" i="48"/>
  <c r="AD18" i="48"/>
  <c r="AC18" i="48"/>
  <c r="X18" i="48"/>
  <c r="W18" i="48"/>
  <c r="V18" i="48"/>
  <c r="P18" i="48"/>
  <c r="G18" i="48"/>
  <c r="E18" i="48"/>
  <c r="AH17" i="48"/>
  <c r="AG17" i="48"/>
  <c r="AF17" i="48"/>
  <c r="AE17" i="48"/>
  <c r="AD17" i="48"/>
  <c r="AC17" i="48"/>
  <c r="X17" i="48"/>
  <c r="W17" i="48"/>
  <c r="V17" i="48"/>
  <c r="P17" i="48"/>
  <c r="G17" i="48"/>
  <c r="E17" i="48"/>
  <c r="AH16" i="48"/>
  <c r="AG16" i="48"/>
  <c r="AF16" i="48"/>
  <c r="AE16" i="48"/>
  <c r="AD16" i="48"/>
  <c r="AC16" i="48"/>
  <c r="X16" i="48"/>
  <c r="W16" i="48"/>
  <c r="V16" i="48"/>
  <c r="P16" i="48"/>
  <c r="G16" i="48"/>
  <c r="E16" i="48"/>
  <c r="AH15" i="48"/>
  <c r="AG15" i="48"/>
  <c r="AF15" i="48"/>
  <c r="AE15" i="48"/>
  <c r="AD15" i="48"/>
  <c r="AC15" i="48"/>
  <c r="X15" i="48"/>
  <c r="W15" i="48"/>
  <c r="V15" i="48"/>
  <c r="P15" i="48"/>
  <c r="G15" i="48"/>
  <c r="E15" i="48"/>
  <c r="AH14" i="48"/>
  <c r="AG14" i="48"/>
  <c r="AF14" i="48"/>
  <c r="AE14" i="48"/>
  <c r="AD14" i="48"/>
  <c r="AC14" i="48"/>
  <c r="X14" i="48"/>
  <c r="W14" i="48"/>
  <c r="V14" i="48"/>
  <c r="P14" i="48"/>
  <c r="AH13" i="48"/>
  <c r="AG13" i="48"/>
  <c r="AF13" i="48"/>
  <c r="AE13" i="48"/>
  <c r="AD13" i="48"/>
  <c r="AC13" i="48"/>
  <c r="X13" i="48"/>
  <c r="W13" i="48"/>
  <c r="V13" i="48"/>
  <c r="P13" i="48"/>
  <c r="M13" i="48"/>
  <c r="K13" i="48"/>
  <c r="I13" i="48"/>
  <c r="G13" i="48"/>
  <c r="E13" i="48"/>
  <c r="C13" i="48"/>
  <c r="AH12" i="48"/>
  <c r="AG12" i="48"/>
  <c r="AF12" i="48"/>
  <c r="AE12" i="48"/>
  <c r="AD12" i="48"/>
  <c r="AC12" i="48"/>
  <c r="X12" i="48"/>
  <c r="W12" i="48"/>
  <c r="V12" i="48"/>
  <c r="P12" i="48"/>
  <c r="M12" i="48"/>
  <c r="K12" i="48"/>
  <c r="I12" i="48"/>
  <c r="G12" i="48"/>
  <c r="E12" i="48"/>
  <c r="C12" i="48"/>
  <c r="AH11" i="48"/>
  <c r="AG11" i="48"/>
  <c r="AF11" i="48"/>
  <c r="AE11" i="48"/>
  <c r="AD11" i="48"/>
  <c r="AC11" i="48"/>
  <c r="X11" i="48"/>
  <c r="W11" i="48"/>
  <c r="V11" i="48"/>
  <c r="M11" i="48"/>
  <c r="K11" i="48"/>
  <c r="I11" i="48"/>
  <c r="G11" i="48"/>
  <c r="E11" i="48"/>
  <c r="C11" i="48"/>
  <c r="AH10" i="48"/>
  <c r="AG10" i="48"/>
  <c r="AF10" i="48"/>
  <c r="AE10" i="48"/>
  <c r="AD10" i="48"/>
  <c r="AC10" i="48"/>
  <c r="X10" i="48"/>
  <c r="W10" i="48"/>
  <c r="V10" i="48"/>
  <c r="P10" i="48"/>
  <c r="M10" i="48"/>
  <c r="K10" i="48"/>
  <c r="I10" i="48"/>
  <c r="G10" i="48"/>
  <c r="E10" i="48"/>
  <c r="C10" i="48"/>
  <c r="AH9" i="48"/>
  <c r="AG9" i="48"/>
  <c r="AF9" i="48"/>
  <c r="AE9" i="48"/>
  <c r="AD9" i="48"/>
  <c r="AC9" i="48"/>
  <c r="X9" i="48"/>
  <c r="W9" i="48"/>
  <c r="V9" i="48"/>
  <c r="P9" i="48"/>
  <c r="M9" i="48"/>
  <c r="K9" i="48"/>
  <c r="I9" i="48"/>
  <c r="G9" i="48"/>
  <c r="E9" i="48"/>
  <c r="C9" i="48"/>
  <c r="AH8" i="48"/>
  <c r="AG8" i="48"/>
  <c r="AF8" i="48"/>
  <c r="AE8" i="48"/>
  <c r="AD8" i="48"/>
  <c r="AC8" i="48"/>
  <c r="X8" i="48"/>
  <c r="W8" i="48"/>
  <c r="V8" i="48"/>
  <c r="P8" i="48"/>
  <c r="M8" i="48"/>
  <c r="K8" i="48"/>
  <c r="I8" i="48"/>
  <c r="G8" i="48"/>
  <c r="E8" i="48"/>
  <c r="C8" i="48"/>
  <c r="AH7" i="48"/>
  <c r="AG7" i="48"/>
  <c r="AF7" i="48"/>
  <c r="AE7" i="48"/>
  <c r="AD7" i="48"/>
  <c r="AC7" i="48"/>
  <c r="X7" i="48"/>
  <c r="W7" i="48"/>
  <c r="V7" i="48"/>
  <c r="P7" i="48"/>
  <c r="M7" i="48"/>
  <c r="K7" i="48"/>
  <c r="I7" i="48"/>
  <c r="G7" i="48"/>
  <c r="E7" i="48"/>
  <c r="C7" i="48"/>
  <c r="AH6" i="48"/>
  <c r="AG6" i="48"/>
  <c r="AF6" i="48"/>
  <c r="AE6" i="48"/>
  <c r="AD6" i="48"/>
  <c r="AC6" i="48"/>
  <c r="X6" i="48"/>
  <c r="W6" i="48"/>
  <c r="V6" i="48"/>
  <c r="P6" i="48"/>
  <c r="M6" i="48"/>
  <c r="K6" i="48"/>
  <c r="I6" i="48"/>
  <c r="G6" i="48"/>
  <c r="E6" i="48"/>
  <c r="C6" i="48"/>
  <c r="AH5" i="48"/>
  <c r="AG5" i="48"/>
  <c r="AF5" i="48"/>
  <c r="AE5" i="48"/>
  <c r="AD5" i="48"/>
  <c r="AC5" i="48"/>
  <c r="X5" i="48"/>
  <c r="W5" i="48"/>
  <c r="V5" i="48"/>
  <c r="P5" i="48"/>
  <c r="M5" i="48"/>
  <c r="K5" i="48"/>
  <c r="I5" i="48"/>
  <c r="G5" i="48"/>
  <c r="E5" i="48"/>
  <c r="C5" i="48"/>
  <c r="AH4" i="48"/>
  <c r="AG4" i="48"/>
  <c r="AF4" i="48"/>
  <c r="AE4" i="48"/>
  <c r="AD4" i="48"/>
  <c r="AC4" i="48"/>
  <c r="X4" i="48"/>
  <c r="W4" i="48"/>
  <c r="V4" i="48"/>
  <c r="P4" i="48"/>
  <c r="M4" i="48"/>
  <c r="K4" i="48"/>
  <c r="I4" i="48"/>
  <c r="G4" i="48"/>
  <c r="E4" i="48"/>
  <c r="C4" i="48"/>
  <c r="AH3" i="48"/>
  <c r="AG3" i="48"/>
  <c r="AF3" i="48"/>
  <c r="AE3" i="48"/>
  <c r="AD3" i="48"/>
  <c r="AC3" i="48"/>
  <c r="X3" i="48"/>
  <c r="W3" i="48"/>
  <c r="V3" i="48"/>
  <c r="P3" i="48"/>
  <c r="M3" i="48"/>
  <c r="K3" i="48"/>
  <c r="I3" i="48"/>
  <c r="G3" i="48"/>
  <c r="E3" i="48"/>
  <c r="C3" i="48"/>
  <c r="AH2" i="48"/>
  <c r="AG2" i="48"/>
  <c r="AF2" i="48"/>
  <c r="AE2" i="48"/>
  <c r="AD2" i="48"/>
  <c r="AC2" i="48"/>
  <c r="X2" i="48"/>
  <c r="W2" i="48"/>
  <c r="V2" i="48"/>
  <c r="P2" i="48"/>
  <c r="AK51" i="57" l="1"/>
  <c r="AK49" i="57"/>
  <c r="AK82" i="57"/>
  <c r="AK38" i="57"/>
  <c r="AM48" i="57"/>
  <c r="AK50" i="57"/>
  <c r="AK106" i="57"/>
  <c r="AK14" i="57"/>
  <c r="AK15" i="57"/>
  <c r="AM61" i="57"/>
  <c r="AK32" i="57"/>
  <c r="AK68" i="57"/>
  <c r="AK70" i="57"/>
  <c r="AK112" i="57"/>
  <c r="AM8" i="57"/>
  <c r="AK24" i="57"/>
  <c r="AK59" i="57"/>
  <c r="AK33" i="57"/>
  <c r="AM67" i="57"/>
  <c r="AK69" i="57"/>
  <c r="AK88" i="57"/>
  <c r="AK23" i="57"/>
  <c r="AM57" i="57"/>
  <c r="AK60" i="57"/>
  <c r="AK100" i="57"/>
  <c r="AK7" i="57"/>
  <c r="AM12" i="57"/>
  <c r="AK12" i="57"/>
  <c r="AM30" i="57"/>
  <c r="AK30" i="57"/>
  <c r="AK40" i="57"/>
  <c r="AM45" i="57"/>
  <c r="AK45" i="57"/>
  <c r="AM54" i="57"/>
  <c r="AK54" i="57"/>
  <c r="AM64" i="57"/>
  <c r="AK64" i="57"/>
  <c r="AM73" i="57"/>
  <c r="AK73" i="57"/>
  <c r="AK78" i="57"/>
  <c r="AM81" i="57"/>
  <c r="AK81" i="57"/>
  <c r="AM91" i="57"/>
  <c r="AK91" i="57"/>
  <c r="AK96" i="57"/>
  <c r="AM99" i="57"/>
  <c r="AK99" i="57"/>
  <c r="AM109" i="57"/>
  <c r="AK109" i="57"/>
  <c r="AK114" i="57"/>
  <c r="AM116" i="57"/>
  <c r="AK116" i="57"/>
  <c r="AK20" i="57"/>
  <c r="AM43" i="57"/>
  <c r="AK43" i="57"/>
  <c r="AM52" i="57"/>
  <c r="AK52" i="57"/>
  <c r="AM62" i="57"/>
  <c r="AK62" i="57"/>
  <c r="AM71" i="57"/>
  <c r="AK71" i="57"/>
  <c r="AK76" i="57"/>
  <c r="AK94" i="57"/>
  <c r="AM21" i="57"/>
  <c r="AK21" i="57"/>
  <c r="AM39" i="57"/>
  <c r="AK39" i="57"/>
  <c r="AM18" i="57"/>
  <c r="AK18" i="57"/>
  <c r="AM36" i="57"/>
  <c r="AK36" i="57"/>
  <c r="AM41" i="57"/>
  <c r="AK41" i="57"/>
  <c r="AM46" i="57"/>
  <c r="AK46" i="57"/>
  <c r="AM55" i="57"/>
  <c r="AK55" i="57"/>
  <c r="AM65" i="57"/>
  <c r="AK65" i="57"/>
  <c r="AM79" i="57"/>
  <c r="AK79" i="57"/>
  <c r="AK84" i="57"/>
  <c r="AM87" i="57"/>
  <c r="AK87" i="57"/>
  <c r="AM97" i="57"/>
  <c r="AK97" i="57"/>
  <c r="AK102" i="57"/>
  <c r="AM105" i="57"/>
  <c r="AK105" i="57"/>
  <c r="AM115" i="57"/>
  <c r="AK115" i="57"/>
  <c r="AK117" i="57"/>
  <c r="AM122" i="57"/>
  <c r="AK122" i="57"/>
  <c r="AM126" i="57"/>
  <c r="AK126" i="57"/>
  <c r="AM129" i="57"/>
  <c r="AK129" i="57"/>
  <c r="AM132" i="57"/>
  <c r="AK132" i="57"/>
  <c r="AM135" i="57"/>
  <c r="AK135" i="57"/>
  <c r="AM138" i="57"/>
  <c r="AK138" i="57"/>
  <c r="AM141" i="57"/>
  <c r="AK141" i="57"/>
  <c r="AK11" i="57"/>
  <c r="AK29" i="57"/>
  <c r="AK44" i="57"/>
  <c r="AK53" i="57"/>
  <c r="AK63" i="57"/>
  <c r="AK72" i="57"/>
  <c r="AM75" i="57"/>
  <c r="AK75" i="57"/>
  <c r="AM85" i="57"/>
  <c r="AK85" i="57"/>
  <c r="AK90" i="57"/>
  <c r="AM93" i="57"/>
  <c r="AK93" i="57"/>
  <c r="AM103" i="57"/>
  <c r="AK103" i="57"/>
  <c r="AK108" i="57"/>
  <c r="AM111" i="57"/>
  <c r="AK111" i="57"/>
  <c r="AM118" i="57"/>
  <c r="AK118" i="57"/>
  <c r="AM120" i="57"/>
  <c r="AK120" i="57"/>
  <c r="AM123" i="57"/>
  <c r="AK123" i="57"/>
  <c r="AM127" i="57"/>
  <c r="AK127" i="57"/>
  <c r="AM130" i="57"/>
  <c r="AK130" i="57"/>
  <c r="AM133" i="57"/>
  <c r="AK133" i="57"/>
  <c r="AM136" i="57"/>
  <c r="AK136" i="57"/>
  <c r="AM139" i="57"/>
  <c r="AK139" i="57"/>
  <c r="AM27" i="57"/>
  <c r="AK27" i="57"/>
  <c r="AK42" i="57"/>
  <c r="AK17" i="57"/>
  <c r="AK26" i="57"/>
  <c r="AK35" i="57"/>
  <c r="AK47" i="57"/>
  <c r="AK56" i="57"/>
  <c r="AK66" i="57"/>
  <c r="AK9" i="57"/>
  <c r="AM10" i="57"/>
  <c r="AK10" i="57"/>
  <c r="AK13" i="57"/>
  <c r="AK16" i="57"/>
  <c r="AK19" i="57"/>
  <c r="AK22" i="57"/>
  <c r="AK25" i="57"/>
  <c r="AK28" i="57"/>
  <c r="AK31" i="57"/>
  <c r="AK34" i="57"/>
  <c r="AK37" i="57"/>
  <c r="AK74" i="57"/>
  <c r="AK77" i="57"/>
  <c r="AK80" i="57"/>
  <c r="AK83" i="57"/>
  <c r="AK86" i="57"/>
  <c r="AK89" i="57"/>
  <c r="AK92" i="57"/>
  <c r="AK95" i="57"/>
  <c r="AK98" i="57"/>
  <c r="AK101" i="57"/>
  <c r="AK104" i="57"/>
  <c r="AK107" i="57"/>
  <c r="AK110" i="57"/>
  <c r="AK113" i="57"/>
  <c r="AK119" i="57"/>
  <c r="AK121" i="57"/>
  <c r="AK124" i="57"/>
  <c r="AK125" i="57"/>
  <c r="AK128" i="57"/>
  <c r="AK131" i="57"/>
  <c r="AK134" i="57"/>
  <c r="AK137" i="57"/>
  <c r="AK140" i="57"/>
  <c r="T10" i="45" l="1"/>
  <c r="S10" i="45"/>
  <c r="R10" i="45"/>
  <c r="T9" i="45"/>
  <c r="S9" i="45"/>
  <c r="R9" i="45"/>
  <c r="T8" i="45"/>
  <c r="S8" i="45"/>
  <c r="R8" i="45"/>
  <c r="T7" i="45"/>
  <c r="S7" i="45"/>
  <c r="R7" i="45"/>
  <c r="T6" i="45"/>
  <c r="S6" i="45"/>
  <c r="R6" i="45"/>
  <c r="HZ51" i="45"/>
  <c r="HZ47" i="45"/>
  <c r="HZ43" i="45"/>
  <c r="HR43" i="45"/>
  <c r="HZ39" i="45"/>
  <c r="HR39" i="45"/>
  <c r="HZ35" i="45"/>
  <c r="HR35" i="45"/>
  <c r="HZ31" i="45"/>
  <c r="HR31" i="45"/>
  <c r="HZ27" i="45"/>
  <c r="HR27" i="45"/>
  <c r="HZ24" i="45"/>
  <c r="HR24" i="45"/>
  <c r="HZ20" i="45"/>
  <c r="HR20" i="45"/>
  <c r="HZ16" i="45"/>
  <c r="HR16" i="45"/>
  <c r="GL51" i="45"/>
  <c r="GF51" i="45"/>
  <c r="GL47" i="45"/>
  <c r="GF47" i="45"/>
  <c r="GL43" i="45"/>
  <c r="GF43" i="45"/>
  <c r="FX43" i="45"/>
  <c r="GL39" i="45"/>
  <c r="GF39" i="45"/>
  <c r="FX39" i="45"/>
  <c r="GL35" i="45"/>
  <c r="GF35" i="45"/>
  <c r="FX35" i="45"/>
  <c r="GL31" i="45"/>
  <c r="GF31" i="45"/>
  <c r="FX31" i="45"/>
  <c r="GL27" i="45"/>
  <c r="GF27" i="45"/>
  <c r="FX27" i="45"/>
  <c r="GL24" i="45"/>
  <c r="GF24" i="45"/>
  <c r="FX24" i="45"/>
  <c r="GL20" i="45"/>
  <c r="GF20" i="45"/>
  <c r="FX20" i="45"/>
  <c r="GL16" i="45"/>
  <c r="GF16" i="45"/>
  <c r="FX16" i="45"/>
  <c r="GL12" i="45"/>
  <c r="GL8" i="45"/>
  <c r="EO14" i="45"/>
  <c r="EO13" i="45"/>
  <c r="EH13" i="45"/>
  <c r="CC43" i="45"/>
  <c r="CE37" i="45"/>
  <c r="CF37" i="45" s="1"/>
  <c r="CE36" i="45"/>
  <c r="CG36" i="45" s="1"/>
  <c r="CE35" i="45"/>
  <c r="CF35" i="45" s="1"/>
  <c r="CE34" i="45"/>
  <c r="CG34" i="45" s="1"/>
  <c r="CE33" i="45"/>
  <c r="CF33" i="45" s="1"/>
  <c r="CE32" i="45"/>
  <c r="CG32" i="45" s="1"/>
  <c r="CE31" i="45"/>
  <c r="CF31" i="45" s="1"/>
  <c r="CE30" i="45"/>
  <c r="CG30" i="45" s="1"/>
  <c r="CE29" i="45"/>
  <c r="CF29" i="45" s="1"/>
  <c r="CE25" i="45"/>
  <c r="CG25" i="45" s="1"/>
  <c r="CE24" i="45"/>
  <c r="CF24" i="45" s="1"/>
  <c r="CE23" i="45"/>
  <c r="CG23" i="45" s="1"/>
  <c r="CE22" i="45"/>
  <c r="CF22" i="45" s="1"/>
  <c r="CE21" i="45"/>
  <c r="CG21" i="45" s="1"/>
  <c r="CE20" i="45"/>
  <c r="CF20" i="45" s="1"/>
  <c r="CE19" i="45"/>
  <c r="CF19" i="45" s="1"/>
  <c r="CE18" i="45"/>
  <c r="CF18" i="45" s="1"/>
  <c r="CE17" i="45"/>
  <c r="CF17" i="45" s="1"/>
  <c r="CE16" i="45"/>
  <c r="CF16" i="45" s="1"/>
  <c r="CE15" i="45"/>
  <c r="CG15" i="45" s="1"/>
  <c r="CE14" i="45"/>
  <c r="CF14" i="45" s="1"/>
  <c r="CE13" i="45"/>
  <c r="CG13" i="45" s="1"/>
  <c r="CE12" i="45"/>
  <c r="CF12" i="45" s="1"/>
  <c r="CE11" i="45"/>
  <c r="CF11" i="45" s="1"/>
  <c r="CE10" i="45"/>
  <c r="CF10" i="45" s="1"/>
  <c r="CE9" i="45"/>
  <c r="CG9" i="45" s="1"/>
  <c r="BJ43" i="45"/>
  <c r="BL37" i="45"/>
  <c r="BM37" i="45" s="1"/>
  <c r="BL36" i="45"/>
  <c r="BN36" i="45" s="1"/>
  <c r="BL35" i="45"/>
  <c r="BN35" i="45" s="1"/>
  <c r="BL34" i="45"/>
  <c r="BN34" i="45" s="1"/>
  <c r="BL33" i="45"/>
  <c r="BM33" i="45" s="1"/>
  <c r="BL32" i="45"/>
  <c r="BN32" i="45" s="1"/>
  <c r="BL31" i="45"/>
  <c r="BM31" i="45" s="1"/>
  <c r="BL30" i="45"/>
  <c r="BN30" i="45" s="1"/>
  <c r="BL29" i="45"/>
  <c r="BM29" i="45" s="1"/>
  <c r="BN25" i="45"/>
  <c r="BM25" i="45"/>
  <c r="BN24" i="45"/>
  <c r="BM24" i="45"/>
  <c r="BN23" i="45"/>
  <c r="BM23" i="45"/>
  <c r="BN22" i="45"/>
  <c r="BM22" i="45"/>
  <c r="BN21" i="45"/>
  <c r="BM21" i="45"/>
  <c r="BN20" i="45"/>
  <c r="BM20" i="45"/>
  <c r="BL19" i="45"/>
  <c r="BN19" i="45" s="1"/>
  <c r="BL18" i="45"/>
  <c r="BN18" i="45" s="1"/>
  <c r="BL17" i="45"/>
  <c r="BN17" i="45" s="1"/>
  <c r="BL16" i="45"/>
  <c r="BN16" i="45" s="1"/>
  <c r="BL15" i="45"/>
  <c r="BN15" i="45" s="1"/>
  <c r="BL14" i="45"/>
  <c r="BN14" i="45" s="1"/>
  <c r="BL13" i="45"/>
  <c r="BN13" i="45" s="1"/>
  <c r="BL12" i="45"/>
  <c r="BM12" i="45" s="1"/>
  <c r="BL11" i="45"/>
  <c r="BN11" i="45" s="1"/>
  <c r="BL10" i="45"/>
  <c r="BN10" i="45" s="1"/>
  <c r="BL9" i="45"/>
  <c r="BN9" i="45" s="1"/>
  <c r="AY27" i="45"/>
  <c r="AY26" i="45"/>
  <c r="AY25" i="45"/>
  <c r="AU25" i="45"/>
  <c r="AT25" i="45"/>
  <c r="AR25" i="45"/>
  <c r="AY24" i="45"/>
  <c r="AF10" i="36"/>
  <c r="AZ9" i="36"/>
  <c r="AY9" i="36"/>
  <c r="AX9" i="36"/>
  <c r="AT9" i="36"/>
  <c r="AM9" i="36"/>
  <c r="AK9" i="36"/>
  <c r="AJ9" i="36"/>
  <c r="AI9" i="36"/>
  <c r="AB9" i="36"/>
  <c r="AC9" i="36" s="1"/>
  <c r="AD9" i="36" s="1"/>
  <c r="AE9" i="36" s="1"/>
  <c r="AG9" i="36" s="1"/>
  <c r="V9" i="36"/>
  <c r="U9" i="36"/>
  <c r="R9" i="36"/>
  <c r="Q9" i="36"/>
  <c r="I9" i="36"/>
  <c r="E9" i="36"/>
  <c r="AL9" i="36" s="1"/>
  <c r="AZ8" i="36"/>
  <c r="AY8" i="36"/>
  <c r="AX8" i="36"/>
  <c r="AT8" i="36"/>
  <c r="AM8" i="36"/>
  <c r="AK8" i="36"/>
  <c r="AJ8" i="36"/>
  <c r="AI8" i="36"/>
  <c r="AB8" i="36"/>
  <c r="AC8" i="36" s="1"/>
  <c r="AD8" i="36" s="1"/>
  <c r="AE8" i="36" s="1"/>
  <c r="AG8" i="36" s="1"/>
  <c r="V8" i="36"/>
  <c r="U8" i="36"/>
  <c r="R8" i="36"/>
  <c r="Q8" i="36"/>
  <c r="I8" i="36"/>
  <c r="E8" i="36"/>
  <c r="AL8" i="36" s="1"/>
  <c r="AZ7" i="36"/>
  <c r="AY7" i="36"/>
  <c r="AX7" i="36"/>
  <c r="AT7" i="36"/>
  <c r="AM7" i="36"/>
  <c r="AK7" i="36"/>
  <c r="AJ7" i="36"/>
  <c r="AI7" i="36"/>
  <c r="AB7" i="36"/>
  <c r="AC7" i="36" s="1"/>
  <c r="AD7" i="36" s="1"/>
  <c r="AE7" i="36" s="1"/>
  <c r="AG7" i="36" s="1"/>
  <c r="V7" i="36"/>
  <c r="U7" i="36"/>
  <c r="R7" i="36"/>
  <c r="Q7" i="36"/>
  <c r="I7" i="36"/>
  <c r="E7" i="36"/>
  <c r="AL7" i="36" s="1"/>
  <c r="AZ6" i="36"/>
  <c r="AY6" i="36"/>
  <c r="AX6" i="36"/>
  <c r="AT6" i="36"/>
  <c r="AM6" i="36"/>
  <c r="AK6" i="36"/>
  <c r="AJ6" i="36"/>
  <c r="AI6" i="36"/>
  <c r="AB6" i="36"/>
  <c r="AC6" i="36" s="1"/>
  <c r="AD6" i="36" s="1"/>
  <c r="AE6" i="36" s="1"/>
  <c r="AG6" i="36" s="1"/>
  <c r="V6" i="36"/>
  <c r="U6" i="36"/>
  <c r="R6" i="36"/>
  <c r="Q6" i="36"/>
  <c r="I6" i="36"/>
  <c r="E6" i="36"/>
  <c r="AL6" i="36" s="1"/>
  <c r="AZ5" i="36"/>
  <c r="AY5" i="36"/>
  <c r="AX5" i="36"/>
  <c r="AT5" i="36"/>
  <c r="AM5" i="36"/>
  <c r="AK5" i="36"/>
  <c r="AJ5" i="36"/>
  <c r="AI5" i="36"/>
  <c r="AB5" i="36"/>
  <c r="AC5" i="36" s="1"/>
  <c r="AD5" i="36" s="1"/>
  <c r="AE5" i="36" s="1"/>
  <c r="AG5" i="36" s="1"/>
  <c r="V5" i="36"/>
  <c r="U5" i="36"/>
  <c r="R5" i="36"/>
  <c r="Q5" i="36"/>
  <c r="I5" i="36"/>
  <c r="E5" i="36"/>
  <c r="AL5" i="36" s="1"/>
  <c r="AZ4" i="36"/>
  <c r="AY4" i="36"/>
  <c r="AX4" i="36"/>
  <c r="AM4" i="36"/>
  <c r="AL4" i="36"/>
  <c r="AK4" i="36"/>
  <c r="AJ4" i="36"/>
  <c r="AI4" i="36"/>
  <c r="AF10" i="35"/>
  <c r="AZ9" i="35"/>
  <c r="AY9" i="35"/>
  <c r="AX9" i="35"/>
  <c r="AT9" i="35"/>
  <c r="AM9" i="35"/>
  <c r="AK9" i="35"/>
  <c r="AJ9" i="35"/>
  <c r="AI9" i="35"/>
  <c r="AB9" i="35"/>
  <c r="AC9" i="35" s="1"/>
  <c r="AD9" i="35" s="1"/>
  <c r="AE9" i="35" s="1"/>
  <c r="AG9" i="35" s="1"/>
  <c r="V9" i="35"/>
  <c r="U9" i="35"/>
  <c r="R9" i="35"/>
  <c r="Q9" i="35"/>
  <c r="I9" i="35"/>
  <c r="E9" i="35"/>
  <c r="AL9" i="35" s="1"/>
  <c r="AZ8" i="35"/>
  <c r="AY8" i="35"/>
  <c r="AX8" i="35"/>
  <c r="AT8" i="35"/>
  <c r="AM8" i="35"/>
  <c r="AK8" i="35"/>
  <c r="AJ8" i="35"/>
  <c r="AI8" i="35"/>
  <c r="AB8" i="35"/>
  <c r="AC8" i="35" s="1"/>
  <c r="AD8" i="35" s="1"/>
  <c r="AE8" i="35" s="1"/>
  <c r="AG8" i="35" s="1"/>
  <c r="V8" i="35"/>
  <c r="U8" i="35"/>
  <c r="R8" i="35"/>
  <c r="Q8" i="35"/>
  <c r="I8" i="35"/>
  <c r="E8" i="35"/>
  <c r="AL8" i="35" s="1"/>
  <c r="AZ7" i="35"/>
  <c r="AY7" i="35"/>
  <c r="AX7" i="35"/>
  <c r="AT7" i="35"/>
  <c r="AM7" i="35"/>
  <c r="AK7" i="35"/>
  <c r="AJ7" i="35"/>
  <c r="AI7" i="35"/>
  <c r="AB7" i="35"/>
  <c r="AC7" i="35" s="1"/>
  <c r="AD7" i="35" s="1"/>
  <c r="AE7" i="35" s="1"/>
  <c r="AG7" i="35" s="1"/>
  <c r="V7" i="35"/>
  <c r="U7" i="35"/>
  <c r="R7" i="35"/>
  <c r="Q7" i="35"/>
  <c r="I7" i="35"/>
  <c r="E7" i="35"/>
  <c r="AL7" i="35" s="1"/>
  <c r="AZ6" i="35"/>
  <c r="AY6" i="35"/>
  <c r="AX6" i="35"/>
  <c r="AT6" i="35"/>
  <c r="AM6" i="35"/>
  <c r="AK6" i="35"/>
  <c r="AJ6" i="35"/>
  <c r="AI6" i="35"/>
  <c r="AB6" i="35"/>
  <c r="AC6" i="35" s="1"/>
  <c r="AD6" i="35" s="1"/>
  <c r="AE6" i="35" s="1"/>
  <c r="AG6" i="35" s="1"/>
  <c r="V6" i="35"/>
  <c r="U6" i="35"/>
  <c r="R6" i="35"/>
  <c r="Q6" i="35"/>
  <c r="I6" i="35"/>
  <c r="E6" i="35"/>
  <c r="AL6" i="35" s="1"/>
  <c r="AZ5" i="35"/>
  <c r="AY5" i="35"/>
  <c r="AX5" i="35"/>
  <c r="AT5" i="35"/>
  <c r="AM5" i="35"/>
  <c r="AK5" i="35"/>
  <c r="AJ5" i="35"/>
  <c r="AI5" i="35"/>
  <c r="AB5" i="35"/>
  <c r="AC5" i="35" s="1"/>
  <c r="AD5" i="35" s="1"/>
  <c r="AE5" i="35" s="1"/>
  <c r="AG5" i="35" s="1"/>
  <c r="V5" i="35"/>
  <c r="U5" i="35"/>
  <c r="R5" i="35"/>
  <c r="Q5" i="35"/>
  <c r="I5" i="35"/>
  <c r="E5" i="35"/>
  <c r="AL5" i="35" s="1"/>
  <c r="AZ4" i="35"/>
  <c r="AY4" i="35"/>
  <c r="AX4" i="35"/>
  <c r="AM4" i="35"/>
  <c r="AL4" i="35"/>
  <c r="AK4" i="35"/>
  <c r="AJ4" i="35"/>
  <c r="AI4" i="35"/>
  <c r="AF10" i="34"/>
  <c r="AZ9" i="34"/>
  <c r="AY9" i="34"/>
  <c r="AX9" i="34"/>
  <c r="AT9" i="34"/>
  <c r="AM9" i="34"/>
  <c r="AK9" i="34"/>
  <c r="AJ9" i="34"/>
  <c r="AI9" i="34"/>
  <c r="AB9" i="34"/>
  <c r="AC9" i="34" s="1"/>
  <c r="AD9" i="34" s="1"/>
  <c r="AE9" i="34" s="1"/>
  <c r="AG9" i="34" s="1"/>
  <c r="V9" i="34"/>
  <c r="U9" i="34"/>
  <c r="R9" i="34"/>
  <c r="Q9" i="34"/>
  <c r="I9" i="34"/>
  <c r="E9" i="34"/>
  <c r="AL9" i="34" s="1"/>
  <c r="AZ8" i="34"/>
  <c r="AY8" i="34"/>
  <c r="AX8" i="34"/>
  <c r="AT8" i="34"/>
  <c r="AM8" i="34"/>
  <c r="AK8" i="34"/>
  <c r="AJ8" i="34"/>
  <c r="AI8" i="34"/>
  <c r="AB8" i="34"/>
  <c r="AC8" i="34" s="1"/>
  <c r="AD8" i="34" s="1"/>
  <c r="AE8" i="34" s="1"/>
  <c r="AG8" i="34" s="1"/>
  <c r="V8" i="34"/>
  <c r="U8" i="34"/>
  <c r="R8" i="34"/>
  <c r="Q8" i="34"/>
  <c r="I8" i="34"/>
  <c r="E8" i="34"/>
  <c r="AL8" i="34" s="1"/>
  <c r="AZ7" i="34"/>
  <c r="AY7" i="34"/>
  <c r="AX7" i="34"/>
  <c r="AT7" i="34"/>
  <c r="AM7" i="34"/>
  <c r="AK7" i="34"/>
  <c r="AJ7" i="34"/>
  <c r="AI7" i="34"/>
  <c r="AB7" i="34"/>
  <c r="AC7" i="34" s="1"/>
  <c r="AD7" i="34" s="1"/>
  <c r="AE7" i="34" s="1"/>
  <c r="AG7" i="34" s="1"/>
  <c r="V7" i="34"/>
  <c r="U7" i="34"/>
  <c r="R7" i="34"/>
  <c r="Q7" i="34"/>
  <c r="I7" i="34"/>
  <c r="E7" i="34"/>
  <c r="AL7" i="34" s="1"/>
  <c r="AZ6" i="34"/>
  <c r="AY6" i="34"/>
  <c r="AX6" i="34"/>
  <c r="AT6" i="34"/>
  <c r="AM6" i="34"/>
  <c r="AK6" i="34"/>
  <c r="AJ6" i="34"/>
  <c r="AI6" i="34"/>
  <c r="AB6" i="34"/>
  <c r="AC6" i="34" s="1"/>
  <c r="AD6" i="34" s="1"/>
  <c r="AE6" i="34" s="1"/>
  <c r="AG6" i="34" s="1"/>
  <c r="V6" i="34"/>
  <c r="U6" i="34"/>
  <c r="R6" i="34"/>
  <c r="Q6" i="34"/>
  <c r="I6" i="34"/>
  <c r="E6" i="34"/>
  <c r="AL6" i="34" s="1"/>
  <c r="AZ5" i="34"/>
  <c r="AY5" i="34"/>
  <c r="AX5" i="34"/>
  <c r="AT5" i="34"/>
  <c r="AM5" i="34"/>
  <c r="AK5" i="34"/>
  <c r="AJ5" i="34"/>
  <c r="AI5" i="34"/>
  <c r="AB5" i="34"/>
  <c r="AC5" i="34" s="1"/>
  <c r="AD5" i="34" s="1"/>
  <c r="AE5" i="34" s="1"/>
  <c r="AG5" i="34" s="1"/>
  <c r="V5" i="34"/>
  <c r="U5" i="34"/>
  <c r="R5" i="34"/>
  <c r="Q5" i="34"/>
  <c r="I5" i="34"/>
  <c r="E5" i="34"/>
  <c r="AL5" i="34" s="1"/>
  <c r="AZ4" i="34"/>
  <c r="AY4" i="34"/>
  <c r="AX4" i="34"/>
  <c r="AM4" i="34"/>
  <c r="AL4" i="34"/>
  <c r="AK4" i="34"/>
  <c r="AJ4" i="34"/>
  <c r="AI4" i="34"/>
  <c r="T10" i="12"/>
  <c r="Y9" i="12"/>
  <c r="AI9" i="12" s="1"/>
  <c r="X9" i="12"/>
  <c r="AH9" i="12" s="1"/>
  <c r="W9" i="12"/>
  <c r="AG9" i="12" s="1"/>
  <c r="Q9" i="12"/>
  <c r="R9" i="12" s="1"/>
  <c r="S9" i="12" s="1"/>
  <c r="U9" i="12" s="1"/>
  <c r="I9" i="12"/>
  <c r="Y8" i="12"/>
  <c r="AI8" i="12" s="1"/>
  <c r="X8" i="12"/>
  <c r="AH8" i="12" s="1"/>
  <c r="W8" i="12"/>
  <c r="AG8" i="12" s="1"/>
  <c r="Q8" i="12"/>
  <c r="R8" i="12" s="1"/>
  <c r="S8" i="12" s="1"/>
  <c r="U8" i="12" s="1"/>
  <c r="I8" i="12"/>
  <c r="Y7" i="12"/>
  <c r="AI7" i="12" s="1"/>
  <c r="X7" i="12"/>
  <c r="AH7" i="12" s="1"/>
  <c r="W7" i="12"/>
  <c r="AG7" i="12" s="1"/>
  <c r="Q7" i="12"/>
  <c r="R7" i="12" s="1"/>
  <c r="S7" i="12" s="1"/>
  <c r="U7" i="12" s="1"/>
  <c r="I7" i="12"/>
  <c r="Y6" i="12"/>
  <c r="AI6" i="12" s="1"/>
  <c r="X6" i="12"/>
  <c r="AH6" i="12" s="1"/>
  <c r="W6" i="12"/>
  <c r="AG6" i="12" s="1"/>
  <c r="Q6" i="12"/>
  <c r="R6" i="12" s="1"/>
  <c r="S6" i="12" s="1"/>
  <c r="U6" i="12" s="1"/>
  <c r="I6" i="12"/>
  <c r="Y5" i="12"/>
  <c r="AI5" i="12" s="1"/>
  <c r="X5" i="12"/>
  <c r="AH5" i="12" s="1"/>
  <c r="W5" i="12"/>
  <c r="AG5" i="12" s="1"/>
  <c r="Q5" i="12"/>
  <c r="R5" i="12" s="1"/>
  <c r="S5" i="12" s="1"/>
  <c r="U5" i="12" s="1"/>
  <c r="I5" i="12"/>
  <c r="Y4" i="12"/>
  <c r="AI4" i="12" s="1"/>
  <c r="X4" i="12"/>
  <c r="AH4" i="12" s="1"/>
  <c r="W4" i="12"/>
  <c r="AG4" i="12" s="1"/>
  <c r="AD10" i="18"/>
  <c r="AI9" i="18"/>
  <c r="AS9" i="18" s="1"/>
  <c r="AH9" i="18"/>
  <c r="AR9" i="18" s="1"/>
  <c r="AG9" i="18"/>
  <c r="AQ9" i="18" s="1"/>
  <c r="AB9" i="18"/>
  <c r="AC9" i="18" s="1"/>
  <c r="AE9" i="18" s="1"/>
  <c r="L9" i="18"/>
  <c r="AI8" i="18"/>
  <c r="AS8" i="18" s="1"/>
  <c r="AH8" i="18"/>
  <c r="AR8" i="18" s="1"/>
  <c r="AG8" i="18"/>
  <c r="AQ8" i="18" s="1"/>
  <c r="AB8" i="18"/>
  <c r="AC8" i="18" s="1"/>
  <c r="AE8" i="18" s="1"/>
  <c r="L8" i="18"/>
  <c r="AI7" i="18"/>
  <c r="AS7" i="18" s="1"/>
  <c r="AH7" i="18"/>
  <c r="AR7" i="18" s="1"/>
  <c r="AG7" i="18"/>
  <c r="AQ7" i="18" s="1"/>
  <c r="AB7" i="18"/>
  <c r="AC7" i="18" s="1"/>
  <c r="AE7" i="18" s="1"/>
  <c r="L7" i="18"/>
  <c r="AI6" i="18"/>
  <c r="AS6" i="18" s="1"/>
  <c r="AH6" i="18"/>
  <c r="AR6" i="18" s="1"/>
  <c r="AG6" i="18"/>
  <c r="AQ6" i="18" s="1"/>
  <c r="AB6" i="18"/>
  <c r="AC6" i="18" s="1"/>
  <c r="AE6" i="18" s="1"/>
  <c r="L6" i="18"/>
  <c r="AI5" i="18"/>
  <c r="AS5" i="18" s="1"/>
  <c r="AH5" i="18"/>
  <c r="AR5" i="18" s="1"/>
  <c r="AG5" i="18"/>
  <c r="AQ5" i="18" s="1"/>
  <c r="AB5" i="18"/>
  <c r="AC5" i="18" s="1"/>
  <c r="AE5" i="18" s="1"/>
  <c r="L5" i="18"/>
  <c r="AI4" i="18"/>
  <c r="AS4" i="18" s="1"/>
  <c r="AH4" i="18"/>
  <c r="AR4" i="18" s="1"/>
  <c r="AG4" i="18"/>
  <c r="AQ4" i="18" s="1"/>
  <c r="AI10" i="31"/>
  <c r="BD9" i="31"/>
  <c r="BC9" i="31"/>
  <c r="BB9" i="31"/>
  <c r="AN9" i="31"/>
  <c r="AM9" i="31"/>
  <c r="AL9" i="31"/>
  <c r="AE9" i="31"/>
  <c r="AF9" i="31" s="1"/>
  <c r="AG9" i="31" s="1"/>
  <c r="AH9" i="31" s="1"/>
  <c r="AJ9" i="31" s="1"/>
  <c r="AA9" i="31"/>
  <c r="Z9" i="31"/>
  <c r="Y9" i="31"/>
  <c r="X9" i="31"/>
  <c r="S9" i="31"/>
  <c r="AP9" i="31" s="1"/>
  <c r="AW9" i="31" s="1"/>
  <c r="L9" i="31"/>
  <c r="E9" i="31"/>
  <c r="AO9" i="31" s="1"/>
  <c r="BD8" i="31"/>
  <c r="BC8" i="31"/>
  <c r="BB8" i="31"/>
  <c r="AN8" i="31"/>
  <c r="AM8" i="31"/>
  <c r="AL8" i="31"/>
  <c r="AE8" i="31"/>
  <c r="AF8" i="31" s="1"/>
  <c r="AG8" i="31" s="1"/>
  <c r="AH8" i="31" s="1"/>
  <c r="AJ8" i="31" s="1"/>
  <c r="AA8" i="31"/>
  <c r="Z8" i="31"/>
  <c r="Y8" i="31"/>
  <c r="X8" i="31"/>
  <c r="S8" i="31"/>
  <c r="AP8" i="31" s="1"/>
  <c r="AW8" i="31" s="1"/>
  <c r="L8" i="31"/>
  <c r="E8" i="31"/>
  <c r="AO8" i="31" s="1"/>
  <c r="BD7" i="31"/>
  <c r="BC7" i="31"/>
  <c r="BB7" i="31"/>
  <c r="AN7" i="31"/>
  <c r="AM7" i="31"/>
  <c r="AL7" i="31"/>
  <c r="AE7" i="31"/>
  <c r="AF7" i="31" s="1"/>
  <c r="AG7" i="31" s="1"/>
  <c r="AH7" i="31" s="1"/>
  <c r="AJ7" i="31" s="1"/>
  <c r="AA7" i="31"/>
  <c r="Z7" i="31"/>
  <c r="Y7" i="31"/>
  <c r="X7" i="31"/>
  <c r="S7" i="31"/>
  <c r="AP7" i="31" s="1"/>
  <c r="AW7" i="31" s="1"/>
  <c r="L7" i="31"/>
  <c r="E7" i="31"/>
  <c r="AO7" i="31" s="1"/>
  <c r="BD6" i="31"/>
  <c r="BC6" i="31"/>
  <c r="BB6" i="31"/>
  <c r="AN6" i="31"/>
  <c r="AM6" i="31"/>
  <c r="AL6" i="31"/>
  <c r="AE6" i="31"/>
  <c r="AF6" i="31" s="1"/>
  <c r="AG6" i="31" s="1"/>
  <c r="AH6" i="31" s="1"/>
  <c r="AJ6" i="31" s="1"/>
  <c r="AA6" i="31"/>
  <c r="Z6" i="31"/>
  <c r="Y6" i="31"/>
  <c r="X6" i="31"/>
  <c r="S6" i="31"/>
  <c r="AP6" i="31" s="1"/>
  <c r="AW6" i="31" s="1"/>
  <c r="L6" i="31"/>
  <c r="E6" i="31"/>
  <c r="AO6" i="31" s="1"/>
  <c r="BD5" i="31"/>
  <c r="BC5" i="31"/>
  <c r="BB5" i="31"/>
  <c r="AN5" i="31"/>
  <c r="AM5" i="31"/>
  <c r="AL5" i="31"/>
  <c r="AE5" i="31"/>
  <c r="AF5" i="31" s="1"/>
  <c r="AG5" i="31" s="1"/>
  <c r="AH5" i="31" s="1"/>
  <c r="AJ5" i="31" s="1"/>
  <c r="AA5" i="31"/>
  <c r="Z5" i="31"/>
  <c r="Y5" i="31"/>
  <c r="X5" i="31"/>
  <c r="S5" i="31"/>
  <c r="AP5" i="31" s="1"/>
  <c r="AW5" i="31" s="1"/>
  <c r="L5" i="31"/>
  <c r="E5" i="31"/>
  <c r="AO5" i="31" s="1"/>
  <c r="BD4" i="31"/>
  <c r="BC4" i="31"/>
  <c r="BB4" i="31"/>
  <c r="AP4" i="31"/>
  <c r="AO4" i="31"/>
  <c r="AN4" i="31"/>
  <c r="AM4" i="31"/>
  <c r="AL4" i="31"/>
  <c r="AJ10" i="30"/>
  <c r="BD9" i="30"/>
  <c r="BN9" i="30" s="1"/>
  <c r="BC9" i="30"/>
  <c r="BM9" i="30" s="1"/>
  <c r="BB9" i="30"/>
  <c r="BL9" i="30" s="1"/>
  <c r="AO9" i="30"/>
  <c r="AN9" i="30"/>
  <c r="AM9" i="30"/>
  <c r="AF9" i="30"/>
  <c r="AG9" i="30" s="1"/>
  <c r="AH9" i="30" s="1"/>
  <c r="AI9" i="30" s="1"/>
  <c r="AK9" i="30" s="1"/>
  <c r="AB9" i="30"/>
  <c r="AA9" i="30"/>
  <c r="Z9" i="30"/>
  <c r="V9" i="30"/>
  <c r="AQ9" i="30" s="1"/>
  <c r="AX9" i="30" s="1"/>
  <c r="M9" i="30"/>
  <c r="E9" i="30"/>
  <c r="AP9" i="30" s="1"/>
  <c r="BD8" i="30"/>
  <c r="BN8" i="30" s="1"/>
  <c r="BC8" i="30"/>
  <c r="BM8" i="30" s="1"/>
  <c r="BB8" i="30"/>
  <c r="BL8" i="30" s="1"/>
  <c r="AO8" i="30"/>
  <c r="AN8" i="30"/>
  <c r="AM8" i="30"/>
  <c r="AF8" i="30"/>
  <c r="AG8" i="30" s="1"/>
  <c r="AH8" i="30" s="1"/>
  <c r="AI8" i="30" s="1"/>
  <c r="AK8" i="30" s="1"/>
  <c r="AB8" i="30"/>
  <c r="AA8" i="30"/>
  <c r="Z8" i="30"/>
  <c r="V8" i="30"/>
  <c r="AQ8" i="30" s="1"/>
  <c r="AX8" i="30" s="1"/>
  <c r="M8" i="30"/>
  <c r="E8" i="30"/>
  <c r="AP8" i="30" s="1"/>
  <c r="BD7" i="30"/>
  <c r="BN7" i="30" s="1"/>
  <c r="BC7" i="30"/>
  <c r="BM7" i="30" s="1"/>
  <c r="BB7" i="30"/>
  <c r="BL7" i="30" s="1"/>
  <c r="AO7" i="30"/>
  <c r="AN7" i="30"/>
  <c r="AM7" i="30"/>
  <c r="AF7" i="30"/>
  <c r="AG7" i="30" s="1"/>
  <c r="AH7" i="30" s="1"/>
  <c r="AI7" i="30" s="1"/>
  <c r="AK7" i="30" s="1"/>
  <c r="AB7" i="30"/>
  <c r="AA7" i="30"/>
  <c r="Z7" i="30"/>
  <c r="V7" i="30"/>
  <c r="AQ7" i="30" s="1"/>
  <c r="AX7" i="30" s="1"/>
  <c r="M7" i="30"/>
  <c r="E7" i="30"/>
  <c r="AP7" i="30" s="1"/>
  <c r="BD6" i="30"/>
  <c r="BN6" i="30" s="1"/>
  <c r="BC6" i="30"/>
  <c r="BM6" i="30" s="1"/>
  <c r="BB6" i="30"/>
  <c r="BL6" i="30" s="1"/>
  <c r="AO6" i="30"/>
  <c r="AN6" i="30"/>
  <c r="AM6" i="30"/>
  <c r="AF6" i="30"/>
  <c r="AG6" i="30" s="1"/>
  <c r="AH6" i="30" s="1"/>
  <c r="AI6" i="30" s="1"/>
  <c r="AK6" i="30" s="1"/>
  <c r="AB6" i="30"/>
  <c r="AA6" i="30"/>
  <c r="Z6" i="30"/>
  <c r="V6" i="30"/>
  <c r="AQ6" i="30" s="1"/>
  <c r="AX6" i="30" s="1"/>
  <c r="M6" i="30"/>
  <c r="E6" i="30"/>
  <c r="AP6" i="30" s="1"/>
  <c r="BD5" i="30"/>
  <c r="BN5" i="30" s="1"/>
  <c r="BC5" i="30"/>
  <c r="BM5" i="30" s="1"/>
  <c r="BB5" i="30"/>
  <c r="BL5" i="30" s="1"/>
  <c r="AO5" i="30"/>
  <c r="AN5" i="30"/>
  <c r="AM5" i="30"/>
  <c r="AF5" i="30"/>
  <c r="AG5" i="30" s="1"/>
  <c r="AH5" i="30" s="1"/>
  <c r="AI5" i="30" s="1"/>
  <c r="AK5" i="30" s="1"/>
  <c r="AB5" i="30"/>
  <c r="AA5" i="30"/>
  <c r="Z5" i="30"/>
  <c r="V5" i="30"/>
  <c r="AQ5" i="30" s="1"/>
  <c r="AX5" i="30" s="1"/>
  <c r="M5" i="30"/>
  <c r="E5" i="30"/>
  <c r="AP5" i="30" s="1"/>
  <c r="BD4" i="30"/>
  <c r="BN4" i="30" s="1"/>
  <c r="BC4" i="30"/>
  <c r="BM4" i="30" s="1"/>
  <c r="BB4" i="30"/>
  <c r="BL4" i="30" s="1"/>
  <c r="AQ4" i="30"/>
  <c r="AP4" i="30"/>
  <c r="AO4" i="30"/>
  <c r="AN4" i="30"/>
  <c r="AM4" i="30"/>
  <c r="AJ10" i="15"/>
  <c r="BD9" i="15"/>
  <c r="BN9" i="15" s="1"/>
  <c r="BC9" i="15"/>
  <c r="BM9" i="15" s="1"/>
  <c r="BB9" i="15"/>
  <c r="BL9" i="15" s="1"/>
  <c r="AO9" i="15"/>
  <c r="AN9" i="15"/>
  <c r="AM9" i="15"/>
  <c r="AF9" i="15"/>
  <c r="AG9" i="15" s="1"/>
  <c r="AH9" i="15" s="1"/>
  <c r="AI9" i="15" s="1"/>
  <c r="AK9" i="15" s="1"/>
  <c r="AB9" i="15"/>
  <c r="AA9" i="15"/>
  <c r="Z9" i="15"/>
  <c r="V9" i="15"/>
  <c r="AQ9" i="15" s="1"/>
  <c r="AW9" i="15" s="1"/>
  <c r="M9" i="15"/>
  <c r="E9" i="15"/>
  <c r="AP9" i="15" s="1"/>
  <c r="BD8" i="15"/>
  <c r="BN8" i="15" s="1"/>
  <c r="BC8" i="15"/>
  <c r="BM8" i="15" s="1"/>
  <c r="BB8" i="15"/>
  <c r="BL8" i="15" s="1"/>
  <c r="AO8" i="15"/>
  <c r="AN8" i="15"/>
  <c r="AM8" i="15"/>
  <c r="AF8" i="15"/>
  <c r="AG8" i="15" s="1"/>
  <c r="AH8" i="15" s="1"/>
  <c r="AI8" i="15" s="1"/>
  <c r="AK8" i="15" s="1"/>
  <c r="AB8" i="15"/>
  <c r="AA8" i="15"/>
  <c r="Z8" i="15"/>
  <c r="V8" i="15"/>
  <c r="AQ8" i="15" s="1"/>
  <c r="AW8" i="15" s="1"/>
  <c r="M8" i="15"/>
  <c r="E8" i="15"/>
  <c r="AP8" i="15" s="1"/>
  <c r="BD7" i="15"/>
  <c r="BN7" i="15" s="1"/>
  <c r="BC7" i="15"/>
  <c r="BM7" i="15" s="1"/>
  <c r="BB7" i="15"/>
  <c r="BL7" i="15" s="1"/>
  <c r="AO7" i="15"/>
  <c r="AN7" i="15"/>
  <c r="AM7" i="15"/>
  <c r="AF7" i="15"/>
  <c r="AG7" i="15" s="1"/>
  <c r="AH7" i="15" s="1"/>
  <c r="AI7" i="15" s="1"/>
  <c r="AK7" i="15" s="1"/>
  <c r="AB7" i="15"/>
  <c r="AA7" i="15"/>
  <c r="Z7" i="15"/>
  <c r="V7" i="15"/>
  <c r="AQ7" i="15" s="1"/>
  <c r="AW7" i="15" s="1"/>
  <c r="M7" i="15"/>
  <c r="AP7" i="15"/>
  <c r="BD6" i="15"/>
  <c r="BN6" i="15" s="1"/>
  <c r="BC6" i="15"/>
  <c r="BM6" i="15" s="1"/>
  <c r="BB6" i="15"/>
  <c r="BL6" i="15" s="1"/>
  <c r="AO6" i="15"/>
  <c r="AN6" i="15"/>
  <c r="AM6" i="15"/>
  <c r="AF6" i="15"/>
  <c r="AG6" i="15" s="1"/>
  <c r="AH6" i="15" s="1"/>
  <c r="AI6" i="15" s="1"/>
  <c r="AK6" i="15" s="1"/>
  <c r="AB6" i="15"/>
  <c r="AA6" i="15"/>
  <c r="Z6" i="15"/>
  <c r="V6" i="15"/>
  <c r="AQ6" i="15" s="1"/>
  <c r="AW6" i="15" s="1"/>
  <c r="M6" i="15"/>
  <c r="E6" i="15"/>
  <c r="AP6" i="15" s="1"/>
  <c r="BD5" i="15"/>
  <c r="BN5" i="15" s="1"/>
  <c r="BC5" i="15"/>
  <c r="BM5" i="15" s="1"/>
  <c r="BB5" i="15"/>
  <c r="BL5" i="15" s="1"/>
  <c r="AO5" i="15"/>
  <c r="AN5" i="15"/>
  <c r="AM5" i="15"/>
  <c r="AF5" i="15"/>
  <c r="AG5" i="15" s="1"/>
  <c r="AH5" i="15" s="1"/>
  <c r="AI5" i="15" s="1"/>
  <c r="AK5" i="15" s="1"/>
  <c r="AB5" i="15"/>
  <c r="AA5" i="15"/>
  <c r="Z5" i="15"/>
  <c r="V5" i="15"/>
  <c r="AQ5" i="15" s="1"/>
  <c r="AW5" i="15" s="1"/>
  <c r="M5" i="15"/>
  <c r="E5" i="15"/>
  <c r="AP5" i="15" s="1"/>
  <c r="BD4" i="15"/>
  <c r="BN4" i="15" s="1"/>
  <c r="BC4" i="15"/>
  <c r="BM4" i="15" s="1"/>
  <c r="BB4" i="15"/>
  <c r="BL4" i="15" s="1"/>
  <c r="AP4" i="15"/>
  <c r="AO4" i="15"/>
  <c r="AN4" i="15"/>
  <c r="AM4" i="15"/>
  <c r="AN11" i="17"/>
  <c r="BI10" i="17"/>
  <c r="BH10" i="17"/>
  <c r="BX10" i="17" s="1"/>
  <c r="BG10" i="17"/>
  <c r="BW10" i="17" s="1"/>
  <c r="AS10" i="17"/>
  <c r="AR10" i="17"/>
  <c r="AQ10" i="17"/>
  <c r="AJ10" i="17"/>
  <c r="AK10" i="17" s="1"/>
  <c r="AL10" i="17" s="1"/>
  <c r="AM10" i="17" s="1"/>
  <c r="AO10" i="17" s="1"/>
  <c r="AB10" i="17"/>
  <c r="AA10" i="17"/>
  <c r="Z10" i="17"/>
  <c r="V10" i="17"/>
  <c r="AU10" i="17" s="1"/>
  <c r="BB10" i="17" s="1"/>
  <c r="M10" i="17"/>
  <c r="E10" i="17"/>
  <c r="AT10" i="17" s="1"/>
  <c r="BI9" i="17"/>
  <c r="BH9" i="17"/>
  <c r="BX9" i="17" s="1"/>
  <c r="BG9" i="17"/>
  <c r="BW9" i="17" s="1"/>
  <c r="AS9" i="17"/>
  <c r="AR9" i="17"/>
  <c r="AQ9" i="17"/>
  <c r="AJ9" i="17"/>
  <c r="AK9" i="17" s="1"/>
  <c r="AL9" i="17" s="1"/>
  <c r="AM9" i="17" s="1"/>
  <c r="AO9" i="17" s="1"/>
  <c r="AB9" i="17"/>
  <c r="AA9" i="17"/>
  <c r="Z9" i="17"/>
  <c r="V9" i="17"/>
  <c r="AU9" i="17" s="1"/>
  <c r="BB9" i="17" s="1"/>
  <c r="M9" i="17"/>
  <c r="E9" i="17"/>
  <c r="AT9" i="17" s="1"/>
  <c r="BI8" i="17"/>
  <c r="BH8" i="17"/>
  <c r="BX8" i="17" s="1"/>
  <c r="BG8" i="17"/>
  <c r="BW8" i="17" s="1"/>
  <c r="AS8" i="17"/>
  <c r="AR8" i="17"/>
  <c r="AQ8" i="17"/>
  <c r="AJ8" i="17"/>
  <c r="AK8" i="17" s="1"/>
  <c r="AL8" i="17" s="1"/>
  <c r="AM8" i="17" s="1"/>
  <c r="AO8" i="17" s="1"/>
  <c r="AB8" i="17"/>
  <c r="AA8" i="17"/>
  <c r="Z8" i="17"/>
  <c r="V8" i="17"/>
  <c r="AU8" i="17" s="1"/>
  <c r="BB8" i="17" s="1"/>
  <c r="M8" i="17"/>
  <c r="E8" i="17"/>
  <c r="AT8" i="17" s="1"/>
  <c r="BI7" i="17"/>
  <c r="BH7" i="17"/>
  <c r="BX7" i="17" s="1"/>
  <c r="BG7" i="17"/>
  <c r="BW7" i="17" s="1"/>
  <c r="AS7" i="17"/>
  <c r="AR7" i="17"/>
  <c r="AQ7" i="17"/>
  <c r="AJ7" i="17"/>
  <c r="AK7" i="17" s="1"/>
  <c r="AL7" i="17" s="1"/>
  <c r="AM7" i="17" s="1"/>
  <c r="AO7" i="17" s="1"/>
  <c r="AB7" i="17"/>
  <c r="AA7" i="17"/>
  <c r="Z7" i="17"/>
  <c r="V7" i="17"/>
  <c r="AU7" i="17" s="1"/>
  <c r="BB7" i="17" s="1"/>
  <c r="M7" i="17"/>
  <c r="E7" i="17"/>
  <c r="AT7" i="17" s="1"/>
  <c r="BI6" i="17"/>
  <c r="BH6" i="17"/>
  <c r="BX6" i="17" s="1"/>
  <c r="BG6" i="17"/>
  <c r="BW6" i="17" s="1"/>
  <c r="AS6" i="17"/>
  <c r="AR6" i="17"/>
  <c r="AQ6" i="17"/>
  <c r="AJ6" i="17"/>
  <c r="AK6" i="17" s="1"/>
  <c r="AL6" i="17" s="1"/>
  <c r="AM6" i="17" s="1"/>
  <c r="AO6" i="17" s="1"/>
  <c r="AB6" i="17"/>
  <c r="AA6" i="17"/>
  <c r="Z6" i="17"/>
  <c r="V6" i="17"/>
  <c r="AU6" i="17" s="1"/>
  <c r="BB6" i="17" s="1"/>
  <c r="M6" i="17"/>
  <c r="E6" i="17"/>
  <c r="AT6" i="17" s="1"/>
  <c r="BI5" i="17"/>
  <c r="BH5" i="17"/>
  <c r="BX5" i="17" s="1"/>
  <c r="BG5" i="17"/>
  <c r="BW5" i="17" s="1"/>
  <c r="AU5" i="17"/>
  <c r="AT5" i="17"/>
  <c r="AS5" i="17"/>
  <c r="AR5" i="17"/>
  <c r="AQ5" i="17"/>
  <c r="AQ11" i="4"/>
  <c r="BL10" i="4"/>
  <c r="BK10" i="4"/>
  <c r="CA10" i="4" s="1"/>
  <c r="BJ10" i="4"/>
  <c r="BZ10" i="4" s="1"/>
  <c r="AV10" i="4"/>
  <c r="AU10" i="4"/>
  <c r="AT10" i="4"/>
  <c r="AG10" i="4"/>
  <c r="AM10" i="4" s="1"/>
  <c r="AN10" i="4" s="1"/>
  <c r="AO10" i="4" s="1"/>
  <c r="AP10" i="4" s="1"/>
  <c r="AR10" i="4" s="1"/>
  <c r="AD10" i="4"/>
  <c r="AC10" i="4"/>
  <c r="AB10" i="4"/>
  <c r="X10" i="4"/>
  <c r="AX10" i="4" s="1"/>
  <c r="BE10" i="4" s="1"/>
  <c r="N10" i="4"/>
  <c r="E10" i="4"/>
  <c r="AW10" i="4" s="1"/>
  <c r="BL9" i="4"/>
  <c r="BK9" i="4"/>
  <c r="CA9" i="4" s="1"/>
  <c r="BJ9" i="4"/>
  <c r="BZ9" i="4" s="1"/>
  <c r="AV9" i="4"/>
  <c r="AU9" i="4"/>
  <c r="AT9" i="4"/>
  <c r="AG9" i="4"/>
  <c r="AM9" i="4" s="1"/>
  <c r="AN9" i="4" s="1"/>
  <c r="AO9" i="4" s="1"/>
  <c r="AP9" i="4" s="1"/>
  <c r="AR9" i="4" s="1"/>
  <c r="AD9" i="4"/>
  <c r="AC9" i="4"/>
  <c r="AB9" i="4"/>
  <c r="X9" i="4"/>
  <c r="AX9" i="4" s="1"/>
  <c r="BE9" i="4" s="1"/>
  <c r="N9" i="4"/>
  <c r="E9" i="4"/>
  <c r="AW9" i="4" s="1"/>
  <c r="BL8" i="4"/>
  <c r="BK8" i="4"/>
  <c r="CA8" i="4" s="1"/>
  <c r="BJ8" i="4"/>
  <c r="BZ8" i="4" s="1"/>
  <c r="AV8" i="4"/>
  <c r="AU8" i="4"/>
  <c r="AT8" i="4"/>
  <c r="AG8" i="4"/>
  <c r="AM8" i="4" s="1"/>
  <c r="AN8" i="4" s="1"/>
  <c r="AO8" i="4" s="1"/>
  <c r="AP8" i="4" s="1"/>
  <c r="AR8" i="4" s="1"/>
  <c r="AD8" i="4"/>
  <c r="AC8" i="4"/>
  <c r="AB8" i="4"/>
  <c r="X8" i="4"/>
  <c r="AX8" i="4" s="1"/>
  <c r="BE8" i="4" s="1"/>
  <c r="N8" i="4"/>
  <c r="E8" i="4"/>
  <c r="AW8" i="4" s="1"/>
  <c r="BL7" i="4"/>
  <c r="BK7" i="4"/>
  <c r="CA7" i="4" s="1"/>
  <c r="BJ7" i="4"/>
  <c r="BZ7" i="4" s="1"/>
  <c r="AV7" i="4"/>
  <c r="AU7" i="4"/>
  <c r="AT7" i="4"/>
  <c r="AG7" i="4"/>
  <c r="AM7" i="4" s="1"/>
  <c r="AN7" i="4" s="1"/>
  <c r="AO7" i="4" s="1"/>
  <c r="AP7" i="4" s="1"/>
  <c r="AR7" i="4" s="1"/>
  <c r="AD7" i="4"/>
  <c r="AC7" i="4"/>
  <c r="AB7" i="4"/>
  <c r="X7" i="4"/>
  <c r="AX7" i="4" s="1"/>
  <c r="BE7" i="4" s="1"/>
  <c r="N7" i="4"/>
  <c r="E7" i="4"/>
  <c r="AW7" i="4" s="1"/>
  <c r="BL6" i="4"/>
  <c r="BK6" i="4"/>
  <c r="CA6" i="4" s="1"/>
  <c r="BJ6" i="4"/>
  <c r="BZ6" i="4" s="1"/>
  <c r="AV6" i="4"/>
  <c r="AU6" i="4"/>
  <c r="AT6" i="4"/>
  <c r="AG6" i="4"/>
  <c r="AM6" i="4" s="1"/>
  <c r="AN6" i="4" s="1"/>
  <c r="AO6" i="4" s="1"/>
  <c r="AP6" i="4" s="1"/>
  <c r="AR6" i="4" s="1"/>
  <c r="AD6" i="4"/>
  <c r="AC6" i="4"/>
  <c r="AB6" i="4"/>
  <c r="X6" i="4"/>
  <c r="AX6" i="4" s="1"/>
  <c r="BE6" i="4" s="1"/>
  <c r="N6" i="4"/>
  <c r="E6" i="4"/>
  <c r="AW6" i="4" s="1"/>
  <c r="BL5" i="4"/>
  <c r="BK5" i="4"/>
  <c r="CA5" i="4" s="1"/>
  <c r="BJ5" i="4"/>
  <c r="BZ5" i="4" s="1"/>
  <c r="AX5" i="4"/>
  <c r="AW5" i="4"/>
  <c r="AV5" i="4"/>
  <c r="AU5" i="4"/>
  <c r="AT5" i="4"/>
  <c r="AN10" i="33"/>
  <c r="BI9" i="33"/>
  <c r="BS9" i="33" s="1"/>
  <c r="BH9" i="33"/>
  <c r="BR9" i="33" s="1"/>
  <c r="BG9" i="33"/>
  <c r="BQ9" i="33" s="1"/>
  <c r="AS9" i="33"/>
  <c r="AR9" i="33"/>
  <c r="AQ9" i="33"/>
  <c r="AE9" i="33"/>
  <c r="AJ9" i="33" s="1"/>
  <c r="AK9" i="33" s="1"/>
  <c r="AL9" i="33" s="1"/>
  <c r="AM9" i="33" s="1"/>
  <c r="AO9" i="33" s="1"/>
  <c r="AB9" i="33"/>
  <c r="AA9" i="33"/>
  <c r="Z9" i="33"/>
  <c r="V9" i="33"/>
  <c r="AU9" i="33" s="1"/>
  <c r="BB9" i="33" s="1"/>
  <c r="M9" i="33"/>
  <c r="E9" i="33"/>
  <c r="AT9" i="33" s="1"/>
  <c r="BI8" i="33"/>
  <c r="BS8" i="33" s="1"/>
  <c r="BH8" i="33"/>
  <c r="BR8" i="33" s="1"/>
  <c r="BG8" i="33"/>
  <c r="BQ8" i="33" s="1"/>
  <c r="AS8" i="33"/>
  <c r="AR8" i="33"/>
  <c r="AQ8" i="33"/>
  <c r="AE8" i="33"/>
  <c r="AJ8" i="33" s="1"/>
  <c r="AK8" i="33" s="1"/>
  <c r="AL8" i="33" s="1"/>
  <c r="AM8" i="33" s="1"/>
  <c r="AO8" i="33" s="1"/>
  <c r="AB8" i="33"/>
  <c r="AA8" i="33"/>
  <c r="Z8" i="33"/>
  <c r="V8" i="33"/>
  <c r="AU8" i="33" s="1"/>
  <c r="BB8" i="33" s="1"/>
  <c r="M8" i="33"/>
  <c r="E8" i="33"/>
  <c r="AT8" i="33" s="1"/>
  <c r="BI7" i="33"/>
  <c r="BS7" i="33" s="1"/>
  <c r="BH7" i="33"/>
  <c r="BR7" i="33" s="1"/>
  <c r="BG7" i="33"/>
  <c r="BQ7" i="33" s="1"/>
  <c r="AS7" i="33"/>
  <c r="AR7" i="33"/>
  <c r="AQ7" i="33"/>
  <c r="AE7" i="33"/>
  <c r="AJ7" i="33" s="1"/>
  <c r="AK7" i="33" s="1"/>
  <c r="AL7" i="33" s="1"/>
  <c r="AM7" i="33" s="1"/>
  <c r="AO7" i="33" s="1"/>
  <c r="AB7" i="33"/>
  <c r="AA7" i="33"/>
  <c r="Z7" i="33"/>
  <c r="V7" i="33"/>
  <c r="AU7" i="33" s="1"/>
  <c r="BB7" i="33" s="1"/>
  <c r="M7" i="33"/>
  <c r="E7" i="33"/>
  <c r="AT7" i="33" s="1"/>
  <c r="BI6" i="33"/>
  <c r="BS6" i="33" s="1"/>
  <c r="BH6" i="33"/>
  <c r="BR6" i="33" s="1"/>
  <c r="BG6" i="33"/>
  <c r="BQ6" i="33" s="1"/>
  <c r="AS6" i="33"/>
  <c r="AR6" i="33"/>
  <c r="AQ6" i="33"/>
  <c r="AE6" i="33"/>
  <c r="AJ6" i="33" s="1"/>
  <c r="AK6" i="33" s="1"/>
  <c r="AL6" i="33" s="1"/>
  <c r="AM6" i="33" s="1"/>
  <c r="AO6" i="33" s="1"/>
  <c r="AB6" i="33"/>
  <c r="AA6" i="33"/>
  <c r="Z6" i="33"/>
  <c r="V6" i="33"/>
  <c r="AU6" i="33" s="1"/>
  <c r="BB6" i="33" s="1"/>
  <c r="M6" i="33"/>
  <c r="E6" i="33"/>
  <c r="AT6" i="33" s="1"/>
  <c r="BI5" i="33"/>
  <c r="BS5" i="33" s="1"/>
  <c r="BH5" i="33"/>
  <c r="BR5" i="33" s="1"/>
  <c r="BG5" i="33"/>
  <c r="BQ5" i="33" s="1"/>
  <c r="AS5" i="33"/>
  <c r="AR5" i="33"/>
  <c r="AQ5" i="33"/>
  <c r="AE5" i="33"/>
  <c r="AJ5" i="33" s="1"/>
  <c r="AK5" i="33" s="1"/>
  <c r="AL5" i="33" s="1"/>
  <c r="AM5" i="33" s="1"/>
  <c r="AO5" i="33" s="1"/>
  <c r="AB5" i="33"/>
  <c r="AA5" i="33"/>
  <c r="Z5" i="33"/>
  <c r="V5" i="33"/>
  <c r="AU5" i="33" s="1"/>
  <c r="BB5" i="33" s="1"/>
  <c r="M5" i="33"/>
  <c r="E5" i="33"/>
  <c r="AT5" i="33" s="1"/>
  <c r="BI4" i="33"/>
  <c r="BS4" i="33" s="1"/>
  <c r="BH4" i="33"/>
  <c r="BR4" i="33" s="1"/>
  <c r="BG4" i="33"/>
  <c r="BQ4" i="33" s="1"/>
  <c r="AU4" i="33"/>
  <c r="AT4" i="33"/>
  <c r="AS4" i="33"/>
  <c r="AR4" i="33"/>
  <c r="AQ4" i="33"/>
  <c r="BJ5" i="23"/>
  <c r="BT5" i="23" s="1"/>
  <c r="BI5" i="23"/>
  <c r="BS5" i="23" s="1"/>
  <c r="BH5" i="23"/>
  <c r="BR5" i="23" s="1"/>
  <c r="AT5" i="23"/>
  <c r="AS5" i="23"/>
  <c r="AR5" i="23"/>
  <c r="AF5" i="23"/>
  <c r="AK5" i="23" s="1"/>
  <c r="AL5" i="23" s="1"/>
  <c r="AM5" i="23" s="1"/>
  <c r="AN5" i="23" s="1"/>
  <c r="AP5" i="23" s="1"/>
  <c r="AP10" i="23" s="1"/>
  <c r="AC5" i="23"/>
  <c r="AB5" i="23"/>
  <c r="AA5" i="23"/>
  <c r="W5" i="23"/>
  <c r="AV5" i="23" s="1"/>
  <c r="BC5" i="23" s="1"/>
  <c r="N5" i="23"/>
  <c r="AU5" i="23"/>
  <c r="BJ4" i="23"/>
  <c r="BT4" i="23" s="1"/>
  <c r="BI4" i="23"/>
  <c r="BS4" i="23" s="1"/>
  <c r="BH4" i="23"/>
  <c r="BR4" i="23" s="1"/>
  <c r="AV4" i="23"/>
  <c r="AU4" i="23"/>
  <c r="AT4" i="23"/>
  <c r="AS4" i="23"/>
  <c r="AR4" i="23"/>
  <c r="AI10" i="22"/>
  <c r="AN9" i="22"/>
  <c r="AM9" i="22"/>
  <c r="AL9" i="22"/>
  <c r="AE9" i="22"/>
  <c r="Y9" i="22"/>
  <c r="X9" i="22"/>
  <c r="U9" i="22"/>
  <c r="T9" i="22"/>
  <c r="Q9" i="22"/>
  <c r="L9" i="22"/>
  <c r="E9" i="22"/>
  <c r="AN8" i="22"/>
  <c r="AM8" i="22"/>
  <c r="AL8" i="22"/>
  <c r="AE8" i="22"/>
  <c r="Y8" i="22"/>
  <c r="X8" i="22"/>
  <c r="U8" i="22"/>
  <c r="T8" i="22"/>
  <c r="Q8" i="22"/>
  <c r="L8" i="22"/>
  <c r="E8" i="22"/>
  <c r="AN7" i="22"/>
  <c r="AM7" i="22"/>
  <c r="AL7" i="22"/>
  <c r="AE7" i="22"/>
  <c r="Y7" i="22"/>
  <c r="X7" i="22"/>
  <c r="U7" i="22"/>
  <c r="T7" i="22"/>
  <c r="Q7" i="22"/>
  <c r="L7" i="22"/>
  <c r="E7" i="22"/>
  <c r="AN6" i="22"/>
  <c r="AM6" i="22"/>
  <c r="AL6" i="22"/>
  <c r="AE6" i="22"/>
  <c r="Y6" i="22"/>
  <c r="X6" i="22"/>
  <c r="U6" i="22"/>
  <c r="T6" i="22"/>
  <c r="Q6" i="22"/>
  <c r="L6" i="22"/>
  <c r="E6" i="22"/>
  <c r="AN5" i="22"/>
  <c r="AM5" i="22"/>
  <c r="AL5" i="22"/>
  <c r="AE5" i="22"/>
  <c r="Y5" i="22"/>
  <c r="X5" i="22"/>
  <c r="U5" i="22"/>
  <c r="T5" i="22"/>
  <c r="Q5" i="22"/>
  <c r="L5" i="22"/>
  <c r="E5" i="22"/>
  <c r="AN4" i="22"/>
  <c r="AM4" i="22"/>
  <c r="AL4" i="22"/>
  <c r="AN10" i="14"/>
  <c r="BI9" i="14"/>
  <c r="BH9" i="14"/>
  <c r="BG9" i="14"/>
  <c r="AS9" i="14"/>
  <c r="AR9" i="14"/>
  <c r="AQ9" i="14"/>
  <c r="AJ9" i="14"/>
  <c r="AK9" i="14" s="1"/>
  <c r="AL9" i="14" s="1"/>
  <c r="AM9" i="14" s="1"/>
  <c r="AO9" i="14" s="1"/>
  <c r="AC9" i="14"/>
  <c r="AB9" i="14"/>
  <c r="Y9" i="14"/>
  <c r="X9" i="14"/>
  <c r="AU9" i="14"/>
  <c r="BB9" i="14" s="1"/>
  <c r="M9" i="14"/>
  <c r="E9" i="14"/>
  <c r="AT9" i="14" s="1"/>
  <c r="BI8" i="14"/>
  <c r="BH8" i="14"/>
  <c r="BG8" i="14"/>
  <c r="AS8" i="14"/>
  <c r="AR8" i="14"/>
  <c r="AQ8" i="14"/>
  <c r="AJ8" i="14"/>
  <c r="AK8" i="14" s="1"/>
  <c r="AL8" i="14" s="1"/>
  <c r="AM8" i="14" s="1"/>
  <c r="AO8" i="14" s="1"/>
  <c r="AC8" i="14"/>
  <c r="AB8" i="14"/>
  <c r="Y8" i="14"/>
  <c r="X8" i="14"/>
  <c r="AU8" i="14"/>
  <c r="BB8" i="14" s="1"/>
  <c r="M8" i="14"/>
  <c r="E8" i="14"/>
  <c r="AT8" i="14" s="1"/>
  <c r="BI7" i="14"/>
  <c r="BH7" i="14"/>
  <c r="BG7" i="14"/>
  <c r="AS7" i="14"/>
  <c r="AR7" i="14"/>
  <c r="AQ7" i="14"/>
  <c r="AJ7" i="14"/>
  <c r="AK7" i="14" s="1"/>
  <c r="AL7" i="14" s="1"/>
  <c r="AM7" i="14" s="1"/>
  <c r="AO7" i="14" s="1"/>
  <c r="AC7" i="14"/>
  <c r="AB7" i="14"/>
  <c r="Y7" i="14"/>
  <c r="X7" i="14"/>
  <c r="AU7" i="14"/>
  <c r="BB7" i="14" s="1"/>
  <c r="M7" i="14"/>
  <c r="E7" i="14"/>
  <c r="AT7" i="14" s="1"/>
  <c r="BI6" i="14"/>
  <c r="BH6" i="14"/>
  <c r="BG6" i="14"/>
  <c r="AS6" i="14"/>
  <c r="AR6" i="14"/>
  <c r="AQ6" i="14"/>
  <c r="AJ6" i="14"/>
  <c r="AK6" i="14" s="1"/>
  <c r="AL6" i="14" s="1"/>
  <c r="AM6" i="14" s="1"/>
  <c r="AO6" i="14" s="1"/>
  <c r="AC6" i="14"/>
  <c r="AB6" i="14"/>
  <c r="Y6" i="14"/>
  <c r="X6" i="14"/>
  <c r="AU6" i="14"/>
  <c r="BB6" i="14" s="1"/>
  <c r="M6" i="14"/>
  <c r="E6" i="14"/>
  <c r="AT6" i="14" s="1"/>
  <c r="BI5" i="14"/>
  <c r="BH5" i="14"/>
  <c r="BG5" i="14"/>
  <c r="AS5" i="14"/>
  <c r="AR5" i="14"/>
  <c r="AQ5" i="14"/>
  <c r="AJ5" i="14"/>
  <c r="AK5" i="14" s="1"/>
  <c r="AL5" i="14" s="1"/>
  <c r="AM5" i="14" s="1"/>
  <c r="AO5" i="14" s="1"/>
  <c r="AC5" i="14"/>
  <c r="AB5" i="14"/>
  <c r="Y5" i="14"/>
  <c r="X5" i="14"/>
  <c r="AU5" i="14"/>
  <c r="BB5" i="14" s="1"/>
  <c r="M5" i="14"/>
  <c r="AT5" i="14"/>
  <c r="BI4" i="14"/>
  <c r="BH4" i="14"/>
  <c r="BG4" i="14"/>
  <c r="AU4" i="14"/>
  <c r="AT4" i="14"/>
  <c r="AS4" i="14"/>
  <c r="AR4" i="14"/>
  <c r="AQ4" i="14"/>
  <c r="U10" i="32"/>
  <c r="AP9" i="32"/>
  <c r="AO9" i="32"/>
  <c r="AN9" i="32"/>
  <c r="Z9" i="32"/>
  <c r="Y9" i="32"/>
  <c r="X9" i="32"/>
  <c r="M9" i="32"/>
  <c r="Q9" i="32" s="1"/>
  <c r="R9" i="32" s="1"/>
  <c r="S9" i="32" s="1"/>
  <c r="T9" i="32" s="1"/>
  <c r="V9" i="32" s="1"/>
  <c r="J9" i="32"/>
  <c r="AB9" i="32" s="1"/>
  <c r="AI9" i="32" s="1"/>
  <c r="E9" i="32"/>
  <c r="AA9" i="32" s="1"/>
  <c r="AP8" i="32"/>
  <c r="AO8" i="32"/>
  <c r="AN8" i="32"/>
  <c r="Z8" i="32"/>
  <c r="Y8" i="32"/>
  <c r="X8" i="32"/>
  <c r="M8" i="32"/>
  <c r="Q8" i="32" s="1"/>
  <c r="R8" i="32" s="1"/>
  <c r="S8" i="32" s="1"/>
  <c r="T8" i="32" s="1"/>
  <c r="V8" i="32" s="1"/>
  <c r="J8" i="32"/>
  <c r="AB8" i="32" s="1"/>
  <c r="AI8" i="32" s="1"/>
  <c r="E8" i="32"/>
  <c r="AA8" i="32" s="1"/>
  <c r="AP7" i="32"/>
  <c r="AO7" i="32"/>
  <c r="AN7" i="32"/>
  <c r="Z7" i="32"/>
  <c r="Y7" i="32"/>
  <c r="X7" i="32"/>
  <c r="M7" i="32"/>
  <c r="Q7" i="32" s="1"/>
  <c r="R7" i="32" s="1"/>
  <c r="S7" i="32" s="1"/>
  <c r="T7" i="32" s="1"/>
  <c r="V7" i="32" s="1"/>
  <c r="J7" i="32"/>
  <c r="AB7" i="32" s="1"/>
  <c r="AI7" i="32" s="1"/>
  <c r="E7" i="32"/>
  <c r="AA7" i="32" s="1"/>
  <c r="AP6" i="32"/>
  <c r="AO6" i="32"/>
  <c r="AN6" i="32"/>
  <c r="Z6" i="32"/>
  <c r="Y6" i="32"/>
  <c r="X6" i="32"/>
  <c r="M6" i="32"/>
  <c r="Q6" i="32" s="1"/>
  <c r="R6" i="32" s="1"/>
  <c r="S6" i="32" s="1"/>
  <c r="T6" i="32" s="1"/>
  <c r="V6" i="32" s="1"/>
  <c r="J6" i="32"/>
  <c r="AB6" i="32" s="1"/>
  <c r="AI6" i="32" s="1"/>
  <c r="E6" i="32"/>
  <c r="AA6" i="32" s="1"/>
  <c r="AP5" i="32"/>
  <c r="AO5" i="32"/>
  <c r="AN5" i="32"/>
  <c r="Z5" i="32"/>
  <c r="Y5" i="32"/>
  <c r="X5" i="32"/>
  <c r="M5" i="32"/>
  <c r="Q5" i="32" s="1"/>
  <c r="R5" i="32" s="1"/>
  <c r="S5" i="32" s="1"/>
  <c r="T5" i="32" s="1"/>
  <c r="V5" i="32" s="1"/>
  <c r="J5" i="32"/>
  <c r="AB5" i="32" s="1"/>
  <c r="AI5" i="32" s="1"/>
  <c r="E5" i="32"/>
  <c r="AA5" i="32" s="1"/>
  <c r="AP4" i="32"/>
  <c r="AO4" i="32"/>
  <c r="AN4" i="32"/>
  <c r="AB4" i="32"/>
  <c r="AA4" i="32"/>
  <c r="Z4" i="32"/>
  <c r="Y4" i="32"/>
  <c r="X4" i="32"/>
  <c r="U10" i="29"/>
  <c r="AO9" i="29"/>
  <c r="AN9" i="29"/>
  <c r="AM9" i="29"/>
  <c r="Z9" i="29"/>
  <c r="Y9" i="29"/>
  <c r="X9" i="29"/>
  <c r="M9" i="29"/>
  <c r="Q9" i="29" s="1"/>
  <c r="R9" i="29" s="1"/>
  <c r="S9" i="29" s="1"/>
  <c r="T9" i="29" s="1"/>
  <c r="V9" i="29" s="1"/>
  <c r="J9" i="29"/>
  <c r="AB9" i="29" s="1"/>
  <c r="AH9" i="29" s="1"/>
  <c r="E9" i="29"/>
  <c r="AA9" i="29" s="1"/>
  <c r="AO8" i="29"/>
  <c r="AN8" i="29"/>
  <c r="AM8" i="29"/>
  <c r="Z8" i="29"/>
  <c r="Y8" i="29"/>
  <c r="X8" i="29"/>
  <c r="M8" i="29"/>
  <c r="Q8" i="29" s="1"/>
  <c r="R8" i="29" s="1"/>
  <c r="S8" i="29" s="1"/>
  <c r="T8" i="29" s="1"/>
  <c r="V8" i="29" s="1"/>
  <c r="J8" i="29"/>
  <c r="AB8" i="29" s="1"/>
  <c r="AH8" i="29" s="1"/>
  <c r="E8" i="29"/>
  <c r="AA8" i="29" s="1"/>
  <c r="AO7" i="29"/>
  <c r="AN7" i="29"/>
  <c r="AM7" i="29"/>
  <c r="Z7" i="29"/>
  <c r="Y7" i="29"/>
  <c r="X7" i="29"/>
  <c r="M7" i="29"/>
  <c r="Q7" i="29" s="1"/>
  <c r="R7" i="29" s="1"/>
  <c r="S7" i="29" s="1"/>
  <c r="T7" i="29" s="1"/>
  <c r="V7" i="29" s="1"/>
  <c r="J7" i="29"/>
  <c r="AB7" i="29" s="1"/>
  <c r="AH7" i="29" s="1"/>
  <c r="E7" i="29"/>
  <c r="AA7" i="29" s="1"/>
  <c r="AO6" i="29"/>
  <c r="AN6" i="29"/>
  <c r="AM6" i="29"/>
  <c r="Z6" i="29"/>
  <c r="Y6" i="29"/>
  <c r="X6" i="29"/>
  <c r="M6" i="29"/>
  <c r="Q6" i="29" s="1"/>
  <c r="R6" i="29" s="1"/>
  <c r="S6" i="29" s="1"/>
  <c r="T6" i="29" s="1"/>
  <c r="V6" i="29" s="1"/>
  <c r="J6" i="29"/>
  <c r="AB6" i="29" s="1"/>
  <c r="AH6" i="29" s="1"/>
  <c r="E6" i="29"/>
  <c r="AA6" i="29" s="1"/>
  <c r="AO5" i="29"/>
  <c r="AN5" i="29"/>
  <c r="AM5" i="29"/>
  <c r="Z5" i="29"/>
  <c r="Y5" i="29"/>
  <c r="X5" i="29"/>
  <c r="M5" i="29"/>
  <c r="Q5" i="29" s="1"/>
  <c r="R5" i="29" s="1"/>
  <c r="S5" i="29" s="1"/>
  <c r="T5" i="29" s="1"/>
  <c r="V5" i="29" s="1"/>
  <c r="J5" i="29"/>
  <c r="AB5" i="29" s="1"/>
  <c r="AH5" i="29" s="1"/>
  <c r="E5" i="29"/>
  <c r="AA5" i="29" s="1"/>
  <c r="AO4" i="29"/>
  <c r="AN4" i="29"/>
  <c r="AM4" i="29"/>
  <c r="AB4" i="29"/>
  <c r="AA4" i="29"/>
  <c r="Z4" i="29"/>
  <c r="Y4" i="29"/>
  <c r="X4" i="29"/>
  <c r="AQ10" i="21"/>
  <c r="BL9" i="21"/>
  <c r="BK9" i="21"/>
  <c r="BJ9" i="21"/>
  <c r="AV9" i="21"/>
  <c r="AU9" i="21"/>
  <c r="AT9" i="21"/>
  <c r="AM9" i="21"/>
  <c r="AN9" i="21" s="1"/>
  <c r="AO9" i="21" s="1"/>
  <c r="AP9" i="21" s="1"/>
  <c r="AR9" i="21" s="1"/>
  <c r="AF9" i="21"/>
  <c r="AE9" i="21"/>
  <c r="AB9" i="21"/>
  <c r="AA9" i="21"/>
  <c r="R9" i="21"/>
  <c r="AX9" i="21" s="1"/>
  <c r="BE9" i="21" s="1"/>
  <c r="E9" i="21"/>
  <c r="AW9" i="21" s="1"/>
  <c r="BL8" i="21"/>
  <c r="BK8" i="21"/>
  <c r="BJ8" i="21"/>
  <c r="AV8" i="21"/>
  <c r="AU8" i="21"/>
  <c r="AT8" i="21"/>
  <c r="AM8" i="21"/>
  <c r="AN8" i="21" s="1"/>
  <c r="AO8" i="21" s="1"/>
  <c r="AP8" i="21" s="1"/>
  <c r="AR8" i="21" s="1"/>
  <c r="AF8" i="21"/>
  <c r="AE8" i="21"/>
  <c r="AB8" i="21"/>
  <c r="AA8" i="21"/>
  <c r="R8" i="21"/>
  <c r="AX8" i="21" s="1"/>
  <c r="BE8" i="21" s="1"/>
  <c r="E8" i="21"/>
  <c r="AW8" i="21" s="1"/>
  <c r="BL7" i="21"/>
  <c r="BK7" i="21"/>
  <c r="BJ7" i="21"/>
  <c r="AV7" i="21"/>
  <c r="AU7" i="21"/>
  <c r="AT7" i="21"/>
  <c r="AM7" i="21"/>
  <c r="AN7" i="21" s="1"/>
  <c r="AO7" i="21" s="1"/>
  <c r="AP7" i="21" s="1"/>
  <c r="AR7" i="21" s="1"/>
  <c r="AF7" i="21"/>
  <c r="AE7" i="21"/>
  <c r="AB7" i="21"/>
  <c r="AA7" i="21"/>
  <c r="R7" i="21"/>
  <c r="AX7" i="21" s="1"/>
  <c r="BE7" i="21" s="1"/>
  <c r="E7" i="21"/>
  <c r="AW7" i="21" s="1"/>
  <c r="BL6" i="21"/>
  <c r="BK6" i="21"/>
  <c r="BJ6" i="21"/>
  <c r="AV6" i="21"/>
  <c r="AU6" i="21"/>
  <c r="AT6" i="21"/>
  <c r="AM6" i="21"/>
  <c r="AN6" i="21" s="1"/>
  <c r="AO6" i="21" s="1"/>
  <c r="AP6" i="21" s="1"/>
  <c r="AR6" i="21" s="1"/>
  <c r="AF6" i="21"/>
  <c r="AE6" i="21"/>
  <c r="AB6" i="21"/>
  <c r="AA6" i="21"/>
  <c r="R6" i="21"/>
  <c r="AX6" i="21" s="1"/>
  <c r="BE6" i="21" s="1"/>
  <c r="E6" i="21"/>
  <c r="AW6" i="21" s="1"/>
  <c r="BL5" i="21"/>
  <c r="BK5" i="21"/>
  <c r="BJ5" i="21"/>
  <c r="AV5" i="21"/>
  <c r="AU5" i="21"/>
  <c r="AT5" i="21"/>
  <c r="AM5" i="21"/>
  <c r="AN5" i="21" s="1"/>
  <c r="AO5" i="21" s="1"/>
  <c r="AP5" i="21" s="1"/>
  <c r="AR5" i="21" s="1"/>
  <c r="AF5" i="21"/>
  <c r="AE5" i="21"/>
  <c r="AB5" i="21"/>
  <c r="AA5" i="21"/>
  <c r="R5" i="21"/>
  <c r="AX5" i="21" s="1"/>
  <c r="BE5" i="21" s="1"/>
  <c r="E5" i="21"/>
  <c r="AW5" i="21" s="1"/>
  <c r="BL4" i="21"/>
  <c r="BK4" i="21"/>
  <c r="BJ4" i="21"/>
  <c r="AX4" i="21"/>
  <c r="AW4" i="21"/>
  <c r="AV4" i="21"/>
  <c r="AU4" i="21"/>
  <c r="AT4" i="21"/>
  <c r="Y10" i="28"/>
  <c r="AD9" i="28"/>
  <c r="AN9" i="28" s="1"/>
  <c r="AC9" i="28"/>
  <c r="AM9" i="28" s="1"/>
  <c r="AB9" i="28"/>
  <c r="AL9" i="28" s="1"/>
  <c r="U9" i="28"/>
  <c r="V9" i="28" s="1"/>
  <c r="W9" i="28" s="1"/>
  <c r="X9" i="28" s="1"/>
  <c r="Z9" i="28" s="1"/>
  <c r="N9" i="28"/>
  <c r="M9" i="28"/>
  <c r="L9" i="28"/>
  <c r="G9" i="28"/>
  <c r="AD8" i="28"/>
  <c r="AN8" i="28" s="1"/>
  <c r="AC8" i="28"/>
  <c r="AM8" i="28" s="1"/>
  <c r="AB8" i="28"/>
  <c r="AL8" i="28" s="1"/>
  <c r="U8" i="28"/>
  <c r="V8" i="28" s="1"/>
  <c r="W8" i="28" s="1"/>
  <c r="X8" i="28" s="1"/>
  <c r="Z8" i="28" s="1"/>
  <c r="N8" i="28"/>
  <c r="M8" i="28"/>
  <c r="L8" i="28"/>
  <c r="G8" i="28"/>
  <c r="AD7" i="28"/>
  <c r="AN7" i="28" s="1"/>
  <c r="AC7" i="28"/>
  <c r="AM7" i="28" s="1"/>
  <c r="AB7" i="28"/>
  <c r="AL7" i="28" s="1"/>
  <c r="U7" i="28"/>
  <c r="V7" i="28" s="1"/>
  <c r="W7" i="28" s="1"/>
  <c r="X7" i="28" s="1"/>
  <c r="Z7" i="28" s="1"/>
  <c r="N7" i="28"/>
  <c r="M7" i="28"/>
  <c r="L7" i="28"/>
  <c r="G7" i="28"/>
  <c r="AD6" i="28"/>
  <c r="AN6" i="28" s="1"/>
  <c r="AC6" i="28"/>
  <c r="AM6" i="28" s="1"/>
  <c r="AB6" i="28"/>
  <c r="AL6" i="28" s="1"/>
  <c r="U6" i="28"/>
  <c r="V6" i="28" s="1"/>
  <c r="W6" i="28" s="1"/>
  <c r="X6" i="28" s="1"/>
  <c r="Z6" i="28" s="1"/>
  <c r="N6" i="28"/>
  <c r="M6" i="28"/>
  <c r="L6" i="28"/>
  <c r="G6" i="28"/>
  <c r="AD5" i="28"/>
  <c r="AN5" i="28" s="1"/>
  <c r="AC5" i="28"/>
  <c r="AM5" i="28" s="1"/>
  <c r="AB5" i="28"/>
  <c r="AL5" i="28" s="1"/>
  <c r="U5" i="28"/>
  <c r="V5" i="28" s="1"/>
  <c r="W5" i="28" s="1"/>
  <c r="X5" i="28" s="1"/>
  <c r="Z5" i="28" s="1"/>
  <c r="N5" i="28"/>
  <c r="M5" i="28"/>
  <c r="L5" i="28"/>
  <c r="G5" i="28"/>
  <c r="AD4" i="28"/>
  <c r="AN4" i="28" s="1"/>
  <c r="AC4" i="28"/>
  <c r="AM4" i="28" s="1"/>
  <c r="AB4" i="28"/>
  <c r="AL4" i="28" s="1"/>
  <c r="Y10" i="27"/>
  <c r="AD9" i="27"/>
  <c r="AN9" i="27" s="1"/>
  <c r="AC9" i="27"/>
  <c r="AM9" i="27" s="1"/>
  <c r="AB9" i="27"/>
  <c r="AL9" i="27" s="1"/>
  <c r="U9" i="27"/>
  <c r="V9" i="27" s="1"/>
  <c r="W9" i="27" s="1"/>
  <c r="X9" i="27" s="1"/>
  <c r="Z9" i="27" s="1"/>
  <c r="N9" i="27"/>
  <c r="M9" i="27"/>
  <c r="L9" i="27"/>
  <c r="G9" i="27"/>
  <c r="AD8" i="27"/>
  <c r="AN8" i="27" s="1"/>
  <c r="AC8" i="27"/>
  <c r="AM8" i="27" s="1"/>
  <c r="AB8" i="27"/>
  <c r="AL8" i="27" s="1"/>
  <c r="U8" i="27"/>
  <c r="V8" i="27" s="1"/>
  <c r="W8" i="27" s="1"/>
  <c r="X8" i="27" s="1"/>
  <c r="Z8" i="27" s="1"/>
  <c r="N8" i="27"/>
  <c r="M8" i="27"/>
  <c r="L8" i="27"/>
  <c r="G8" i="27"/>
  <c r="AD7" i="27"/>
  <c r="AN7" i="27" s="1"/>
  <c r="AC7" i="27"/>
  <c r="AM7" i="27" s="1"/>
  <c r="AB7" i="27"/>
  <c r="AL7" i="27" s="1"/>
  <c r="U7" i="27"/>
  <c r="V7" i="27" s="1"/>
  <c r="W7" i="27" s="1"/>
  <c r="X7" i="27" s="1"/>
  <c r="Z7" i="27" s="1"/>
  <c r="N7" i="27"/>
  <c r="M7" i="27"/>
  <c r="L7" i="27"/>
  <c r="G7" i="27"/>
  <c r="AD6" i="27"/>
  <c r="AN6" i="27" s="1"/>
  <c r="AC6" i="27"/>
  <c r="AM6" i="27" s="1"/>
  <c r="AB6" i="27"/>
  <c r="AL6" i="27" s="1"/>
  <c r="U6" i="27"/>
  <c r="V6" i="27" s="1"/>
  <c r="W6" i="27" s="1"/>
  <c r="X6" i="27" s="1"/>
  <c r="Z6" i="27" s="1"/>
  <c r="N6" i="27"/>
  <c r="M6" i="27"/>
  <c r="L6" i="27"/>
  <c r="G6" i="27"/>
  <c r="AD5" i="27"/>
  <c r="AN5" i="27" s="1"/>
  <c r="AC5" i="27"/>
  <c r="AM5" i="27" s="1"/>
  <c r="AB5" i="27"/>
  <c r="AL5" i="27" s="1"/>
  <c r="U5" i="27"/>
  <c r="V5" i="27" s="1"/>
  <c r="W5" i="27" s="1"/>
  <c r="X5" i="27" s="1"/>
  <c r="Z5" i="27" s="1"/>
  <c r="N5" i="27"/>
  <c r="M5" i="27"/>
  <c r="L5" i="27"/>
  <c r="G5" i="27"/>
  <c r="AD4" i="27"/>
  <c r="AN4" i="27" s="1"/>
  <c r="AC4" i="27"/>
  <c r="AM4" i="27" s="1"/>
  <c r="AB4" i="27"/>
  <c r="AL4" i="27" s="1"/>
  <c r="Y10" i="11"/>
  <c r="AD9" i="11"/>
  <c r="AC9" i="11"/>
  <c r="AB9" i="11"/>
  <c r="U9" i="11"/>
  <c r="V9" i="11" s="1"/>
  <c r="W9" i="11" s="1"/>
  <c r="X9" i="11" s="1"/>
  <c r="Z9" i="11" s="1"/>
  <c r="N9" i="11"/>
  <c r="M9" i="11"/>
  <c r="L9" i="11"/>
  <c r="G9" i="11"/>
  <c r="AD8" i="11"/>
  <c r="AC8" i="11"/>
  <c r="AB8" i="11"/>
  <c r="U8" i="11"/>
  <c r="V8" i="11" s="1"/>
  <c r="W8" i="11" s="1"/>
  <c r="X8" i="11" s="1"/>
  <c r="Z8" i="11" s="1"/>
  <c r="N8" i="11"/>
  <c r="M8" i="11"/>
  <c r="L8" i="11"/>
  <c r="G8" i="11"/>
  <c r="AD7" i="11"/>
  <c r="AC7" i="11"/>
  <c r="AB7" i="11"/>
  <c r="U7" i="11"/>
  <c r="V7" i="11" s="1"/>
  <c r="W7" i="11" s="1"/>
  <c r="X7" i="11" s="1"/>
  <c r="Z7" i="11" s="1"/>
  <c r="N7" i="11"/>
  <c r="M7" i="11"/>
  <c r="L7" i="11"/>
  <c r="G7" i="11"/>
  <c r="AD6" i="11"/>
  <c r="AC6" i="11"/>
  <c r="AB6" i="11"/>
  <c r="U6" i="11"/>
  <c r="V6" i="11" s="1"/>
  <c r="W6" i="11" s="1"/>
  <c r="X6" i="11" s="1"/>
  <c r="Z6" i="11" s="1"/>
  <c r="N6" i="11"/>
  <c r="M6" i="11"/>
  <c r="L6" i="11"/>
  <c r="G6" i="11"/>
  <c r="AD5" i="11"/>
  <c r="AC5" i="11"/>
  <c r="AB5" i="11"/>
  <c r="U5" i="11"/>
  <c r="V5" i="11" s="1"/>
  <c r="W5" i="11" s="1"/>
  <c r="X5" i="11" s="1"/>
  <c r="Z5" i="11" s="1"/>
  <c r="N5" i="11"/>
  <c r="M5" i="11"/>
  <c r="L5" i="11"/>
  <c r="G5" i="11"/>
  <c r="AD4" i="11"/>
  <c r="AC4" i="11"/>
  <c r="AB4" i="11"/>
  <c r="AF5" i="22" l="1"/>
  <c r="AG5" i="22" s="1"/>
  <c r="AH5" i="22" s="1"/>
  <c r="AJ5" i="22" s="1"/>
  <c r="AF7" i="22"/>
  <c r="AG7" i="22" s="1"/>
  <c r="AH7" i="22" s="1"/>
  <c r="AJ7" i="22" s="1"/>
  <c r="AG6" i="22"/>
  <c r="AH6" i="22" s="1"/>
  <c r="AJ6" i="22" s="1"/>
  <c r="AF6" i="22"/>
  <c r="AF9" i="22"/>
  <c r="AG9" i="22" s="1"/>
  <c r="AH9" i="22" s="1"/>
  <c r="AJ9" i="22" s="1"/>
  <c r="AF8" i="22"/>
  <c r="AG8" i="22" s="1"/>
  <c r="AH8" i="22" s="1"/>
  <c r="AJ8" i="22" s="1"/>
  <c r="CG19" i="45"/>
  <c r="CG16" i="45"/>
  <c r="BN31" i="45"/>
  <c r="CG12" i="45"/>
  <c r="BM13" i="45"/>
  <c r="BM18" i="45"/>
  <c r="BM10" i="45"/>
  <c r="CG17" i="45"/>
  <c r="CF21" i="45"/>
  <c r="BN33" i="45"/>
  <c r="CG31" i="45"/>
  <c r="CG24" i="45"/>
  <c r="BN12" i="45"/>
  <c r="BM17" i="45"/>
  <c r="BN29" i="45"/>
  <c r="CG11" i="45"/>
  <c r="BM34" i="45"/>
  <c r="CF9" i="45"/>
  <c r="CF32" i="45"/>
  <c r="CG37" i="45"/>
  <c r="BM11" i="45"/>
  <c r="BM16" i="45"/>
  <c r="BM32" i="45"/>
  <c r="BN37" i="45"/>
  <c r="CG10" i="45"/>
  <c r="CF15" i="45"/>
  <c r="CG22" i="45"/>
  <c r="CF30" i="45"/>
  <c r="CG35" i="45"/>
  <c r="BM9" i="45"/>
  <c r="BM14" i="45"/>
  <c r="BM30" i="45"/>
  <c r="BM35" i="45"/>
  <c r="CF13" i="45"/>
  <c r="CG20" i="45"/>
  <c r="CF25" i="45"/>
  <c r="BM19" i="45"/>
  <c r="CG18" i="45"/>
  <c r="CF23" i="45"/>
  <c r="CG33" i="45"/>
  <c r="CF36" i="45"/>
  <c r="BM15" i="45"/>
  <c r="BM36" i="45"/>
  <c r="CG14" i="45"/>
  <c r="CG29" i="45"/>
  <c r="CF34" i="45"/>
  <c r="AJ10" i="31"/>
  <c r="H17" i="26" s="1"/>
  <c r="Z10" i="28"/>
  <c r="H5" i="26" s="1"/>
  <c r="U10" i="12"/>
  <c r="H19" i="26" s="1"/>
  <c r="H11" i="26"/>
  <c r="AG10" i="34"/>
  <c r="H20" i="26" s="1"/>
  <c r="AO10" i="14"/>
  <c r="H7" i="26" s="1"/>
  <c r="Z10" i="27"/>
  <c r="H4" i="26" s="1"/>
  <c r="AR10" i="21"/>
  <c r="H6" i="26" s="1"/>
  <c r="AK10" i="15"/>
  <c r="H15" i="26" s="1"/>
  <c r="Z10" i="11"/>
  <c r="H3" i="26" s="1"/>
  <c r="V10" i="29"/>
  <c r="H9" i="26" s="1"/>
  <c r="V10" i="32"/>
  <c r="H10" i="26" s="1"/>
  <c r="AE10" i="18"/>
  <c r="H18" i="26" s="1"/>
  <c r="AG10" i="35"/>
  <c r="H21" i="26" s="1"/>
  <c r="AK10" i="30"/>
  <c r="H16" i="26" s="1"/>
  <c r="AO11" i="17"/>
  <c r="H14" i="26" s="1"/>
  <c r="AG10" i="36"/>
  <c r="H22" i="26" s="1"/>
  <c r="AO10" i="33"/>
  <c r="H12" i="26" s="1"/>
  <c r="AR11" i="4"/>
  <c r="H13" i="26" s="1"/>
  <c r="AJ10" i="22" l="1"/>
  <c r="H8" i="26" s="1"/>
  <c r="H26" i="26" s="1"/>
  <c r="H29" i="26" s="1"/>
  <c r="H30" i="26" s="1"/>
  <c r="H31" i="26" s="1"/>
</calcChain>
</file>

<file path=xl/sharedStrings.xml><?xml version="1.0" encoding="utf-8"?>
<sst xmlns="http://schemas.openxmlformats.org/spreadsheetml/2006/main" count="18160" uniqueCount="3827">
  <si>
    <t>Model</t>
  </si>
  <si>
    <t>AHU $</t>
  </si>
  <si>
    <t>No.</t>
  </si>
  <si>
    <t>Ref.</t>
  </si>
  <si>
    <t>EH $</t>
  </si>
  <si>
    <t>QTY</t>
  </si>
  <si>
    <t>Sections</t>
  </si>
  <si>
    <t>PPH option $</t>
  </si>
  <si>
    <t>Total</t>
  </si>
  <si>
    <t>Type</t>
  </si>
  <si>
    <t>CM $</t>
  </si>
  <si>
    <t>*3.75 Convert S.R</t>
  </si>
  <si>
    <t xml:space="preserve">Unit *6% fan </t>
  </si>
  <si>
    <t>DSP $</t>
  </si>
  <si>
    <t>Row/fins</t>
  </si>
  <si>
    <t>*1.25 Margin</t>
  </si>
  <si>
    <t>Power</t>
  </si>
  <si>
    <t>Required</t>
  </si>
  <si>
    <t>Supply 
L/s</t>
  </si>
  <si>
    <t>On Coil
DBT C</t>
  </si>
  <si>
    <t>On Coil
WBT C</t>
  </si>
  <si>
    <t>Proposed</t>
  </si>
  <si>
    <t>Total Capacity
(Kw)</t>
  </si>
  <si>
    <t>Electrical Heater</t>
  </si>
  <si>
    <t>Price</t>
  </si>
  <si>
    <t>Extra Rows</t>
  </si>
  <si>
    <t xml:space="preserve">Sum $ </t>
  </si>
  <si>
    <t>Basic Price</t>
  </si>
  <si>
    <t>ESP
 Pa</t>
  </si>
  <si>
    <t>MB</t>
  </si>
  <si>
    <t>FF</t>
  </si>
  <si>
    <t>ID</t>
  </si>
  <si>
    <t>BF</t>
  </si>
  <si>
    <t>CC</t>
  </si>
  <si>
    <t>Safty</t>
  </si>
  <si>
    <t>Steam Humi.
Kg/hr</t>
  </si>
  <si>
    <t>Fan</t>
  </si>
  <si>
    <t>Motor</t>
  </si>
  <si>
    <t>MDS</t>
  </si>
  <si>
    <t>MCA</t>
  </si>
  <si>
    <t>MOP</t>
  </si>
  <si>
    <t>T-PWR</t>
  </si>
  <si>
    <t>Electrical Data</t>
  </si>
  <si>
    <t>Total Pressur Drop (Fan Selection)</t>
  </si>
  <si>
    <t>Project Notes (Specification, comments, Email &amp; Important changes)</t>
  </si>
  <si>
    <t>No</t>
  </si>
  <si>
    <t>Revision</t>
  </si>
  <si>
    <t>Note</t>
  </si>
  <si>
    <t>PPH Options</t>
  </si>
  <si>
    <t>AHU</t>
  </si>
  <si>
    <t>*0.68</t>
  </si>
  <si>
    <t>DSP Options</t>
  </si>
  <si>
    <t>DSP option $</t>
  </si>
  <si>
    <t>AHU option $</t>
  </si>
  <si>
    <t>CM option $</t>
  </si>
  <si>
    <t>PASC option $</t>
  </si>
  <si>
    <t>PASC $</t>
  </si>
  <si>
    <t>DSP</t>
  </si>
  <si>
    <t>CM</t>
  </si>
  <si>
    <t>CM Options</t>
  </si>
  <si>
    <t>AHU Options</t>
  </si>
  <si>
    <t>PASC Options</t>
  </si>
  <si>
    <t>EWT
C</t>
  </si>
  <si>
    <t>LWT
C</t>
  </si>
  <si>
    <t>FCU option $</t>
  </si>
  <si>
    <t>Water Flow Rate [L/s]</t>
  </si>
  <si>
    <t>Total Capacity
(TON)</t>
  </si>
  <si>
    <t>Chiller option $</t>
  </si>
  <si>
    <t>APSa $</t>
  </si>
  <si>
    <t>Wire Mesh</t>
  </si>
  <si>
    <t>FCU Options</t>
  </si>
  <si>
    <t>Note Details</t>
  </si>
  <si>
    <t>Cal.Cap.
(TON)</t>
  </si>
  <si>
    <t>PDU Options</t>
  </si>
  <si>
    <t>Basic Price S.R</t>
  </si>
  <si>
    <t>*1.00 Margin</t>
  </si>
  <si>
    <t>PDU  option S.R</t>
  </si>
  <si>
    <t>PSU Options</t>
  </si>
  <si>
    <t>PSU  option S.R</t>
  </si>
  <si>
    <t>*0.68 AHU $</t>
  </si>
  <si>
    <t>Project Note</t>
  </si>
  <si>
    <t>Supply Flow Rate
 CFM</t>
  </si>
  <si>
    <t>EWT
F</t>
  </si>
  <si>
    <t>LWT
F</t>
  </si>
  <si>
    <t>On Coil
DBT F</t>
  </si>
  <si>
    <t>On Coil
WBT F</t>
  </si>
  <si>
    <t>Total Capacity
(BTUH)</t>
  </si>
  <si>
    <t>Cal.Cap.
(BTUH)</t>
  </si>
  <si>
    <t>Project Summary</t>
  </si>
  <si>
    <t>APSa</t>
  </si>
  <si>
    <t>FCU</t>
  </si>
  <si>
    <t>PPH</t>
  </si>
  <si>
    <t>AHU + DSP</t>
  </si>
  <si>
    <t>CM + DSP</t>
  </si>
  <si>
    <t>PASC</t>
  </si>
  <si>
    <t>PDU</t>
  </si>
  <si>
    <t>PSU</t>
  </si>
  <si>
    <t>Total Price</t>
  </si>
  <si>
    <t>Unit</t>
  </si>
  <si>
    <t>15% VAT</t>
  </si>
  <si>
    <t>Grand Total</t>
  </si>
  <si>
    <t>PSC</t>
  </si>
  <si>
    <t>RWC</t>
  </si>
  <si>
    <t>Project Equipments</t>
  </si>
  <si>
    <t>Air Cooled Chiller</t>
  </si>
  <si>
    <t>Chilled Water Units</t>
  </si>
  <si>
    <t>DX Units</t>
  </si>
  <si>
    <t>Other Sheets</t>
  </si>
  <si>
    <t>Filtration Units</t>
  </si>
  <si>
    <t>Ecology</t>
  </si>
  <si>
    <t>Chemical Filtration</t>
  </si>
  <si>
    <t>PWM</t>
  </si>
  <si>
    <t>PASC WM</t>
  </si>
  <si>
    <t>CRAH</t>
  </si>
  <si>
    <t>Line</t>
  </si>
  <si>
    <t>SortNumber</t>
  </si>
  <si>
    <t>Part</t>
  </si>
  <si>
    <t>Description</t>
  </si>
  <si>
    <t>Group</t>
  </si>
  <si>
    <t>Reference</t>
  </si>
  <si>
    <t>Order Quantity</t>
  </si>
  <si>
    <t>Expected Quantity</t>
  </si>
  <si>
    <t>UOM</t>
  </si>
  <si>
    <t>Unit Price</t>
  </si>
  <si>
    <t>Sections Groups</t>
  </si>
  <si>
    <t>Installation Type</t>
  </si>
  <si>
    <t>Air Flow CFM</t>
  </si>
  <si>
    <t>TPI KW</t>
  </si>
  <si>
    <t>ESP inwg</t>
  </si>
  <si>
    <t>Rows Fins</t>
  </si>
  <si>
    <t>Filter Type</t>
  </si>
  <si>
    <t>Line Type</t>
  </si>
  <si>
    <t>CoolingCapTRUOM</t>
  </si>
  <si>
    <t>Contract</t>
  </si>
  <si>
    <t>Renewal</t>
  </si>
  <si>
    <t>Rev</t>
  </si>
  <si>
    <t>Draw</t>
  </si>
  <si>
    <t>Customer Part</t>
  </si>
  <si>
    <t>Doc Discount</t>
  </si>
  <si>
    <t>PO Line</t>
  </si>
  <si>
    <t>Discount %</t>
  </si>
  <si>
    <t>Doc Unit Price</t>
  </si>
  <si>
    <t>RFQCurrBaseEst</t>
  </si>
  <si>
    <t>RFQTemplate</t>
  </si>
  <si>
    <t>Rating</t>
  </si>
  <si>
    <t>Project ID</t>
  </si>
  <si>
    <t>Machine MES</t>
  </si>
  <si>
    <t>Make Direct</t>
  </si>
  <si>
    <t>Project Phase</t>
  </si>
  <si>
    <t>Discount</t>
  </si>
  <si>
    <t>Exp. Revenue</t>
  </si>
  <si>
    <t>Doc. Exp. Revenue</t>
  </si>
  <si>
    <t>Best Case Revenue</t>
  </si>
  <si>
    <t>Doc. Best Case Revenue</t>
  </si>
  <si>
    <t>Worst Case Revenue</t>
  </si>
  <si>
    <t>Doc. Worst Case Revenue</t>
  </si>
  <si>
    <t>List Price</t>
  </si>
  <si>
    <t>Doc List Price</t>
  </si>
  <si>
    <t>Order Based Price</t>
  </si>
  <si>
    <t>Doc Order Based Price</t>
  </si>
  <si>
    <t>Customer Ext. Price</t>
  </si>
  <si>
    <t>Contract Code</t>
  </si>
  <si>
    <t>Update Required</t>
  </si>
  <si>
    <t>Code</t>
  </si>
  <si>
    <t>Use Quote as BOM</t>
  </si>
  <si>
    <t>DiscListPrice</t>
  </si>
  <si>
    <t>Demand Contract Number</t>
  </si>
  <si>
    <t>OverrideDiscPriceList</t>
  </si>
  <si>
    <t>Demand Contract Line</t>
  </si>
  <si>
    <t>ECC Quote Number</t>
  </si>
  <si>
    <t>ECC Quote Line</t>
  </si>
  <si>
    <t>Demand Head Sequence</t>
  </si>
  <si>
    <t>ECC Comment Reference Number</t>
  </si>
  <si>
    <t>PCLinkRemoved</t>
  </si>
  <si>
    <t>Tax Liability</t>
  </si>
  <si>
    <t>Demand Detail Sequence</t>
  </si>
  <si>
    <t>Tax</t>
  </si>
  <si>
    <t>ECCComment</t>
  </si>
  <si>
    <t>Contract ID</t>
  </si>
  <si>
    <t>Tax Connect Calculated</t>
  </si>
  <si>
    <t>Entity Use Code</t>
  </si>
  <si>
    <t>No Tax Recalculation</t>
  </si>
  <si>
    <t>PO</t>
  </si>
  <si>
    <t>Total Self Assessment Tax Amount</t>
  </si>
  <si>
    <t>Configuration Type</t>
  </si>
  <si>
    <t>End Customer Price</t>
  </si>
  <si>
    <t>Doc End Customer Price</t>
  </si>
  <si>
    <t>Rpt End Customer Price</t>
  </si>
  <si>
    <t>Rpt Promotional Price</t>
  </si>
  <si>
    <t>Lock Price</t>
  </si>
  <si>
    <t>Enable Dynamics Attributes</t>
  </si>
  <si>
    <t>Void</t>
  </si>
  <si>
    <t>Has CreditMemo</t>
  </si>
  <si>
    <t>Price Per</t>
  </si>
  <si>
    <t>Concurrency</t>
  </si>
  <si>
    <t>Date Quoted</t>
  </si>
  <si>
    <t>Expires</t>
  </si>
  <si>
    <t>Conclusion</t>
  </si>
  <si>
    <t>Doc Total Price</t>
  </si>
  <si>
    <t>Send Credit</t>
  </si>
  <si>
    <t>Total Quote</t>
  </si>
  <si>
    <t>In Price</t>
  </si>
  <si>
    <t>Tax Connect Calc</t>
  </si>
  <si>
    <t>Operating Conditions</t>
  </si>
  <si>
    <t>Standard Specifications</t>
  </si>
  <si>
    <t>Accessories</t>
  </si>
  <si>
    <t>Item Exclusions</t>
  </si>
  <si>
    <t>Options ExtraPrice</t>
  </si>
  <si>
    <t>AirFlowCFMUOM</t>
  </si>
  <si>
    <t>ESPinwgUOM</t>
  </si>
  <si>
    <t>Section Included</t>
  </si>
  <si>
    <t>SpareParts</t>
  </si>
  <si>
    <t>Autofill</t>
  </si>
  <si>
    <t>ProdCode</t>
  </si>
  <si>
    <t>SORT AUTOMATICLLY</t>
  </si>
  <si>
    <t>PG0002</t>
  </si>
  <si>
    <t>Air Cooled Chillers (APSa)</t>
  </si>
  <si>
    <t>PG0003</t>
  </si>
  <si>
    <t>Air Cooled Chillers (PSC)</t>
  </si>
  <si>
    <t>PG0004</t>
  </si>
  <si>
    <t>Air Cooled Chillers (RWC)</t>
  </si>
  <si>
    <t>PG0005</t>
  </si>
  <si>
    <t>Water Cooled Chillers (WPSa)</t>
  </si>
  <si>
    <t>PG0006</t>
  </si>
  <si>
    <t>Water Cooled Chillers (WRWC)</t>
  </si>
  <si>
    <t>PG0007</t>
  </si>
  <si>
    <t>AIR HANDLING UNITS.</t>
  </si>
  <si>
    <t>PG0008</t>
  </si>
  <si>
    <t>AIR HANDLING UNITS  A</t>
  </si>
  <si>
    <t>PG0009</t>
  </si>
  <si>
    <t>AIR HANDLING UNITS  B</t>
  </si>
  <si>
    <t>PG0011</t>
  </si>
  <si>
    <t>COMFORT MAKER CM.</t>
  </si>
  <si>
    <t>PG0012</t>
  </si>
  <si>
    <t>FAN COILS UNITS.</t>
  </si>
  <si>
    <t>PG0013</t>
  </si>
  <si>
    <t>PACKAGE UNITS.</t>
  </si>
  <si>
    <t>PG0014</t>
  </si>
  <si>
    <t>CONDENSING UNIT.</t>
  </si>
  <si>
    <t>PG0015</t>
  </si>
  <si>
    <t>DUCTED SPLIT.</t>
  </si>
  <si>
    <t>PG0016</t>
  </si>
  <si>
    <t>COMPUTER ROOM.</t>
  </si>
  <si>
    <t>PG0017</t>
  </si>
  <si>
    <t>PASC CM units.</t>
  </si>
  <si>
    <t>PG0018</t>
  </si>
  <si>
    <t>DRY COOLER.</t>
  </si>
  <si>
    <t>PG0019</t>
  </si>
  <si>
    <t>WATER SOURCE UNITS.</t>
  </si>
  <si>
    <t>PG0033</t>
  </si>
  <si>
    <t>PEXS units</t>
  </si>
  <si>
    <t>PG0036</t>
  </si>
  <si>
    <t>Installation</t>
  </si>
  <si>
    <t>APSA Unit Specs</t>
  </si>
  <si>
    <r>
      <t>·</t>
    </r>
    <r>
      <rPr>
        <sz val="7"/>
        <color theme="1"/>
        <rFont val="Times New Roman"/>
        <family val="1"/>
      </rPr>
      <t xml:space="preserve">         </t>
    </r>
    <r>
      <rPr>
        <b/>
        <u/>
        <sz val="11"/>
        <color theme="1"/>
        <rFont val="Arial Narrow"/>
        <family val="2"/>
      </rPr>
      <t>Selection Parameters</t>
    </r>
  </si>
  <si>
    <r>
      <t>·</t>
    </r>
    <r>
      <rPr>
        <sz val="7"/>
        <color theme="1"/>
        <rFont val="Times New Roman"/>
        <family val="1"/>
      </rPr>
      <t xml:space="preserve">         </t>
    </r>
    <r>
      <rPr>
        <sz val="11"/>
        <color theme="1"/>
        <rFont val="Arial Narrow"/>
        <family val="2"/>
      </rPr>
      <t>Phase failure relay</t>
    </r>
  </si>
  <si>
    <r>
      <t>·</t>
    </r>
    <r>
      <rPr>
        <sz val="7"/>
        <color theme="1"/>
        <rFont val="Times New Roman"/>
        <family val="1"/>
      </rPr>
      <t xml:space="preserve">         </t>
    </r>
    <r>
      <rPr>
        <sz val="11"/>
        <color theme="1"/>
        <rFont val="Arial Narrow"/>
        <family val="2"/>
      </rPr>
      <t>Control circuit breaker</t>
    </r>
  </si>
  <si>
    <r>
      <t>·</t>
    </r>
    <r>
      <rPr>
        <sz val="7"/>
        <color theme="1"/>
        <rFont val="Times New Roman"/>
        <family val="1"/>
      </rPr>
      <t xml:space="preserve">         </t>
    </r>
    <r>
      <rPr>
        <sz val="11"/>
        <color theme="1"/>
        <rFont val="Arial Narrow"/>
        <family val="2"/>
      </rPr>
      <t>For more technical details, please refer to our catalogue</t>
    </r>
  </si>
  <si>
    <t>PSC Unit Specs</t>
  </si>
  <si>
    <t xml:space="preserve">Selection Parameters: </t>
  </si>
  <si>
    <r>
      <t>·</t>
    </r>
    <r>
      <rPr>
        <sz val="7"/>
        <color theme="1"/>
        <rFont val="Times New Roman"/>
        <family val="1"/>
      </rPr>
      <t xml:space="preserve">         </t>
    </r>
    <r>
      <rPr>
        <sz val="11"/>
        <color theme="1"/>
        <rFont val="Arial Narrow"/>
        <family val="2"/>
      </rPr>
      <t xml:space="preserve">Units were selected at </t>
    </r>
    <r>
      <rPr>
        <b/>
        <sz val="11"/>
        <color theme="1"/>
        <rFont val="Arial Narrow"/>
        <family val="2"/>
      </rPr>
      <t>55°F / 45°F</t>
    </r>
    <r>
      <rPr>
        <sz val="11"/>
        <color theme="1"/>
        <rFont val="Arial Narrow"/>
        <family val="2"/>
      </rPr>
      <t xml:space="preserve"> entering / leaving water temperature.</t>
    </r>
  </si>
  <si>
    <t xml:space="preserve">Unit Specifications: </t>
  </si>
  <si>
    <r>
      <t>·</t>
    </r>
    <r>
      <rPr>
        <sz val="7"/>
        <color theme="1"/>
        <rFont val="Times New Roman"/>
        <family val="1"/>
      </rPr>
      <t xml:space="preserve">         </t>
    </r>
    <r>
      <rPr>
        <sz val="11"/>
        <color theme="1"/>
        <rFont val="Arial Narrow"/>
        <family val="2"/>
      </rPr>
      <t xml:space="preserve">Rubber pads as vibration isolators under the compressors  </t>
    </r>
  </si>
  <si>
    <r>
      <t>·</t>
    </r>
    <r>
      <rPr>
        <sz val="7"/>
        <color theme="1"/>
        <rFont val="Times New Roman"/>
        <family val="1"/>
      </rPr>
      <t xml:space="preserve">         </t>
    </r>
    <r>
      <rPr>
        <sz val="11"/>
        <color theme="1"/>
        <rFont val="Arial Narrow"/>
        <family val="2"/>
      </rPr>
      <t>Circuit breaker for each compressor.</t>
    </r>
  </si>
  <si>
    <r>
      <t>·</t>
    </r>
    <r>
      <rPr>
        <sz val="7"/>
        <color theme="1"/>
        <rFont val="Times New Roman"/>
        <family val="1"/>
      </rPr>
      <t xml:space="preserve">         </t>
    </r>
    <r>
      <rPr>
        <sz val="11"/>
        <color theme="1"/>
        <rFont val="Arial Narrow"/>
        <family val="2"/>
      </rPr>
      <t>Propeller direct drive condenser fans.</t>
    </r>
  </si>
  <si>
    <r>
      <t>·</t>
    </r>
    <r>
      <rPr>
        <sz val="7"/>
        <color theme="1"/>
        <rFont val="Times New Roman"/>
        <family val="1"/>
      </rPr>
      <t xml:space="preserve">         </t>
    </r>
    <r>
      <rPr>
        <sz val="11"/>
        <color theme="1"/>
        <rFont val="Arial Narrow"/>
        <family val="2"/>
      </rPr>
      <t>Full microprocessor controller.</t>
    </r>
  </si>
  <si>
    <r>
      <t>·</t>
    </r>
    <r>
      <rPr>
        <sz val="7"/>
        <color theme="1"/>
        <rFont val="Times New Roman"/>
        <family val="1"/>
      </rPr>
      <t xml:space="preserve">         </t>
    </r>
    <r>
      <rPr>
        <sz val="11"/>
        <color theme="1"/>
        <rFont val="Arial Narrow"/>
        <family val="2"/>
      </rPr>
      <t>Control circuit breaker.</t>
    </r>
  </si>
  <si>
    <r>
      <t>·</t>
    </r>
    <r>
      <rPr>
        <sz val="7"/>
        <color theme="1"/>
        <rFont val="Times New Roman"/>
        <family val="1"/>
      </rPr>
      <t xml:space="preserve">         </t>
    </r>
    <r>
      <rPr>
        <sz val="11"/>
        <color theme="1"/>
        <rFont val="Arial Narrow"/>
        <family val="2"/>
      </rPr>
      <t>Phase failure relay.</t>
    </r>
  </si>
  <si>
    <r>
      <t>·</t>
    </r>
    <r>
      <rPr>
        <sz val="7"/>
        <color theme="1"/>
        <rFont val="Times New Roman"/>
        <family val="1"/>
      </rPr>
      <t xml:space="preserve">         </t>
    </r>
    <r>
      <rPr>
        <sz val="11"/>
        <color theme="1"/>
        <rFont val="Arial Narrow"/>
        <family val="2"/>
      </rPr>
      <t>Liquid line solenoid &amp; shutoff valves.</t>
    </r>
  </si>
  <si>
    <r>
      <t>·</t>
    </r>
    <r>
      <rPr>
        <sz val="7"/>
        <color theme="1"/>
        <rFont val="Times New Roman"/>
        <family val="1"/>
      </rPr>
      <t xml:space="preserve">         </t>
    </r>
    <r>
      <rPr>
        <sz val="11"/>
        <color theme="1"/>
        <rFont val="Arial Narrow"/>
        <family val="2"/>
      </rPr>
      <t>Moister indicator sight glass.</t>
    </r>
  </si>
  <si>
    <r>
      <t>·</t>
    </r>
    <r>
      <rPr>
        <sz val="7"/>
        <color theme="1"/>
        <rFont val="Times New Roman"/>
        <family val="1"/>
      </rPr>
      <t xml:space="preserve">         </t>
    </r>
    <r>
      <rPr>
        <sz val="11"/>
        <color theme="1"/>
        <rFont val="Arial Narrow"/>
        <family val="2"/>
      </rPr>
      <t>Disposable filter drier.</t>
    </r>
  </si>
  <si>
    <r>
      <t>·</t>
    </r>
    <r>
      <rPr>
        <sz val="7"/>
        <color theme="1"/>
        <rFont val="Times New Roman"/>
        <family val="1"/>
      </rPr>
      <t xml:space="preserve">         </t>
    </r>
    <r>
      <rPr>
        <sz val="11"/>
        <color theme="1"/>
        <rFont val="Arial Narrow"/>
        <family val="2"/>
      </rPr>
      <t>High / low pressure switches.</t>
    </r>
  </si>
  <si>
    <r>
      <t>·</t>
    </r>
    <r>
      <rPr>
        <sz val="7"/>
        <color theme="1"/>
        <rFont val="Times New Roman"/>
        <family val="1"/>
      </rPr>
      <t xml:space="preserve">         </t>
    </r>
    <r>
      <rPr>
        <sz val="11"/>
        <color theme="1"/>
        <rFont val="Arial Narrow"/>
        <family val="2"/>
      </rPr>
      <t>Shell &amp; tube cooler with thermostatic expansion valves &amp; 19mm rubber foam insulation.</t>
    </r>
  </si>
  <si>
    <r>
      <t>·</t>
    </r>
    <r>
      <rPr>
        <sz val="7"/>
        <color theme="1"/>
        <rFont val="Times New Roman"/>
        <family val="1"/>
      </rPr>
      <t xml:space="preserve">         </t>
    </r>
    <r>
      <rPr>
        <sz val="11"/>
        <color theme="1"/>
        <rFont val="Arial Narrow"/>
        <family val="2"/>
      </rPr>
      <t xml:space="preserve">Units are suitable for </t>
    </r>
    <r>
      <rPr>
        <b/>
        <u/>
        <sz val="11"/>
        <color theme="1"/>
        <rFont val="Arial Narrow"/>
        <family val="2"/>
      </rPr>
      <t>380V/3Ph/60Hz</t>
    </r>
    <r>
      <rPr>
        <sz val="11"/>
        <color theme="1"/>
        <rFont val="Arial Narrow"/>
        <family val="2"/>
      </rPr>
      <t xml:space="preserve"> power supply.</t>
    </r>
  </si>
  <si>
    <t>RWC Unit Specs</t>
  </si>
  <si>
    <r>
      <t>·</t>
    </r>
    <r>
      <rPr>
        <sz val="7"/>
        <color theme="1"/>
        <rFont val="Times New Roman"/>
        <family val="1"/>
      </rPr>
      <t xml:space="preserve">         </t>
    </r>
    <r>
      <rPr>
        <sz val="11"/>
        <color theme="1"/>
        <rFont val="Arial Narrow"/>
        <family val="2"/>
      </rPr>
      <t xml:space="preserve">Hermetic compressors running on </t>
    </r>
    <r>
      <rPr>
        <b/>
        <sz val="11"/>
        <color theme="1"/>
        <rFont val="Arial Narrow"/>
        <family val="2"/>
      </rPr>
      <t xml:space="preserve">R-407C / R-410a </t>
    </r>
    <r>
      <rPr>
        <sz val="11"/>
        <color theme="1"/>
        <rFont val="Arial Narrow"/>
        <family val="2"/>
      </rPr>
      <t>refrigerant</t>
    </r>
    <r>
      <rPr>
        <b/>
        <sz val="11"/>
        <color theme="1"/>
        <rFont val="Arial Narrow"/>
        <family val="2"/>
      </rPr>
      <t xml:space="preserve">. </t>
    </r>
  </si>
  <si>
    <r>
      <t>·</t>
    </r>
    <r>
      <rPr>
        <sz val="7"/>
        <color theme="1"/>
        <rFont val="Times New Roman"/>
        <family val="1"/>
      </rPr>
      <t xml:space="preserve">         </t>
    </r>
    <r>
      <rPr>
        <sz val="11"/>
        <color theme="1"/>
        <rFont val="Arial Narrow"/>
        <family val="2"/>
      </rPr>
      <t xml:space="preserve">Rubber pads as vibration isolators under the compressors.  </t>
    </r>
  </si>
  <si>
    <r>
      <t>·</t>
    </r>
    <r>
      <rPr>
        <sz val="7"/>
        <color theme="1"/>
        <rFont val="Times New Roman"/>
        <family val="1"/>
      </rPr>
      <t xml:space="preserve">         </t>
    </r>
    <r>
      <rPr>
        <sz val="11"/>
        <color theme="1"/>
        <rFont val="Arial Narrow"/>
        <family val="2"/>
      </rPr>
      <t xml:space="preserve">High efficiency condenser coils. </t>
    </r>
  </si>
  <si>
    <r>
      <t>·</t>
    </r>
    <r>
      <rPr>
        <sz val="7"/>
        <color theme="1"/>
        <rFont val="Times New Roman"/>
        <family val="1"/>
      </rPr>
      <t xml:space="preserve">         </t>
    </r>
    <r>
      <rPr>
        <sz val="11"/>
        <color theme="1"/>
        <rFont val="Arial Narrow"/>
        <family val="2"/>
      </rPr>
      <t>Mesh Guard around chiller perimeters.</t>
    </r>
  </si>
  <si>
    <r>
      <t>·</t>
    </r>
    <r>
      <rPr>
        <sz val="7"/>
        <color theme="1"/>
        <rFont val="Times New Roman"/>
        <family val="1"/>
      </rPr>
      <t xml:space="preserve">         </t>
    </r>
    <r>
      <rPr>
        <sz val="11"/>
        <color theme="1"/>
        <rFont val="Arial Narrow"/>
        <family val="2"/>
      </rPr>
      <t>High / Low pressure switches.</t>
    </r>
  </si>
  <si>
    <r>
      <t>·</t>
    </r>
    <r>
      <rPr>
        <sz val="7"/>
        <color theme="1"/>
        <rFont val="Times New Roman"/>
        <family val="1"/>
      </rPr>
      <t xml:space="preserve">         </t>
    </r>
    <r>
      <rPr>
        <sz val="11"/>
        <color theme="1"/>
        <rFont val="Arial Narrow"/>
        <family val="2"/>
      </rPr>
      <t xml:space="preserve">Shell &amp; tube cooler with thermostatic expansion valves &amp; 19mm rubber foam insulation. </t>
    </r>
    <r>
      <rPr>
        <sz val="9"/>
        <color theme="1"/>
        <rFont val="Arial Narrow"/>
        <family val="2"/>
      </rPr>
      <t>(For Models RWC 210 and larger)</t>
    </r>
  </si>
  <si>
    <r>
      <t>·</t>
    </r>
    <r>
      <rPr>
        <sz val="7"/>
        <color theme="1"/>
        <rFont val="Times New Roman"/>
        <family val="1"/>
      </rPr>
      <t xml:space="preserve">         </t>
    </r>
    <r>
      <rPr>
        <sz val="11"/>
        <color theme="1"/>
        <rFont val="Arial Narrow"/>
        <family val="2"/>
      </rPr>
      <t xml:space="preserve">Brazed plate heat exchanger. </t>
    </r>
    <r>
      <rPr>
        <sz val="9"/>
        <color theme="1"/>
        <rFont val="Arial Narrow"/>
        <family val="2"/>
      </rPr>
      <t>(For Models RWC 160 and smaller)</t>
    </r>
  </si>
  <si>
    <r>
      <t>·</t>
    </r>
    <r>
      <rPr>
        <sz val="7"/>
        <color theme="1"/>
        <rFont val="Times New Roman"/>
        <family val="1"/>
      </rPr>
      <t xml:space="preserve">         </t>
    </r>
    <r>
      <rPr>
        <sz val="11"/>
        <color theme="1"/>
        <rFont val="Arial Narrow"/>
        <family val="2"/>
      </rPr>
      <t>Earth boss for model RWC 76 and above.</t>
    </r>
  </si>
  <si>
    <r>
      <t>·</t>
    </r>
    <r>
      <rPr>
        <sz val="7"/>
        <color theme="1"/>
        <rFont val="Times New Roman"/>
        <family val="1"/>
      </rPr>
      <t xml:space="preserve">         </t>
    </r>
    <r>
      <rPr>
        <sz val="11"/>
        <color theme="1"/>
        <rFont val="Arial Narrow"/>
        <family val="2"/>
      </rPr>
      <t xml:space="preserve">Units are suitable for </t>
    </r>
    <r>
      <rPr>
        <b/>
        <u/>
        <sz val="11"/>
        <color theme="1"/>
        <rFont val="Arial Narrow"/>
        <family val="2"/>
      </rPr>
      <t>380V/3Ph/60Hz</t>
    </r>
    <r>
      <rPr>
        <sz val="11"/>
        <color theme="1"/>
        <rFont val="Arial Narrow"/>
        <family val="2"/>
      </rPr>
      <t xml:space="preserve"> or </t>
    </r>
    <r>
      <rPr>
        <b/>
        <u/>
        <sz val="11"/>
        <color theme="1"/>
        <rFont val="Arial Narrow"/>
        <family val="2"/>
      </rPr>
      <t>220V/3Ph/60Hz</t>
    </r>
    <r>
      <rPr>
        <sz val="11"/>
        <color theme="1"/>
        <rFont val="Arial Narrow"/>
        <family val="2"/>
      </rPr>
      <t xml:space="preserve"> power supply.</t>
    </r>
  </si>
  <si>
    <r>
      <t>·</t>
    </r>
    <r>
      <rPr>
        <sz val="7"/>
        <color theme="1"/>
        <rFont val="Times New Roman"/>
        <family val="1"/>
      </rPr>
      <t xml:space="preserve">         </t>
    </r>
    <r>
      <rPr>
        <sz val="11"/>
        <color theme="1"/>
        <rFont val="Arial Narrow"/>
        <family val="2"/>
      </rPr>
      <t xml:space="preserve">For more technical details, please refer to our </t>
    </r>
    <r>
      <rPr>
        <b/>
        <sz val="11"/>
        <color theme="1"/>
        <rFont val="Arial Narrow"/>
        <family val="2"/>
      </rPr>
      <t xml:space="preserve">RWC </t>
    </r>
    <r>
      <rPr>
        <sz val="11"/>
        <color theme="1"/>
        <rFont val="Arial Narrow"/>
        <family val="2"/>
      </rPr>
      <t>catalogue.</t>
    </r>
  </si>
  <si>
    <t>AHU Unit Specs</t>
  </si>
  <si>
    <r>
      <t>·</t>
    </r>
    <r>
      <rPr>
        <sz val="7"/>
        <color theme="1"/>
        <rFont val="Times New Roman"/>
        <family val="1"/>
      </rPr>
      <t xml:space="preserve">         </t>
    </r>
    <r>
      <rPr>
        <sz val="11"/>
        <color theme="1"/>
        <rFont val="Arial Narrow"/>
        <family val="2"/>
      </rPr>
      <t xml:space="preserve">Units were selected at </t>
    </r>
    <r>
      <rPr>
        <b/>
        <sz val="11"/>
        <color theme="1"/>
        <rFont val="Arial Narrow"/>
        <family val="2"/>
      </rPr>
      <t>45°F / 55°F</t>
    </r>
    <r>
      <rPr>
        <sz val="11"/>
        <color theme="1"/>
        <rFont val="Arial Narrow"/>
        <family val="2"/>
      </rPr>
      <t xml:space="preserve"> entering / leaving water temperature. (for both cooling /heating modes)</t>
    </r>
  </si>
  <si>
    <r>
      <t>·</t>
    </r>
    <r>
      <rPr>
        <sz val="7"/>
        <color theme="1"/>
        <rFont val="Times New Roman"/>
        <family val="1"/>
      </rPr>
      <t xml:space="preserve">         </t>
    </r>
    <r>
      <rPr>
        <sz val="11"/>
        <color theme="1"/>
        <rFont val="Arial Narrow"/>
        <family val="2"/>
      </rPr>
      <t>Air on coil (DB/WB) as per your schedule.</t>
    </r>
  </si>
  <si>
    <r>
      <t>·</t>
    </r>
    <r>
      <rPr>
        <sz val="7"/>
        <color theme="1"/>
        <rFont val="Times New Roman"/>
        <family val="1"/>
      </rPr>
      <t xml:space="preserve">         </t>
    </r>
    <r>
      <rPr>
        <sz val="11"/>
        <color theme="1"/>
        <rFont val="Arial Narrow"/>
        <family val="2"/>
      </rPr>
      <t>Copper tubes with aluminum fins cooling coils.</t>
    </r>
  </si>
  <si>
    <t>Sections Included:</t>
  </si>
  <si>
    <r>
      <t>·</t>
    </r>
    <r>
      <rPr>
        <sz val="7"/>
        <color theme="1"/>
        <rFont val="Times New Roman"/>
        <family val="1"/>
      </rPr>
      <t xml:space="preserve">         </t>
    </r>
    <r>
      <rPr>
        <sz val="11"/>
        <color theme="1"/>
        <rFont val="Arial Narrow"/>
        <family val="2"/>
      </rPr>
      <t>Bag filter. (90-95% efficiency, EU-8)</t>
    </r>
  </si>
  <si>
    <r>
      <t>·</t>
    </r>
    <r>
      <rPr>
        <sz val="7"/>
        <color theme="1"/>
        <rFont val="Times New Roman"/>
        <family val="1"/>
      </rPr>
      <t xml:space="preserve">         </t>
    </r>
    <r>
      <rPr>
        <sz val="11"/>
        <color theme="1"/>
        <rFont val="Arial Narrow"/>
        <family val="2"/>
      </rPr>
      <t>Supply fan &amp; motor section.</t>
    </r>
  </si>
  <si>
    <r>
      <t>·</t>
    </r>
    <r>
      <rPr>
        <sz val="7"/>
        <color theme="1"/>
        <rFont val="Times New Roman"/>
        <family val="1"/>
      </rPr>
      <t xml:space="preserve">         </t>
    </r>
    <r>
      <rPr>
        <sz val="11"/>
        <color theme="1"/>
        <rFont val="Arial Narrow"/>
        <family val="2"/>
      </rPr>
      <t xml:space="preserve">Double skin with 2.0” thick injected foam insulation. </t>
    </r>
  </si>
  <si>
    <r>
      <t>·</t>
    </r>
    <r>
      <rPr>
        <sz val="7"/>
        <color theme="1"/>
        <rFont val="Times New Roman"/>
        <family val="1"/>
      </rPr>
      <t xml:space="preserve">         </t>
    </r>
    <r>
      <rPr>
        <sz val="11"/>
        <color theme="1"/>
        <rFont val="Arial Narrow"/>
        <family val="2"/>
      </rPr>
      <t>Electrostatic powder paint for external panels.</t>
    </r>
  </si>
  <si>
    <r>
      <t>·</t>
    </r>
    <r>
      <rPr>
        <sz val="7"/>
        <color theme="1"/>
        <rFont val="Times New Roman"/>
        <family val="1"/>
      </rPr>
      <t xml:space="preserve">         </t>
    </r>
    <r>
      <rPr>
        <sz val="11"/>
        <color theme="1"/>
        <rFont val="Arial Narrow"/>
        <family val="2"/>
      </rPr>
      <t>Units are without control and without valves.</t>
    </r>
  </si>
  <si>
    <r>
      <t>·</t>
    </r>
    <r>
      <rPr>
        <sz val="7"/>
        <color theme="1"/>
        <rFont val="Times New Roman"/>
        <family val="1"/>
      </rPr>
      <t xml:space="preserve">         </t>
    </r>
    <r>
      <rPr>
        <sz val="11"/>
        <color theme="1"/>
        <rFont val="Arial Narrow"/>
        <family val="2"/>
      </rPr>
      <t>Units are without steam humidifier.</t>
    </r>
  </si>
  <si>
    <r>
      <t>-</t>
    </r>
    <r>
      <rPr>
        <sz val="7"/>
        <color theme="1"/>
        <rFont val="Times New Roman"/>
        <family val="1"/>
      </rPr>
      <t xml:space="preserve">          </t>
    </r>
    <r>
      <rPr>
        <sz val="11"/>
        <color theme="1"/>
        <rFont val="Arial Narrow"/>
        <family val="2"/>
      </rPr>
      <t>Supply Air Stream</t>
    </r>
  </si>
  <si>
    <r>
      <t>·</t>
    </r>
    <r>
      <rPr>
        <sz val="7"/>
        <color theme="1"/>
        <rFont val="Times New Roman"/>
        <family val="1"/>
      </rPr>
      <t xml:space="preserve">         </t>
    </r>
    <r>
      <rPr>
        <sz val="11"/>
        <color theme="1"/>
        <rFont val="Arial Narrow"/>
        <family val="2"/>
      </rPr>
      <t>Flat filter. (Aluminum 2.0” thick, EU-2)</t>
    </r>
  </si>
  <si>
    <r>
      <t>·</t>
    </r>
    <r>
      <rPr>
        <sz val="7"/>
        <color theme="1"/>
        <rFont val="Times New Roman"/>
        <family val="1"/>
      </rPr>
      <t xml:space="preserve">         </t>
    </r>
    <r>
      <rPr>
        <sz val="11"/>
        <color theme="1"/>
        <rFont val="Arial Narrow"/>
        <family val="2"/>
      </rPr>
      <t>Exhaust fan &amp; motor section.</t>
    </r>
  </si>
  <si>
    <t>CM Unit Specs</t>
  </si>
  <si>
    <r>
      <t>·</t>
    </r>
    <r>
      <rPr>
        <sz val="7"/>
        <color theme="1"/>
        <rFont val="Times New Roman"/>
        <family val="1"/>
      </rPr>
      <t xml:space="preserve">         </t>
    </r>
    <r>
      <rPr>
        <sz val="11"/>
        <color theme="1"/>
        <rFont val="Arial Narrow"/>
        <family val="2"/>
      </rPr>
      <t xml:space="preserve">Units were selected at </t>
    </r>
    <r>
      <rPr>
        <b/>
        <sz val="11"/>
        <color theme="1"/>
        <rFont val="Arial Narrow"/>
        <family val="2"/>
      </rPr>
      <t>44°F / 54°F</t>
    </r>
    <r>
      <rPr>
        <sz val="11"/>
        <color theme="1"/>
        <rFont val="Arial Narrow"/>
        <family val="2"/>
      </rPr>
      <t xml:space="preserve"> entering / leaving water temperature. (for both cooling /heating modes)</t>
    </r>
  </si>
  <si>
    <r>
      <t>·</t>
    </r>
    <r>
      <rPr>
        <sz val="7"/>
        <color theme="1"/>
        <rFont val="Times New Roman"/>
        <family val="1"/>
      </rPr>
      <t xml:space="preserve">         </t>
    </r>
    <r>
      <rPr>
        <sz val="11"/>
        <color theme="1"/>
        <rFont val="Arial Narrow"/>
        <family val="2"/>
      </rPr>
      <t>Air on coil (DB/WB) as per schedule.</t>
    </r>
  </si>
  <si>
    <r>
      <t>·</t>
    </r>
    <r>
      <rPr>
        <sz val="7"/>
        <color theme="1"/>
        <rFont val="Times New Roman"/>
        <family val="1"/>
      </rPr>
      <t xml:space="preserve">         </t>
    </r>
    <r>
      <rPr>
        <sz val="11"/>
        <color theme="1"/>
        <rFont val="Arial Narrow"/>
        <family val="2"/>
      </rPr>
      <t xml:space="preserve">E.S.P.: </t>
    </r>
  </si>
  <si>
    <r>
      <t>·</t>
    </r>
    <r>
      <rPr>
        <sz val="7"/>
        <color theme="1"/>
        <rFont val="Times New Roman"/>
        <family val="1"/>
      </rPr>
      <t xml:space="preserve">         </t>
    </r>
    <r>
      <rPr>
        <sz val="11"/>
        <color theme="1"/>
        <rFont val="Arial Narrow"/>
        <family val="2"/>
      </rPr>
      <t>Fan Speed: Medium.</t>
    </r>
  </si>
  <si>
    <r>
      <t>·</t>
    </r>
    <r>
      <rPr>
        <sz val="7"/>
        <color theme="1"/>
        <rFont val="Times New Roman"/>
        <family val="1"/>
      </rPr>
      <t xml:space="preserve">         </t>
    </r>
    <r>
      <rPr>
        <sz val="11"/>
        <color theme="1"/>
        <rFont val="Arial Narrow"/>
        <family val="2"/>
      </rPr>
      <t>RAC CB</t>
    </r>
  </si>
  <si>
    <r>
      <t>·</t>
    </r>
    <r>
      <rPr>
        <sz val="7"/>
        <color theme="1"/>
        <rFont val="Times New Roman"/>
        <family val="1"/>
      </rPr>
      <t xml:space="preserve">         </t>
    </r>
    <r>
      <rPr>
        <sz val="11"/>
        <color theme="1"/>
        <rFont val="Arial Narrow"/>
        <family val="2"/>
      </rPr>
      <t>Fiberglass insulation.</t>
    </r>
  </si>
  <si>
    <r>
      <t>·</t>
    </r>
    <r>
      <rPr>
        <sz val="7"/>
        <color theme="1"/>
        <rFont val="Times New Roman"/>
        <family val="1"/>
      </rPr>
      <t xml:space="preserve">         </t>
    </r>
    <r>
      <rPr>
        <sz val="11"/>
        <color theme="1"/>
        <rFont val="Arial Narrow"/>
        <family val="2"/>
      </rPr>
      <t>Zinc coated galvanized steel casing.</t>
    </r>
  </si>
  <si>
    <r>
      <t>·</t>
    </r>
    <r>
      <rPr>
        <sz val="7"/>
        <color theme="1"/>
        <rFont val="Times New Roman"/>
        <family val="1"/>
      </rPr>
      <t xml:space="preserve">         </t>
    </r>
    <r>
      <rPr>
        <sz val="11"/>
        <color theme="1"/>
        <rFont val="Arial Narrow"/>
        <family val="2"/>
      </rPr>
      <t>Flat filter. (Aluminum 1.0 Inch thick)</t>
    </r>
  </si>
  <si>
    <r>
      <t>·</t>
    </r>
    <r>
      <rPr>
        <sz val="7"/>
        <color theme="1"/>
        <rFont val="Times New Roman"/>
        <family val="1"/>
      </rPr>
      <t xml:space="preserve">         </t>
    </r>
    <r>
      <rPr>
        <sz val="11"/>
        <color theme="1"/>
        <rFont val="Arial Narrow"/>
        <family val="2"/>
      </rPr>
      <t>Free return plenum.</t>
    </r>
  </si>
  <si>
    <r>
      <t>·</t>
    </r>
    <r>
      <rPr>
        <sz val="7"/>
        <color theme="1"/>
        <rFont val="Times New Roman"/>
        <family val="1"/>
      </rPr>
      <t xml:space="preserve">         </t>
    </r>
    <r>
      <rPr>
        <sz val="11"/>
        <color theme="1"/>
        <rFont val="Arial Narrow"/>
        <family val="2"/>
      </rPr>
      <t xml:space="preserve">Units are suitable for </t>
    </r>
    <r>
      <rPr>
        <b/>
        <u/>
        <sz val="11"/>
        <color theme="1"/>
        <rFont val="Arial Narrow"/>
        <family val="2"/>
      </rPr>
      <t>220V/1Ph/60Hz</t>
    </r>
    <r>
      <rPr>
        <sz val="11"/>
        <color theme="1"/>
        <rFont val="Arial Narrow"/>
        <family val="2"/>
      </rPr>
      <t xml:space="preserve"> power supply.</t>
    </r>
  </si>
  <si>
    <r>
      <t>·</t>
    </r>
    <r>
      <rPr>
        <sz val="7"/>
        <color theme="1"/>
        <rFont val="Times New Roman"/>
        <family val="1"/>
      </rPr>
      <t xml:space="preserve">         </t>
    </r>
    <r>
      <rPr>
        <sz val="11"/>
        <color theme="1"/>
        <rFont val="Arial Narrow"/>
        <family val="2"/>
      </rPr>
      <t xml:space="preserve">For more technical details, please refer to our </t>
    </r>
    <r>
      <rPr>
        <b/>
        <sz val="11"/>
        <color theme="1"/>
        <rFont val="Arial Narrow"/>
        <family val="2"/>
      </rPr>
      <t xml:space="preserve">RAC &amp; DC </t>
    </r>
    <r>
      <rPr>
        <sz val="11"/>
        <color theme="1"/>
        <rFont val="Arial Narrow"/>
        <family val="2"/>
      </rPr>
      <t>catalogues.</t>
    </r>
  </si>
  <si>
    <r>
      <t>·</t>
    </r>
    <r>
      <rPr>
        <sz val="7"/>
        <color theme="1"/>
        <rFont val="Times New Roman"/>
        <family val="1"/>
      </rPr>
      <t xml:space="preserve">         </t>
    </r>
    <r>
      <rPr>
        <sz val="11"/>
        <color theme="1"/>
        <rFont val="Arial Narrow"/>
        <family val="2"/>
      </rPr>
      <t>Decorative hard plastic casing.</t>
    </r>
  </si>
  <si>
    <r>
      <t>·</t>
    </r>
    <r>
      <rPr>
        <sz val="7"/>
        <color theme="1"/>
        <rFont val="Times New Roman"/>
        <family val="1"/>
      </rPr>
      <t xml:space="preserve">         </t>
    </r>
    <r>
      <rPr>
        <sz val="11"/>
        <color theme="1"/>
        <rFont val="Arial Narrow"/>
        <family val="2"/>
      </rPr>
      <t>Plastic mesh filter.</t>
    </r>
  </si>
  <si>
    <r>
      <t>·</t>
    </r>
    <r>
      <rPr>
        <sz val="7"/>
        <color theme="1"/>
        <rFont val="Times New Roman"/>
        <family val="1"/>
      </rPr>
      <t xml:space="preserve">         </t>
    </r>
    <r>
      <rPr>
        <sz val="11"/>
        <color theme="1"/>
        <rFont val="Arial Narrow"/>
        <family val="2"/>
      </rPr>
      <t>Remote controller.</t>
    </r>
  </si>
  <si>
    <r>
      <t>·</t>
    </r>
    <r>
      <rPr>
        <sz val="7"/>
        <color theme="1"/>
        <rFont val="Times New Roman"/>
        <family val="1"/>
      </rPr>
      <t xml:space="preserve">         </t>
    </r>
    <r>
      <rPr>
        <sz val="11"/>
        <color theme="1"/>
        <rFont val="Arial Narrow"/>
        <family val="2"/>
      </rPr>
      <t xml:space="preserve">For more technical details, please refer to our </t>
    </r>
    <r>
      <rPr>
        <b/>
        <sz val="11"/>
        <color theme="1"/>
        <rFont val="Arial Narrow"/>
        <family val="2"/>
      </rPr>
      <t xml:space="preserve">RAC </t>
    </r>
    <r>
      <rPr>
        <sz val="11"/>
        <color theme="1"/>
        <rFont val="Arial Narrow"/>
        <family val="2"/>
      </rPr>
      <t>catalogues.</t>
    </r>
  </si>
  <si>
    <t>FCU Unit Specs</t>
  </si>
  <si>
    <t>PPH Unit Specs</t>
  </si>
  <si>
    <r>
      <t>·</t>
    </r>
    <r>
      <rPr>
        <sz val="7"/>
        <color theme="1"/>
        <rFont val="Times New Roman"/>
        <family val="1"/>
      </rPr>
      <t xml:space="preserve">         </t>
    </r>
    <r>
      <rPr>
        <sz val="11"/>
        <color theme="1"/>
        <rFont val="Arial Narrow"/>
        <family val="2"/>
      </rPr>
      <t xml:space="preserve">Units were selected at </t>
    </r>
    <r>
      <rPr>
        <b/>
        <sz val="11"/>
        <color theme="1"/>
        <rFont val="Arial Narrow"/>
        <family val="2"/>
      </rPr>
      <t>115°F</t>
    </r>
    <r>
      <rPr>
        <sz val="11"/>
        <color theme="1"/>
        <rFont val="Arial Narrow"/>
        <family val="2"/>
      </rPr>
      <t xml:space="preserve"> ambient temperature.</t>
    </r>
  </si>
  <si>
    <r>
      <t>·</t>
    </r>
    <r>
      <rPr>
        <sz val="7"/>
        <color theme="1"/>
        <rFont val="Times New Roman"/>
        <family val="1"/>
      </rPr>
      <t xml:space="preserve">         </t>
    </r>
    <r>
      <rPr>
        <sz val="11"/>
        <color theme="1"/>
        <rFont val="Arial Narrow"/>
        <family val="2"/>
      </rPr>
      <t>Microprocessor controller.</t>
    </r>
  </si>
  <si>
    <r>
      <t>·</t>
    </r>
    <r>
      <rPr>
        <sz val="7"/>
        <color theme="1"/>
        <rFont val="Times New Roman"/>
        <family val="1"/>
      </rPr>
      <t xml:space="preserve">         </t>
    </r>
    <r>
      <rPr>
        <sz val="11"/>
        <color theme="1"/>
        <rFont val="Arial Narrow"/>
        <family val="2"/>
      </rPr>
      <t>Zinc coated galvanized steel casing painted with electrostatic powder paint.</t>
    </r>
  </si>
  <si>
    <t>PWM Unit Specs</t>
  </si>
  <si>
    <r>
      <t>·</t>
    </r>
    <r>
      <rPr>
        <sz val="7"/>
        <color theme="1"/>
        <rFont val="Times New Roman"/>
        <family val="1"/>
      </rPr>
      <t xml:space="preserve">         </t>
    </r>
    <r>
      <rPr>
        <sz val="11"/>
        <color theme="1"/>
        <rFont val="Arial Narrow"/>
        <family val="2"/>
      </rPr>
      <t xml:space="preserve">Hermetic compressors suitable for </t>
    </r>
    <r>
      <rPr>
        <b/>
        <sz val="11"/>
        <color theme="1"/>
        <rFont val="Arial Narrow"/>
        <family val="2"/>
      </rPr>
      <t xml:space="preserve">R-410a / R-407c. </t>
    </r>
  </si>
  <si>
    <t>DSP + PAH Unit Specs</t>
  </si>
  <si>
    <t>DSP + CM Unit Specs</t>
  </si>
  <si>
    <t>PETRA + PDU Unit Specs</t>
  </si>
  <si>
    <r>
      <t>·</t>
    </r>
    <r>
      <rPr>
        <sz val="7"/>
        <color theme="1"/>
        <rFont val="Times New Roman"/>
        <family val="1"/>
      </rPr>
      <t xml:space="preserve">         </t>
    </r>
    <r>
      <rPr>
        <sz val="11"/>
        <color theme="1"/>
        <rFont val="Arial Narrow"/>
        <family val="2"/>
      </rPr>
      <t xml:space="preserve">Units were selected at </t>
    </r>
    <r>
      <rPr>
        <b/>
        <sz val="11"/>
        <color theme="1"/>
        <rFont val="Arial Narrow"/>
        <family val="2"/>
      </rPr>
      <t>95°F</t>
    </r>
    <r>
      <rPr>
        <sz val="11"/>
        <color theme="1"/>
        <rFont val="Arial Narrow"/>
        <family val="2"/>
      </rPr>
      <t xml:space="preserve"> ambient temperature.</t>
    </r>
  </si>
  <si>
    <r>
      <t>·</t>
    </r>
    <r>
      <rPr>
        <sz val="7"/>
        <color theme="1"/>
        <rFont val="Times New Roman"/>
        <family val="1"/>
      </rPr>
      <t xml:space="preserve">         </t>
    </r>
    <r>
      <rPr>
        <sz val="11"/>
        <color theme="1"/>
        <rFont val="Arial Narrow"/>
        <family val="2"/>
      </rPr>
      <t xml:space="preserve">Air on coil (DB/WB): </t>
    </r>
    <r>
      <rPr>
        <b/>
        <sz val="11"/>
        <color theme="1"/>
        <rFont val="Arial Narrow"/>
        <family val="2"/>
      </rPr>
      <t>80°F / 67°F.</t>
    </r>
  </si>
  <si>
    <r>
      <t>-</t>
    </r>
    <r>
      <rPr>
        <sz val="7"/>
        <color theme="1"/>
        <rFont val="Times New Roman"/>
        <family val="1"/>
      </rPr>
      <t xml:space="preserve">          </t>
    </r>
    <r>
      <rPr>
        <u/>
        <sz val="11"/>
        <color theme="1"/>
        <rFont val="Arial Narrow"/>
        <family val="2"/>
      </rPr>
      <t>Air Cooled Condensing Unit [PETRA]</t>
    </r>
  </si>
  <si>
    <r>
      <t>·</t>
    </r>
    <r>
      <rPr>
        <sz val="7"/>
        <color theme="1"/>
        <rFont val="Times New Roman"/>
        <family val="1"/>
      </rPr>
      <t xml:space="preserve">         </t>
    </r>
    <r>
      <rPr>
        <sz val="11"/>
        <color theme="1"/>
        <rFont val="Arial Narrow"/>
        <family val="2"/>
      </rPr>
      <t xml:space="preserve">Heat pump units. </t>
    </r>
  </si>
  <si>
    <r>
      <t>·</t>
    </r>
    <r>
      <rPr>
        <sz val="7"/>
        <color theme="1"/>
        <rFont val="Times New Roman"/>
        <family val="1"/>
      </rPr>
      <t xml:space="preserve">         </t>
    </r>
    <r>
      <rPr>
        <sz val="11"/>
        <color theme="1"/>
        <rFont val="Arial Narrow"/>
        <family val="2"/>
      </rPr>
      <t xml:space="preserve">High / Low pressure switches for model PETRA 36 model and above. </t>
    </r>
  </si>
  <si>
    <r>
      <t>·</t>
    </r>
    <r>
      <rPr>
        <sz val="7"/>
        <color theme="1"/>
        <rFont val="Times New Roman"/>
        <family val="1"/>
      </rPr>
      <t xml:space="preserve">         </t>
    </r>
    <r>
      <rPr>
        <sz val="11"/>
        <color theme="1"/>
        <rFont val="Arial Narrow"/>
        <family val="2"/>
      </rPr>
      <t>Earth boss for model PETRA  60 and above.</t>
    </r>
  </si>
  <si>
    <r>
      <t>·</t>
    </r>
    <r>
      <rPr>
        <sz val="7"/>
        <color theme="1"/>
        <rFont val="Times New Roman"/>
        <family val="1"/>
      </rPr>
      <t xml:space="preserve">         </t>
    </r>
    <r>
      <rPr>
        <sz val="11"/>
        <color theme="1"/>
        <rFont val="Arial Narrow"/>
        <family val="2"/>
      </rPr>
      <t xml:space="preserve">PETRA 36 and smaller models are suitable for </t>
    </r>
    <r>
      <rPr>
        <b/>
        <u/>
        <sz val="11"/>
        <color theme="1"/>
        <rFont val="Arial Narrow"/>
        <family val="2"/>
      </rPr>
      <t>220V/1Ph/60Hz</t>
    </r>
    <r>
      <rPr>
        <sz val="11"/>
        <color theme="1"/>
        <rFont val="Arial Narrow"/>
        <family val="2"/>
      </rPr>
      <t xml:space="preserve"> power supply.</t>
    </r>
  </si>
  <si>
    <r>
      <t>·</t>
    </r>
    <r>
      <rPr>
        <sz val="7"/>
        <color theme="1"/>
        <rFont val="Times New Roman"/>
        <family val="1"/>
      </rPr>
      <t xml:space="preserve">         </t>
    </r>
    <r>
      <rPr>
        <sz val="11"/>
        <color theme="1"/>
        <rFont val="Arial Narrow"/>
        <family val="2"/>
      </rPr>
      <t xml:space="preserve">PETRA 50 and larger models are suitable for </t>
    </r>
    <r>
      <rPr>
        <b/>
        <u/>
        <sz val="11"/>
        <color theme="1"/>
        <rFont val="Arial Narrow"/>
        <family val="2"/>
      </rPr>
      <t>380V/3Ph/60Hz</t>
    </r>
    <r>
      <rPr>
        <sz val="11"/>
        <color theme="1"/>
        <rFont val="Arial Narrow"/>
        <family val="2"/>
      </rPr>
      <t xml:space="preserve"> or </t>
    </r>
    <r>
      <rPr>
        <b/>
        <u/>
        <sz val="11"/>
        <color theme="1"/>
        <rFont val="Arial Narrow"/>
        <family val="2"/>
      </rPr>
      <t>220V/3Ph/60Hz</t>
    </r>
    <r>
      <rPr>
        <sz val="11"/>
        <color theme="1"/>
        <rFont val="Arial Narrow"/>
        <family val="2"/>
      </rPr>
      <t xml:space="preserve"> power supply.</t>
    </r>
  </si>
  <si>
    <r>
      <t>-</t>
    </r>
    <r>
      <rPr>
        <sz val="7"/>
        <color theme="1"/>
        <rFont val="Times New Roman"/>
        <family val="1"/>
      </rPr>
      <t xml:space="preserve">          </t>
    </r>
    <r>
      <rPr>
        <u/>
        <sz val="11"/>
        <color theme="1"/>
        <rFont val="Arial Narrow"/>
        <family val="2"/>
      </rPr>
      <t>Evaporator Unit [PDU]</t>
    </r>
  </si>
  <si>
    <t>PETRA + PSU Unit Specs</t>
  </si>
  <si>
    <t>PASC Unit Specs</t>
  </si>
  <si>
    <t>PASC WM Unit Specs</t>
  </si>
  <si>
    <t>CRAH Unit Specs</t>
  </si>
  <si>
    <r>
      <t>-</t>
    </r>
    <r>
      <rPr>
        <sz val="7"/>
        <color theme="1"/>
        <rFont val="Times New Roman"/>
        <family val="1"/>
      </rPr>
      <t xml:space="preserve">          </t>
    </r>
    <r>
      <rPr>
        <u/>
        <sz val="11"/>
        <color theme="1"/>
        <rFont val="Arial Narrow"/>
        <family val="2"/>
      </rPr>
      <t>Indoor Unit:</t>
    </r>
  </si>
  <si>
    <r>
      <t>·</t>
    </r>
    <r>
      <rPr>
        <sz val="7"/>
        <color theme="1"/>
        <rFont val="Times New Roman"/>
        <family val="1"/>
      </rPr>
      <t xml:space="preserve">         </t>
    </r>
    <r>
      <rPr>
        <sz val="11"/>
        <color theme="1"/>
        <rFont val="Arial Narrow"/>
        <family val="2"/>
      </rPr>
      <t>Microprocessor controller with LCD screen for each unit.</t>
    </r>
  </si>
  <si>
    <r>
      <t>·</t>
    </r>
    <r>
      <rPr>
        <sz val="7"/>
        <color theme="1"/>
        <rFont val="Times New Roman"/>
        <family val="1"/>
      </rPr>
      <t xml:space="preserve">         </t>
    </r>
    <r>
      <rPr>
        <sz val="11"/>
        <color theme="1"/>
        <rFont val="Arial Narrow"/>
        <family val="2"/>
      </rPr>
      <t xml:space="preserve">Steam humidifier supplied with humidity control electronic card &amp; humidistat. </t>
    </r>
  </si>
  <si>
    <r>
      <t>·</t>
    </r>
    <r>
      <rPr>
        <sz val="7"/>
        <color theme="1"/>
        <rFont val="Times New Roman"/>
        <family val="1"/>
      </rPr>
      <t xml:space="preserve">         </t>
    </r>
    <r>
      <rPr>
        <sz val="11"/>
        <color theme="1"/>
        <rFont val="Arial Narrow"/>
        <family val="2"/>
      </rPr>
      <t>Re-heating electrical heater with safety cutouts &amp; contactor.</t>
    </r>
  </si>
  <si>
    <r>
      <t>·</t>
    </r>
    <r>
      <rPr>
        <sz val="7"/>
        <color theme="1"/>
        <rFont val="Times New Roman"/>
        <family val="1"/>
      </rPr>
      <t xml:space="preserve">         </t>
    </r>
    <r>
      <rPr>
        <sz val="11"/>
        <color theme="1"/>
        <rFont val="Arial Narrow"/>
        <family val="2"/>
      </rPr>
      <t>Air flow switch.</t>
    </r>
  </si>
  <si>
    <r>
      <t>·</t>
    </r>
    <r>
      <rPr>
        <sz val="7"/>
        <color theme="1"/>
        <rFont val="Times New Roman"/>
        <family val="1"/>
      </rPr>
      <t xml:space="preserve">         </t>
    </r>
    <r>
      <rPr>
        <sz val="11"/>
        <color theme="1"/>
        <rFont val="Arial Narrow"/>
        <family val="2"/>
      </rPr>
      <t>Differential pressure switch.</t>
    </r>
  </si>
  <si>
    <r>
      <t>·</t>
    </r>
    <r>
      <rPr>
        <sz val="7"/>
        <color theme="1"/>
        <rFont val="Times New Roman"/>
        <family val="1"/>
      </rPr>
      <t xml:space="preserve">         </t>
    </r>
    <r>
      <rPr>
        <sz val="11"/>
        <color theme="1"/>
        <rFont val="Arial Narrow"/>
        <family val="2"/>
      </rPr>
      <t>Copper tubes &amp; aluminum fins evaporator coil.</t>
    </r>
  </si>
  <si>
    <r>
      <t>·</t>
    </r>
    <r>
      <rPr>
        <sz val="7"/>
        <color theme="1"/>
        <rFont val="Times New Roman"/>
        <family val="1"/>
      </rPr>
      <t xml:space="preserve">         </t>
    </r>
    <r>
      <rPr>
        <sz val="11"/>
        <color theme="1"/>
        <rFont val="Arial Narrow"/>
        <family val="2"/>
      </rPr>
      <t>Insulated stainless steel drain pan.(Double Slope)</t>
    </r>
  </si>
  <si>
    <r>
      <t>·</t>
    </r>
    <r>
      <rPr>
        <sz val="7"/>
        <color theme="1"/>
        <rFont val="Times New Roman"/>
        <family val="1"/>
      </rPr>
      <t xml:space="preserve">         </t>
    </r>
    <r>
      <rPr>
        <sz val="11"/>
        <color theme="1"/>
        <rFont val="Arial Narrow"/>
        <family val="2"/>
      </rPr>
      <t>Flat filter. (Pleated 2.0” thick, EU-4)</t>
    </r>
  </si>
  <si>
    <r>
      <t>·</t>
    </r>
    <r>
      <rPr>
        <sz val="7"/>
        <color theme="1"/>
        <rFont val="Times New Roman"/>
        <family val="1"/>
      </rPr>
      <t xml:space="preserve">         </t>
    </r>
    <r>
      <rPr>
        <sz val="11"/>
        <color theme="1"/>
        <rFont val="Arial Narrow"/>
        <family val="2"/>
      </rPr>
      <t>EC supply fan.</t>
    </r>
  </si>
  <si>
    <r>
      <t>·</t>
    </r>
    <r>
      <rPr>
        <sz val="7"/>
        <color theme="1"/>
        <rFont val="Times New Roman"/>
        <family val="1"/>
      </rPr>
      <t xml:space="preserve">         </t>
    </r>
    <r>
      <rPr>
        <sz val="11"/>
        <color theme="1"/>
        <rFont val="Arial Narrow"/>
        <family val="2"/>
      </rPr>
      <t>Free terminals for BMS connection include:</t>
    </r>
  </si>
  <si>
    <r>
      <t>o</t>
    </r>
    <r>
      <rPr>
        <sz val="7"/>
        <color theme="1"/>
        <rFont val="Times New Roman"/>
        <family val="1"/>
      </rPr>
      <t xml:space="preserve">   </t>
    </r>
    <r>
      <rPr>
        <sz val="11"/>
        <color theme="1"/>
        <rFont val="Arial Narrow"/>
        <family val="2"/>
      </rPr>
      <t>General alarm.</t>
    </r>
  </si>
  <si>
    <r>
      <t>o</t>
    </r>
    <r>
      <rPr>
        <sz val="7"/>
        <color theme="1"/>
        <rFont val="Times New Roman"/>
        <family val="1"/>
      </rPr>
      <t xml:space="preserve">   </t>
    </r>
    <r>
      <rPr>
        <sz val="11"/>
        <color theme="1"/>
        <rFont val="Arial Narrow"/>
        <family val="2"/>
      </rPr>
      <t>On / off remote switch.</t>
    </r>
  </si>
  <si>
    <r>
      <t>·</t>
    </r>
    <r>
      <rPr>
        <sz val="7"/>
        <color theme="1"/>
        <rFont val="Times New Roman"/>
        <family val="1"/>
      </rPr>
      <t xml:space="preserve">         </t>
    </r>
    <r>
      <rPr>
        <sz val="11"/>
        <color theme="1"/>
        <rFont val="Arial Narrow"/>
        <family val="2"/>
      </rPr>
      <t xml:space="preserve">Air on coil (DB/WB): </t>
    </r>
    <r>
      <rPr>
        <b/>
        <sz val="11"/>
        <color theme="1"/>
        <rFont val="Arial Narrow"/>
        <family val="2"/>
      </rPr>
      <t>80°F / 67°F.</t>
    </r>
    <r>
      <rPr>
        <sz val="11"/>
        <color theme="1"/>
        <rFont val="Arial Narrow"/>
        <family val="2"/>
      </rPr>
      <t xml:space="preserve"> </t>
    </r>
  </si>
  <si>
    <r>
      <t>·</t>
    </r>
    <r>
      <rPr>
        <sz val="7"/>
        <color theme="1"/>
        <rFont val="Times New Roman"/>
        <family val="1"/>
      </rPr>
      <t xml:space="preserve">         </t>
    </r>
    <r>
      <rPr>
        <sz val="11"/>
        <color theme="1"/>
        <rFont val="Arial Narrow"/>
        <family val="2"/>
      </rPr>
      <t xml:space="preserve">Hermetic compressors running on </t>
    </r>
    <r>
      <rPr>
        <b/>
        <sz val="11"/>
        <color theme="1"/>
        <rFont val="Arial Narrow"/>
        <family val="2"/>
      </rPr>
      <t xml:space="preserve">R-410a / R-407c. </t>
    </r>
  </si>
  <si>
    <r>
      <t>·</t>
    </r>
    <r>
      <rPr>
        <sz val="7"/>
        <color theme="1"/>
        <rFont val="Times New Roman"/>
        <family val="1"/>
      </rPr>
      <t xml:space="preserve">         </t>
    </r>
    <r>
      <rPr>
        <sz val="11"/>
        <color theme="1"/>
        <rFont val="Arial Narrow"/>
        <family val="2"/>
      </rPr>
      <t>Each unit is with wireless controller.</t>
    </r>
  </si>
  <si>
    <r>
      <t>·</t>
    </r>
    <r>
      <rPr>
        <sz val="7"/>
        <color theme="1"/>
        <rFont val="Times New Roman"/>
        <family val="1"/>
      </rPr>
      <t xml:space="preserve">         </t>
    </r>
    <r>
      <rPr>
        <sz val="11"/>
        <color theme="1"/>
        <rFont val="Arial Narrow"/>
        <family val="2"/>
      </rPr>
      <t>Units shall be according to Petra standards.</t>
    </r>
  </si>
  <si>
    <r>
      <t>·</t>
    </r>
    <r>
      <rPr>
        <sz val="7"/>
        <color theme="1"/>
        <rFont val="Times New Roman"/>
        <family val="1"/>
      </rPr>
      <t xml:space="preserve">         </t>
    </r>
    <r>
      <rPr>
        <sz val="11"/>
        <color theme="1"/>
        <rFont val="Arial Narrow"/>
        <family val="2"/>
      </rPr>
      <t xml:space="preserve">Earth boss for model PETRA 60 and above. </t>
    </r>
  </si>
  <si>
    <r>
      <t>·</t>
    </r>
    <r>
      <rPr>
        <sz val="7"/>
        <color theme="1"/>
        <rFont val="Times New Roman"/>
        <family val="1"/>
      </rPr>
      <t xml:space="preserve">         </t>
    </r>
    <r>
      <rPr>
        <sz val="11"/>
        <color theme="1"/>
        <rFont val="Arial Narrow"/>
        <family val="2"/>
      </rPr>
      <t xml:space="preserve">PETRA 36 and smaller units are suitable for </t>
    </r>
    <r>
      <rPr>
        <b/>
        <u/>
        <sz val="11"/>
        <color theme="1"/>
        <rFont val="Arial Narrow"/>
        <family val="2"/>
      </rPr>
      <t>220V/1Ph/60Hz</t>
    </r>
    <r>
      <rPr>
        <sz val="11"/>
        <color theme="1"/>
        <rFont val="Arial Narrow"/>
        <family val="2"/>
      </rPr>
      <t xml:space="preserve"> power supply.</t>
    </r>
  </si>
  <si>
    <r>
      <t>·</t>
    </r>
    <r>
      <rPr>
        <sz val="7"/>
        <color theme="1"/>
        <rFont val="Times New Roman"/>
        <family val="1"/>
      </rPr>
      <t xml:space="preserve">         </t>
    </r>
    <r>
      <rPr>
        <sz val="11"/>
        <color theme="1"/>
        <rFont val="Arial Narrow"/>
        <family val="2"/>
      </rPr>
      <t xml:space="preserve">PETRA 50 and larger units are suitable for </t>
    </r>
    <r>
      <rPr>
        <b/>
        <u/>
        <sz val="11"/>
        <color theme="1"/>
        <rFont val="Arial Narrow"/>
        <family val="2"/>
      </rPr>
      <t>380V/3Ph/60Hz</t>
    </r>
    <r>
      <rPr>
        <sz val="11"/>
        <color theme="1"/>
        <rFont val="Arial Narrow"/>
        <family val="2"/>
      </rPr>
      <t xml:space="preserve"> or </t>
    </r>
    <r>
      <rPr>
        <b/>
        <u/>
        <sz val="11"/>
        <color theme="1"/>
        <rFont val="Arial Narrow"/>
        <family val="2"/>
      </rPr>
      <t>220V/3Ph/60Hz</t>
    </r>
    <r>
      <rPr>
        <sz val="11"/>
        <color theme="1"/>
        <rFont val="Arial Narrow"/>
        <family val="2"/>
      </rPr>
      <t xml:space="preserve"> power supply.</t>
    </r>
  </si>
  <si>
    <r>
      <t>·</t>
    </r>
    <r>
      <rPr>
        <sz val="7"/>
        <color theme="1"/>
        <rFont val="Times New Roman"/>
        <family val="1"/>
      </rPr>
      <t xml:space="preserve">         </t>
    </r>
    <r>
      <rPr>
        <sz val="11"/>
        <color theme="1"/>
        <rFont val="Arial Narrow"/>
        <family val="2"/>
      </rPr>
      <t xml:space="preserve">For more technical details, please refer to our </t>
    </r>
    <r>
      <rPr>
        <b/>
        <sz val="11"/>
        <color theme="1"/>
        <rFont val="Arial Narrow"/>
        <family val="2"/>
      </rPr>
      <t xml:space="preserve">Mini Split Unit </t>
    </r>
    <r>
      <rPr>
        <sz val="11"/>
        <color theme="1"/>
        <rFont val="Arial Narrow"/>
        <family val="2"/>
      </rPr>
      <t>catalogue.</t>
    </r>
    <r>
      <rPr>
        <b/>
        <sz val="11"/>
        <color theme="1"/>
        <rFont val="Arial Narrow"/>
        <family val="2"/>
      </rPr>
      <t xml:space="preserve"> </t>
    </r>
  </si>
  <si>
    <t>ECOLOGY Unit Specs</t>
  </si>
  <si>
    <t>Chemical Filtration Unit Specs</t>
  </si>
  <si>
    <r>
      <t>·</t>
    </r>
    <r>
      <rPr>
        <sz val="7"/>
        <color theme="1"/>
        <rFont val="Times New Roman"/>
        <family val="1"/>
      </rPr>
      <t xml:space="preserve">         </t>
    </r>
    <r>
      <rPr>
        <b/>
        <u/>
        <sz val="11"/>
        <color theme="1"/>
        <rFont val="Arial Narrow"/>
        <family val="2"/>
      </rPr>
      <t>Sections Included:</t>
    </r>
  </si>
  <si>
    <r>
      <t>·</t>
    </r>
    <r>
      <rPr>
        <sz val="7"/>
        <color theme="1"/>
        <rFont val="Times New Roman"/>
        <family val="1"/>
      </rPr>
      <t xml:space="preserve">         </t>
    </r>
    <r>
      <rPr>
        <sz val="11"/>
        <color theme="1"/>
        <rFont val="Arial Narrow"/>
        <family val="2"/>
      </rPr>
      <t>Propeller direct drive condenser fans</t>
    </r>
  </si>
  <si>
    <r>
      <t>·</t>
    </r>
    <r>
      <rPr>
        <sz val="7"/>
        <color theme="1"/>
        <rFont val="Times New Roman"/>
        <family val="1"/>
      </rPr>
      <t xml:space="preserve">         </t>
    </r>
    <r>
      <rPr>
        <sz val="11"/>
        <color theme="1"/>
        <rFont val="Arial Narrow"/>
        <family val="2"/>
      </rPr>
      <t>Microprocessor controller</t>
    </r>
  </si>
  <si>
    <r>
      <t>·</t>
    </r>
    <r>
      <rPr>
        <sz val="7"/>
        <color theme="1"/>
        <rFont val="Times New Roman"/>
        <family val="1"/>
      </rPr>
      <t xml:space="preserve">         </t>
    </r>
    <r>
      <rPr>
        <sz val="11"/>
        <color theme="1"/>
        <rFont val="Arial Narrow"/>
        <family val="2"/>
      </rPr>
      <t>Hi/Low pressure switch</t>
    </r>
  </si>
  <si>
    <r>
      <t>·</t>
    </r>
    <r>
      <rPr>
        <sz val="7"/>
        <color theme="1"/>
        <rFont val="Times New Roman"/>
        <family val="1"/>
      </rPr>
      <t xml:space="preserve">         </t>
    </r>
    <r>
      <rPr>
        <sz val="11"/>
        <color theme="1"/>
        <rFont val="Arial Narrow"/>
        <family val="2"/>
      </rPr>
      <t>Insulated galvanized steel drain pan</t>
    </r>
  </si>
  <si>
    <r>
      <t>·</t>
    </r>
    <r>
      <rPr>
        <sz val="7"/>
        <color theme="1"/>
        <rFont val="Times New Roman"/>
        <family val="1"/>
      </rPr>
      <t xml:space="preserve">         </t>
    </r>
    <r>
      <rPr>
        <sz val="11"/>
        <color theme="1"/>
        <rFont val="Arial Narrow"/>
        <family val="2"/>
      </rPr>
      <t xml:space="preserve">Units are suitable for </t>
    </r>
    <r>
      <rPr>
        <b/>
        <u/>
        <sz val="11"/>
        <color theme="1"/>
        <rFont val="Arial Narrow"/>
        <family val="2"/>
      </rPr>
      <t>380V/3Ph/60Hz</t>
    </r>
    <r>
      <rPr>
        <sz val="11"/>
        <color theme="1"/>
        <rFont val="Arial Narrow"/>
        <family val="2"/>
      </rPr>
      <t xml:space="preserve"> power supply</t>
    </r>
  </si>
  <si>
    <r>
      <t>·</t>
    </r>
    <r>
      <rPr>
        <sz val="7"/>
        <color theme="1"/>
        <rFont val="Times New Roman"/>
        <family val="1"/>
      </rPr>
      <t xml:space="preserve">         </t>
    </r>
    <r>
      <rPr>
        <sz val="11"/>
        <color theme="1"/>
        <rFont val="Arial Narrow"/>
        <family val="2"/>
      </rPr>
      <t>Zinc coated galvanized steel panels.</t>
    </r>
  </si>
  <si>
    <r>
      <t>·</t>
    </r>
    <r>
      <rPr>
        <sz val="7"/>
        <color theme="1"/>
        <rFont val="Times New Roman"/>
        <family val="1"/>
      </rPr>
      <t xml:space="preserve">         </t>
    </r>
    <r>
      <rPr>
        <b/>
        <u/>
        <sz val="11"/>
        <color theme="1"/>
        <rFont val="Arial Narrow"/>
        <family val="2"/>
      </rPr>
      <t xml:space="preserve">Down flow unit configuration. </t>
    </r>
    <r>
      <rPr>
        <sz val="11"/>
        <color theme="1"/>
        <rFont val="Arial Narrow"/>
        <family val="2"/>
      </rPr>
      <t xml:space="preserve"> </t>
    </r>
  </si>
  <si>
    <r>
      <t>·</t>
    </r>
    <r>
      <rPr>
        <sz val="7"/>
        <color theme="1"/>
        <rFont val="Times New Roman"/>
        <family val="1"/>
      </rPr>
      <t xml:space="preserve">         </t>
    </r>
    <r>
      <rPr>
        <b/>
        <sz val="11"/>
        <color theme="1"/>
        <rFont val="Arial Narrow"/>
        <family val="2"/>
      </rPr>
      <t>Earth boss.</t>
    </r>
  </si>
  <si>
    <t>Selection Parameters</t>
  </si>
  <si>
    <t xml:space="preserve">Unit Specifications (Outdoor unit):  </t>
  </si>
  <si>
    <r>
      <t>•</t>
    </r>
    <r>
      <rPr>
        <sz val="7"/>
        <color theme="1"/>
        <rFont val="Times New Roman"/>
        <family val="1"/>
      </rPr>
      <t xml:space="preserve">     </t>
    </r>
    <r>
      <rPr>
        <sz val="11"/>
        <color theme="1"/>
        <rFont val="Arial Narrow"/>
        <family val="2"/>
      </rPr>
      <t>Propeller direct drive condenser fans</t>
    </r>
  </si>
  <si>
    <r>
      <t>•</t>
    </r>
    <r>
      <rPr>
        <sz val="7"/>
        <color theme="1"/>
        <rFont val="Times New Roman"/>
        <family val="1"/>
      </rPr>
      <t xml:space="preserve">     </t>
    </r>
    <r>
      <rPr>
        <sz val="11"/>
        <color theme="1"/>
        <rFont val="Arial Narrow"/>
        <family val="2"/>
      </rPr>
      <t>Zinc coated galvanized steel painted with electrostatic powder paint, oven baked</t>
    </r>
  </si>
  <si>
    <r>
      <t>•</t>
    </r>
    <r>
      <rPr>
        <sz val="7"/>
        <color theme="1"/>
        <rFont val="Times New Roman"/>
        <family val="1"/>
      </rPr>
      <t xml:space="preserve">     </t>
    </r>
    <r>
      <rPr>
        <sz val="11"/>
        <color theme="1"/>
        <rFont val="Arial Narrow"/>
        <family val="2"/>
      </rPr>
      <t xml:space="preserve">Hermetic scroll compressors running on </t>
    </r>
    <r>
      <rPr>
        <b/>
        <u/>
        <sz val="11"/>
        <color theme="1"/>
        <rFont val="Arial Narrow"/>
        <family val="2"/>
      </rPr>
      <t>R410A</t>
    </r>
    <r>
      <rPr>
        <sz val="11"/>
        <color theme="1"/>
        <rFont val="Arial Narrow"/>
        <family val="2"/>
      </rPr>
      <t xml:space="preserve"> refrigerant</t>
    </r>
  </si>
  <si>
    <r>
      <t>•</t>
    </r>
    <r>
      <rPr>
        <sz val="7"/>
        <color theme="1"/>
        <rFont val="Times New Roman"/>
        <family val="1"/>
      </rPr>
      <t xml:space="preserve">     </t>
    </r>
    <r>
      <rPr>
        <sz val="11"/>
        <color theme="1"/>
        <rFont val="Arial Narrow"/>
        <family val="2"/>
      </rPr>
      <t xml:space="preserve">Power supply </t>
    </r>
    <r>
      <rPr>
        <b/>
        <u/>
        <sz val="11"/>
        <color theme="1"/>
        <rFont val="Arial Narrow"/>
        <family val="2"/>
      </rPr>
      <t>230V/1Ph/60Hz</t>
    </r>
  </si>
  <si>
    <t xml:space="preserve">Unit Specifications (Indoor unit):  </t>
  </si>
  <si>
    <r>
      <t>•</t>
    </r>
    <r>
      <rPr>
        <sz val="7"/>
        <color theme="1"/>
        <rFont val="Times New Roman"/>
        <family val="1"/>
      </rPr>
      <t xml:space="preserve">     </t>
    </r>
    <r>
      <rPr>
        <sz val="11"/>
        <color theme="1"/>
        <rFont val="Arial Narrow"/>
        <family val="2"/>
      </rPr>
      <t>Single skin construction with 25mm thick fiberglass insulation</t>
    </r>
  </si>
  <si>
    <r>
      <t>•</t>
    </r>
    <r>
      <rPr>
        <sz val="7"/>
        <color theme="1"/>
        <rFont val="Times New Roman"/>
        <family val="1"/>
      </rPr>
      <t xml:space="preserve">     </t>
    </r>
    <r>
      <rPr>
        <sz val="11"/>
        <color theme="1"/>
        <rFont val="Arial Narrow"/>
        <family val="2"/>
      </rPr>
      <t>Formed zinc coated galvanized steel painted externally with electrostatic powder paint, oven baked</t>
    </r>
  </si>
  <si>
    <r>
      <t>•</t>
    </r>
    <r>
      <rPr>
        <sz val="7"/>
        <color theme="1"/>
        <rFont val="Times New Roman"/>
        <family val="1"/>
      </rPr>
      <t xml:space="preserve">     </t>
    </r>
    <r>
      <rPr>
        <sz val="11"/>
        <color theme="1"/>
        <rFont val="Arial Narrow"/>
        <family val="2"/>
      </rPr>
      <t xml:space="preserve">Microprocessor controller </t>
    </r>
  </si>
  <si>
    <r>
      <t>•</t>
    </r>
    <r>
      <rPr>
        <sz val="7"/>
        <color theme="1"/>
        <rFont val="Times New Roman"/>
        <family val="1"/>
      </rPr>
      <t xml:space="preserve">     </t>
    </r>
    <r>
      <rPr>
        <sz val="11"/>
        <color theme="1"/>
        <rFont val="Arial Narrow"/>
        <family val="2"/>
      </rPr>
      <t>Steam humidifier supplied with humidity control electronic card &amp; humidistat</t>
    </r>
  </si>
  <si>
    <r>
      <t>•</t>
    </r>
    <r>
      <rPr>
        <sz val="7"/>
        <color theme="1"/>
        <rFont val="Times New Roman"/>
        <family val="1"/>
      </rPr>
      <t xml:space="preserve">     </t>
    </r>
    <r>
      <rPr>
        <sz val="11"/>
        <color theme="1"/>
        <rFont val="Arial Narrow"/>
        <family val="2"/>
      </rPr>
      <t>Re-heating electrical heater with safety cutouts &amp; contactor</t>
    </r>
  </si>
  <si>
    <r>
      <t>•</t>
    </r>
    <r>
      <rPr>
        <sz val="7"/>
        <color theme="1"/>
        <rFont val="Times New Roman"/>
        <family val="1"/>
      </rPr>
      <t xml:space="preserve">     </t>
    </r>
    <r>
      <rPr>
        <sz val="11"/>
        <color theme="1"/>
        <rFont val="Arial Narrow"/>
        <family val="2"/>
      </rPr>
      <t>Air flow switch</t>
    </r>
  </si>
  <si>
    <r>
      <t>•</t>
    </r>
    <r>
      <rPr>
        <sz val="7"/>
        <color theme="1"/>
        <rFont val="Times New Roman"/>
        <family val="1"/>
      </rPr>
      <t xml:space="preserve">     </t>
    </r>
    <r>
      <rPr>
        <sz val="11"/>
        <color theme="1"/>
        <rFont val="Arial Narrow"/>
        <family val="2"/>
      </rPr>
      <t>Differential pressure switch</t>
    </r>
  </si>
  <si>
    <r>
      <t>•</t>
    </r>
    <r>
      <rPr>
        <sz val="7"/>
        <color theme="1"/>
        <rFont val="Times New Roman"/>
        <family val="1"/>
      </rPr>
      <t xml:space="preserve">     </t>
    </r>
    <r>
      <rPr>
        <sz val="11"/>
        <color theme="1"/>
        <rFont val="Arial Narrow"/>
        <family val="2"/>
      </rPr>
      <t>Insulated stainless steel drain pan.</t>
    </r>
  </si>
  <si>
    <r>
      <t>•</t>
    </r>
    <r>
      <rPr>
        <sz val="7"/>
        <color theme="1"/>
        <rFont val="Times New Roman"/>
        <family val="1"/>
      </rPr>
      <t xml:space="preserve">     </t>
    </r>
    <r>
      <rPr>
        <sz val="11"/>
        <color theme="1"/>
        <rFont val="Arial Narrow"/>
        <family val="2"/>
      </rPr>
      <t>1.0-Inch-thick aluminum flat filter (EU 2)</t>
    </r>
  </si>
  <si>
    <r>
      <t>•</t>
    </r>
    <r>
      <rPr>
        <sz val="7"/>
        <color theme="1"/>
        <rFont val="Times New Roman"/>
        <family val="1"/>
      </rPr>
      <t xml:space="preserve">     </t>
    </r>
    <r>
      <rPr>
        <sz val="11"/>
        <color theme="1"/>
        <rFont val="Arial Narrow"/>
        <family val="2"/>
      </rPr>
      <t>Forward curved centrifugal Direct Driven evaporator fan with galvanized steel blades</t>
    </r>
  </si>
  <si>
    <r>
      <t>•</t>
    </r>
    <r>
      <rPr>
        <sz val="7"/>
        <color theme="1"/>
        <rFont val="Times New Roman"/>
        <family val="1"/>
      </rPr>
      <t xml:space="preserve">     </t>
    </r>
    <r>
      <rPr>
        <sz val="11"/>
        <color theme="1"/>
        <rFont val="Arial Narrow"/>
        <family val="2"/>
      </rPr>
      <t>For more technical details, please refer to our catalogue.</t>
    </r>
  </si>
  <si>
    <r>
      <t>•</t>
    </r>
    <r>
      <rPr>
        <sz val="7"/>
        <color theme="1"/>
        <rFont val="Times New Roman"/>
        <family val="1"/>
      </rPr>
      <t xml:space="preserve">     </t>
    </r>
    <r>
      <rPr>
        <sz val="11"/>
        <color theme="1"/>
        <rFont val="Arial Narrow"/>
        <family val="2"/>
      </rPr>
      <t xml:space="preserve">Units were selected at </t>
    </r>
    <r>
      <rPr>
        <b/>
        <sz val="11"/>
        <color theme="1"/>
        <rFont val="Arial Narrow"/>
        <family val="2"/>
      </rPr>
      <t>115°F</t>
    </r>
    <r>
      <rPr>
        <sz val="11"/>
        <color theme="1"/>
        <rFont val="Arial Narrow"/>
        <family val="2"/>
      </rPr>
      <t xml:space="preserve"> ambient.</t>
    </r>
  </si>
  <si>
    <r>
      <t>•</t>
    </r>
    <r>
      <rPr>
        <sz val="7"/>
        <color theme="1"/>
        <rFont val="Times New Roman"/>
        <family val="1"/>
      </rPr>
      <t xml:space="preserve">     </t>
    </r>
    <r>
      <rPr>
        <sz val="11"/>
        <color theme="1"/>
        <rFont val="Arial Narrow"/>
        <family val="2"/>
      </rPr>
      <t>Air on coil dry bulb temp. as per your schedule.</t>
    </r>
  </si>
  <si>
    <r>
      <t>•</t>
    </r>
    <r>
      <rPr>
        <sz val="7"/>
        <color theme="1"/>
        <rFont val="Times New Roman"/>
        <family val="1"/>
      </rPr>
      <t xml:space="preserve">     </t>
    </r>
    <r>
      <rPr>
        <sz val="11"/>
        <color theme="1"/>
        <rFont val="Arial Narrow"/>
        <family val="2"/>
      </rPr>
      <t>Copper tubes &amp; Aluminum fins condenser coil</t>
    </r>
  </si>
  <si>
    <r>
      <t>•</t>
    </r>
    <r>
      <rPr>
        <sz val="7"/>
        <color theme="1"/>
        <rFont val="Times New Roman"/>
        <family val="1"/>
      </rPr>
      <t xml:space="preserve">     </t>
    </r>
    <r>
      <rPr>
        <sz val="11"/>
        <color theme="1"/>
        <rFont val="Arial Narrow"/>
        <family val="2"/>
      </rPr>
      <t>Copper tubes &amp; aluminum fins evaporator coil</t>
    </r>
  </si>
  <si>
    <r>
      <t>•</t>
    </r>
    <r>
      <rPr>
        <sz val="7"/>
        <color theme="1"/>
        <rFont val="Times New Roman"/>
        <family val="1"/>
      </rPr>
      <t xml:space="preserve">     </t>
    </r>
    <r>
      <rPr>
        <sz val="11"/>
        <color theme="1"/>
        <rFont val="Arial Narrow"/>
        <family val="2"/>
      </rPr>
      <t>Free terminals for BMS connection include: General alarm &amp; on / off remote switch.</t>
    </r>
  </si>
  <si>
    <r>
      <t>•</t>
    </r>
    <r>
      <rPr>
        <sz val="7"/>
        <color theme="1"/>
        <rFont val="Times New Roman"/>
        <family val="1"/>
      </rPr>
      <t xml:space="preserve">     </t>
    </r>
    <r>
      <rPr>
        <sz val="11"/>
        <color theme="1"/>
        <rFont val="Arial Narrow"/>
        <family val="2"/>
      </rPr>
      <t>Cabinet construction (indoor installation – Floor mounted / Wall Mounted)</t>
    </r>
  </si>
  <si>
    <t>Technical Details Data Selection &gt;&gt;&gt;&gt;&gt;&gt;&gt;</t>
  </si>
  <si>
    <t>====&gt;</t>
  </si>
  <si>
    <t>ESP</t>
  </si>
  <si>
    <t>CF</t>
  </si>
  <si>
    <t>CH-F STG1</t>
  </si>
  <si>
    <t>CH-F STG2</t>
  </si>
  <si>
    <t>PSC $</t>
  </si>
  <si>
    <t>RWC $</t>
  </si>
  <si>
    <t>Sheet (1)</t>
  </si>
  <si>
    <t>Sheet (2)</t>
  </si>
  <si>
    <t>Sheet (3)</t>
  </si>
  <si>
    <t>Price $</t>
  </si>
  <si>
    <t>Options</t>
  </si>
  <si>
    <t>AHU Model</t>
  </si>
  <si>
    <t>PAH 012</t>
  </si>
  <si>
    <t>PAH 024</t>
  </si>
  <si>
    <t>PAH 032</t>
  </si>
  <si>
    <t>PAH 016</t>
  </si>
  <si>
    <t>PAH 040</t>
  </si>
  <si>
    <t>PAH 050</t>
  </si>
  <si>
    <t>PAH 062</t>
  </si>
  <si>
    <t>PAH 080</t>
  </si>
  <si>
    <t>PAH 100</t>
  </si>
  <si>
    <t>PAH 120</t>
  </si>
  <si>
    <t>PAH 150</t>
  </si>
  <si>
    <t>PAH 180</t>
  </si>
  <si>
    <t>PAH 200</t>
  </si>
  <si>
    <t>PAH 250</t>
  </si>
  <si>
    <t>PAH 320</t>
  </si>
  <si>
    <t>PAH 400</t>
  </si>
  <si>
    <t>PAH 450</t>
  </si>
  <si>
    <t>Area Ft</t>
  </si>
  <si>
    <t>CFM</t>
  </si>
  <si>
    <t>REF</t>
  </si>
  <si>
    <t>MODEL</t>
  </si>
  <si>
    <t>CM 15</t>
  </si>
  <si>
    <t>CM 20</t>
  </si>
  <si>
    <t>CM 24</t>
  </si>
  <si>
    <t>CM 30</t>
  </si>
  <si>
    <t>CM 38</t>
  </si>
  <si>
    <t>CM 48</t>
  </si>
  <si>
    <t>CM 60</t>
  </si>
  <si>
    <t>CM 75</t>
  </si>
  <si>
    <t>CM 96</t>
  </si>
  <si>
    <t>PPH4 40-1</t>
  </si>
  <si>
    <t>PPH4 50-1</t>
  </si>
  <si>
    <t>PPH4 60-1</t>
  </si>
  <si>
    <t>PPH4 85-1</t>
  </si>
  <si>
    <t>PPH4 85-2</t>
  </si>
  <si>
    <t>PPH4 95-1</t>
  </si>
  <si>
    <t>PPH4 95-2</t>
  </si>
  <si>
    <t>PPH4 105-1</t>
  </si>
  <si>
    <t>PPH4 105-2</t>
  </si>
  <si>
    <t>PPH4 115-1</t>
  </si>
  <si>
    <t>PPH4 115-2</t>
  </si>
  <si>
    <t>PPH4 135-1</t>
  </si>
  <si>
    <t>PPH4 135-2</t>
  </si>
  <si>
    <t>PPH4 160-1</t>
  </si>
  <si>
    <t>PPH4 160-2</t>
  </si>
  <si>
    <t>PPH4 175-1</t>
  </si>
  <si>
    <t>PPH4 175-2</t>
  </si>
  <si>
    <t>PPH4 195-2</t>
  </si>
  <si>
    <t>PPH4 230-2</t>
  </si>
  <si>
    <t>PPH4 300-2</t>
  </si>
  <si>
    <t>PPH4 360-2</t>
  </si>
  <si>
    <t>PPH4 450-2</t>
  </si>
  <si>
    <t>PPH4 640-2</t>
  </si>
  <si>
    <t>PPH4 700-2</t>
  </si>
  <si>
    <t>PPH4 800-3</t>
  </si>
  <si>
    <t>PPH4 900-3</t>
  </si>
  <si>
    <t>PPH4 1000-4</t>
  </si>
  <si>
    <t>PPH4 1100-4</t>
  </si>
  <si>
    <t>PPH4 1200-4</t>
  </si>
  <si>
    <t>PPH4 1400-6</t>
  </si>
  <si>
    <t>PPH4 1600-6</t>
  </si>
  <si>
    <t>PPH4 1800-6</t>
  </si>
  <si>
    <t>PPH4 2000-6</t>
  </si>
  <si>
    <t>PPH4 2200-8</t>
  </si>
  <si>
    <t>PPHc 40-1</t>
  </si>
  <si>
    <t>PPHc 50-1</t>
  </si>
  <si>
    <t>PPHc 60-1</t>
  </si>
  <si>
    <t>PPHc 85-1</t>
  </si>
  <si>
    <t>PPHc 95-1</t>
  </si>
  <si>
    <t>PPHc 95-2</t>
  </si>
  <si>
    <t>PPHc 105-1</t>
  </si>
  <si>
    <t>PPHc 105-2</t>
  </si>
  <si>
    <t>PPHc 115-1</t>
  </si>
  <si>
    <t>PPHc 115-2</t>
  </si>
  <si>
    <t>PPHc 135-1</t>
  </si>
  <si>
    <t>PPHc 135-2</t>
  </si>
  <si>
    <t>PPHc 160-1</t>
  </si>
  <si>
    <t>PPHc 160-2</t>
  </si>
  <si>
    <t>PPHc 175-1</t>
  </si>
  <si>
    <t>PPHc 175-2</t>
  </si>
  <si>
    <t>PPHc 195-2</t>
  </si>
  <si>
    <t>PPHc 230-2</t>
  </si>
  <si>
    <t>PPHc 300-2</t>
  </si>
  <si>
    <t>PPHc 360-2</t>
  </si>
  <si>
    <t>PPHc 450-2</t>
  </si>
  <si>
    <t>PPHc 530-2</t>
  </si>
  <si>
    <t>PPHc 640-2</t>
  </si>
  <si>
    <t>PPHc 700-2</t>
  </si>
  <si>
    <t>PPHc 800-3</t>
  </si>
  <si>
    <t>PPHc 900-4</t>
  </si>
  <si>
    <t>PPHc 1000-4</t>
  </si>
  <si>
    <t>PPHc 1100-4</t>
  </si>
  <si>
    <t>PPHc 1200-4</t>
  </si>
  <si>
    <t>PPHc 1400-6</t>
  </si>
  <si>
    <t>PPHc 1600-6</t>
  </si>
  <si>
    <t>PPHc 1800-6</t>
  </si>
  <si>
    <t>PPHc 2000-6</t>
  </si>
  <si>
    <t>PPHc 2200-8</t>
  </si>
  <si>
    <t>PPHc 1400-2</t>
  </si>
  <si>
    <t>PPHc 1600-2</t>
  </si>
  <si>
    <t>PPHc 1800-3</t>
  </si>
  <si>
    <t>PPHc 2000-3</t>
  </si>
  <si>
    <t>PPHc 2200-4</t>
  </si>
  <si>
    <t>PPH 40</t>
  </si>
  <si>
    <t>PPH 50</t>
  </si>
  <si>
    <t>PPH 60</t>
  </si>
  <si>
    <t>PPH 85-1</t>
  </si>
  <si>
    <t>PPH 85</t>
  </si>
  <si>
    <t>PPH 95-1</t>
  </si>
  <si>
    <t>PPH 95</t>
  </si>
  <si>
    <t>PPH 105-1</t>
  </si>
  <si>
    <t>PPH 105</t>
  </si>
  <si>
    <t>PPH 115-1</t>
  </si>
  <si>
    <t>PPH 115</t>
  </si>
  <si>
    <t>PPH 135-1</t>
  </si>
  <si>
    <t>PPH 135</t>
  </si>
  <si>
    <t>PPH 160-1</t>
  </si>
  <si>
    <t>PPH 160</t>
  </si>
  <si>
    <t>PPH 175-1</t>
  </si>
  <si>
    <t>PPH 175</t>
  </si>
  <si>
    <t>PPH 195</t>
  </si>
  <si>
    <t>PPH 230</t>
  </si>
  <si>
    <t>PPH 300</t>
  </si>
  <si>
    <t>PPH 360</t>
  </si>
  <si>
    <t>PPH 450</t>
  </si>
  <si>
    <t>PPH 530</t>
  </si>
  <si>
    <t>PPH 640</t>
  </si>
  <si>
    <t>PPH 700</t>
  </si>
  <si>
    <t>PPH 800</t>
  </si>
  <si>
    <t>PPH 900</t>
  </si>
  <si>
    <t>PPH 1000</t>
  </si>
  <si>
    <t>PPH 1100</t>
  </si>
  <si>
    <t>PPH 1200</t>
  </si>
  <si>
    <t>PPH 1400</t>
  </si>
  <si>
    <t>PPH 1600</t>
  </si>
  <si>
    <t>PPH 1800</t>
  </si>
  <si>
    <t>PPH 2000</t>
  </si>
  <si>
    <t>PPH 2200</t>
  </si>
  <si>
    <t>PPH4 530-2</t>
  </si>
  <si>
    <t>Cond Fan</t>
  </si>
  <si>
    <t>Cond Qty</t>
  </si>
  <si>
    <t>Comp1</t>
  </si>
  <si>
    <t>Comp1 QTY</t>
  </si>
  <si>
    <t>Comp2 QTY</t>
  </si>
  <si>
    <t>NO.</t>
  </si>
  <si>
    <t>File</t>
  </si>
  <si>
    <t>SCECO</t>
  </si>
  <si>
    <t>SAES-K-001 &amp; SAES-K-003</t>
  </si>
  <si>
    <t xml:space="preserve">Specification </t>
  </si>
  <si>
    <t>Specification Number</t>
  </si>
  <si>
    <t>73 - TMSS-01 REV.1</t>
  </si>
  <si>
    <t>SFM Kw</t>
  </si>
  <si>
    <t>SFM QTY</t>
  </si>
  <si>
    <t>RFM Kw</t>
  </si>
  <si>
    <t>RFM QTY</t>
  </si>
  <si>
    <t>Comp Kw Input</t>
  </si>
  <si>
    <t>Power Supply</t>
  </si>
  <si>
    <t>400/3/60</t>
  </si>
  <si>
    <t>Chillers</t>
  </si>
  <si>
    <t>Screw</t>
  </si>
  <si>
    <t>Scroll</t>
  </si>
  <si>
    <t>Total Pressur Drop ( Supply Fan Selection)</t>
  </si>
  <si>
    <t>SFM</t>
  </si>
  <si>
    <t>SFMQ</t>
  </si>
  <si>
    <t>Motor QTY</t>
  </si>
  <si>
    <t xml:space="preserve">Indoor Unit </t>
  </si>
  <si>
    <t xml:space="preserve">Outdoor Unit </t>
  </si>
  <si>
    <t>---------------------------------------------------------------------</t>
  </si>
  <si>
    <t>E.H</t>
  </si>
  <si>
    <t>S.H</t>
  </si>
  <si>
    <t>EH</t>
  </si>
  <si>
    <t>SH</t>
  </si>
  <si>
    <t>Comp1 HP</t>
  </si>
  <si>
    <t>Comp2 HP</t>
  </si>
  <si>
    <t>Sen.Cap.
(BTUH)</t>
  </si>
  <si>
    <t>LDBT
(°F)</t>
  </si>
  <si>
    <t>LWBT
(°F)</t>
  </si>
  <si>
    <t>EWT
(°C)</t>
  </si>
  <si>
    <t>LWT
(°C)</t>
  </si>
  <si>
    <t>EWT
(°F)</t>
  </si>
  <si>
    <t>LWT
(°F)</t>
  </si>
  <si>
    <t>On Coil
DBT (°C)</t>
  </si>
  <si>
    <t>On Coil
WBT (°C)</t>
  </si>
  <si>
    <t>On Coil
DBT  (°F)</t>
  </si>
  <si>
    <t>On Coil
WBT (°F)</t>
  </si>
  <si>
    <t>E. Heater
(KW)</t>
  </si>
  <si>
    <t>Steam Humi.
(Kg/hr)</t>
  </si>
  <si>
    <t>Tot. Cap.
(Kw)</t>
  </si>
  <si>
    <t>Tot. Cap.
(BTUH)</t>
  </si>
  <si>
    <t>Sen.Cap.
(KW)</t>
  </si>
  <si>
    <t>Sen.Cap.
(Kw)</t>
  </si>
  <si>
    <t>E. Heater
(Kw)</t>
  </si>
  <si>
    <t>Sen. Cap.
(Kw)</t>
  </si>
  <si>
    <t>Ambient
 (°C)</t>
  </si>
  <si>
    <t>Ambient
 (°F)</t>
  </si>
  <si>
    <t>On Coil
WBT  (°F)</t>
  </si>
  <si>
    <t>ESP
(Pa)</t>
  </si>
  <si>
    <t>ESP
(inwg)</t>
  </si>
  <si>
    <t>Supply 
(L/s)</t>
  </si>
  <si>
    <t>CARH Options</t>
  </si>
  <si>
    <t>ESP
 (Inwg)</t>
  </si>
  <si>
    <t>ESP
 (Pa)</t>
  </si>
  <si>
    <t>ESP
  (Pa)</t>
  </si>
  <si>
    <t>ESP
  (Inwg)</t>
  </si>
  <si>
    <t>Unit Components Data</t>
  </si>
  <si>
    <t>CHP1</t>
  </si>
  <si>
    <t>CHP2</t>
  </si>
  <si>
    <t>CQ1</t>
  </si>
  <si>
    <t>CQ2</t>
  </si>
  <si>
    <t>CFS</t>
  </si>
  <si>
    <t>CFQ</t>
  </si>
  <si>
    <t>CTIP</t>
  </si>
  <si>
    <t>Cond fan Size</t>
  </si>
  <si>
    <t>CompS TIP</t>
  </si>
  <si>
    <t>Brands</t>
  </si>
  <si>
    <t>Motor Brand</t>
  </si>
  <si>
    <t>SOMER</t>
  </si>
  <si>
    <t>COPELAND</t>
  </si>
  <si>
    <t>DANFOSS</t>
  </si>
  <si>
    <t>COMPRESSORS BRAND</t>
  </si>
  <si>
    <t>Condenser Fans Brands</t>
  </si>
  <si>
    <t>EBM</t>
  </si>
  <si>
    <t>KW</t>
  </si>
  <si>
    <t>Comp1 RLA</t>
  </si>
  <si>
    <t>Comp2 RLA</t>
  </si>
  <si>
    <t>Cond Fan RLA</t>
  </si>
  <si>
    <t>S.Fan  RLA</t>
  </si>
  <si>
    <t>E.Heater  RLA</t>
  </si>
  <si>
    <t>Steam Humi. RLA</t>
  </si>
  <si>
    <t>Motor
(Kw)</t>
  </si>
  <si>
    <t>Cond Fan IN.PWR</t>
  </si>
  <si>
    <t>S.Fan  IN.PWR</t>
  </si>
  <si>
    <t>R.Fan  IN.PWR</t>
  </si>
  <si>
    <t>E.Heater IN.PWR</t>
  </si>
  <si>
    <t>SH IN.PWR</t>
  </si>
  <si>
    <t>Comp. IN.PWR</t>
  </si>
  <si>
    <t>R.Fan RLA</t>
  </si>
  <si>
    <t>FLA</t>
  </si>
  <si>
    <t>User IP ADDRESS</t>
  </si>
  <si>
    <t>MAX RLA (ID)</t>
  </si>
  <si>
    <t>MAX RLA (OD)</t>
  </si>
  <si>
    <t>Heater Pur</t>
  </si>
  <si>
    <t>Dehumidification</t>
  </si>
  <si>
    <t>Heating</t>
  </si>
  <si>
    <t>Heat Pump</t>
  </si>
  <si>
    <t>DATA Output With Details</t>
  </si>
  <si>
    <t>Motor Kw</t>
  </si>
  <si>
    <t>Motor (Kw)</t>
  </si>
  <si>
    <t>AHU (Indoor)</t>
  </si>
  <si>
    <t>DSP (Outdoor)</t>
  </si>
  <si>
    <t>Units Series</t>
  </si>
  <si>
    <t>Explosion Proof</t>
  </si>
  <si>
    <t>AHU &amp; PPH</t>
  </si>
  <si>
    <t>Fan Section</t>
  </si>
  <si>
    <t>First Section</t>
  </si>
  <si>
    <t>1ST STG Filtration</t>
  </si>
  <si>
    <t>2ND STG Filtration</t>
  </si>
  <si>
    <t>3RD STG Filtration</t>
  </si>
  <si>
    <t>4TH STG Filtration</t>
  </si>
  <si>
    <t>5TH STG Filtration</t>
  </si>
  <si>
    <t>6TH STG Filtration</t>
  </si>
  <si>
    <t>2ND STG Cooling</t>
  </si>
  <si>
    <t>1ST STG Cooling</t>
  </si>
  <si>
    <t>Other Sections</t>
  </si>
  <si>
    <t>Energy Recovery</t>
  </si>
  <si>
    <t>Main</t>
  </si>
  <si>
    <t>Access Type &amp; Side</t>
  </si>
  <si>
    <t>Accessorise</t>
  </si>
  <si>
    <t>Profile Type</t>
  </si>
  <si>
    <t>Insulation</t>
  </si>
  <si>
    <t>Base Type</t>
  </si>
  <si>
    <t>Roof Cover</t>
  </si>
  <si>
    <t>Discharge Direction</t>
  </si>
  <si>
    <t>Exhaust Connection Direction</t>
  </si>
  <si>
    <t>Return Connection Direction</t>
  </si>
  <si>
    <t>Fresh Connection Direction</t>
  </si>
  <si>
    <t>Standby / Return Fan</t>
  </si>
  <si>
    <t>Vibration Isolator</t>
  </si>
  <si>
    <t>Templets</t>
  </si>
  <si>
    <t xml:space="preserve">PSC4 Series WATER IN = 54 F, WATER OUT = 44 F ...  50&amp;60Hz </t>
  </si>
  <si>
    <t>COMPRESSOR</t>
  </si>
  <si>
    <t>CONDENSER</t>
  </si>
  <si>
    <t>COOLER</t>
  </si>
  <si>
    <t>CAPACITY TR [60Hz]</t>
  </si>
  <si>
    <t>#</t>
  </si>
  <si>
    <t>PSC4</t>
  </si>
  <si>
    <t>Qty</t>
  </si>
  <si>
    <t>CIRCUIT #</t>
  </si>
  <si>
    <t>(L*W) "</t>
  </si>
  <si>
    <t>AREA FT2</t>
  </si>
  <si>
    <t>FINS</t>
  </si>
  <si>
    <t>ROWS</t>
  </si>
  <si>
    <t>FAN Diameter</t>
  </si>
  <si>
    <t>FAN #</t>
  </si>
  <si>
    <t>ZP295KCE (25 Hp)+ZP385KCE (30 Hp)</t>
  </si>
  <si>
    <t>1+1</t>
  </si>
  <si>
    <t>76*65</t>
  </si>
  <si>
    <t>MPE230</t>
  </si>
  <si>
    <t>ZP385KCE (30 Hp)</t>
  </si>
  <si>
    <t>ZP235KCE (20 Hp)+ZP385KCE (30 Hp)</t>
  </si>
  <si>
    <t>2+1</t>
  </si>
  <si>
    <t>MPE335</t>
  </si>
  <si>
    <t>ZP235KCE (20 Hp)</t>
  </si>
  <si>
    <t>ZP235KCE (20 Hp)+ZP295KCE (25 Hp)</t>
  </si>
  <si>
    <t>2+2</t>
  </si>
  <si>
    <t>ZP295KCE (25 Hp)</t>
  </si>
  <si>
    <t>76*57</t>
  </si>
  <si>
    <t>MPE460</t>
  </si>
  <si>
    <t>1+3</t>
  </si>
  <si>
    <t>MPE570</t>
  </si>
  <si>
    <t>GSD80385 (30 Hp)+GSD80485 (40 Hp)</t>
  </si>
  <si>
    <t>3+1</t>
  </si>
  <si>
    <t>GSD80485 (40 Hp)</t>
  </si>
  <si>
    <t>MPE650</t>
  </si>
  <si>
    <t>MPE335*2</t>
  </si>
  <si>
    <t>MPE460*2</t>
  </si>
  <si>
    <t>6+2</t>
  </si>
  <si>
    <t>4+4</t>
  </si>
  <si>
    <t>2+6</t>
  </si>
  <si>
    <t>MPE570*2</t>
  </si>
  <si>
    <t>MPE650*2</t>
  </si>
  <si>
    <t>W (3/8")</t>
  </si>
  <si>
    <t>H (3/8")</t>
  </si>
  <si>
    <t>Area</t>
  </si>
  <si>
    <t>2 m/s</t>
  </si>
  <si>
    <t>2.5 m/s</t>
  </si>
  <si>
    <t>FAN</t>
  </si>
  <si>
    <t>PPH Fans and Motor</t>
  </si>
  <si>
    <t>PAH</t>
  </si>
  <si>
    <t>mm</t>
  </si>
  <si>
    <t>m2</t>
  </si>
  <si>
    <t>L/S</t>
  </si>
  <si>
    <t>AT/ADH/EPF</t>
  </si>
  <si>
    <t>STD FAN</t>
  </si>
  <si>
    <t>STD Motor</t>
  </si>
  <si>
    <t>10/250/122</t>
  </si>
  <si>
    <t>DD1010</t>
  </si>
  <si>
    <t>10/250/182</t>
  </si>
  <si>
    <t>12/280/182</t>
  </si>
  <si>
    <t>AT 10-10 S</t>
  </si>
  <si>
    <t>15/315/182</t>
  </si>
  <si>
    <t>AT 12-12 S</t>
  </si>
  <si>
    <t>15/315/270</t>
  </si>
  <si>
    <t>18/400/270</t>
  </si>
  <si>
    <t>AT 15-15 S</t>
  </si>
  <si>
    <t>.---/500/270</t>
  </si>
  <si>
    <t>.---/560/330</t>
  </si>
  <si>
    <t>AT 12-12 G2L</t>
  </si>
  <si>
    <t>.---/630/402</t>
  </si>
  <si>
    <t>1828.8 (2)</t>
  </si>
  <si>
    <t>.---/630/440</t>
  </si>
  <si>
    <t>AT 15-15 G2L</t>
  </si>
  <si>
    <t>1981.2 (2)</t>
  </si>
  <si>
    <t>.---/710/All</t>
  </si>
  <si>
    <t>.---/800/All</t>
  </si>
  <si>
    <t>.---/900/All</t>
  </si>
  <si>
    <t>AT 18-18 G2L</t>
  </si>
  <si>
    <t>.---/1000/All</t>
  </si>
  <si>
    <t>ADH 400 G2</t>
  </si>
  <si>
    <t>ADH 710 L</t>
  </si>
  <si>
    <t>ADH 800 K</t>
  </si>
  <si>
    <t>L</t>
  </si>
  <si>
    <t>H</t>
  </si>
  <si>
    <t>10 (250)</t>
  </si>
  <si>
    <t>ADH 900 K</t>
  </si>
  <si>
    <t>12 (280)</t>
  </si>
  <si>
    <t>2 X ADH 710 L</t>
  </si>
  <si>
    <t>2 X 15</t>
  </si>
  <si>
    <t>2*10 (250)</t>
  </si>
  <si>
    <t>2 X ADH 710 K</t>
  </si>
  <si>
    <t>2 X 18.5</t>
  </si>
  <si>
    <t>18 (400)</t>
  </si>
  <si>
    <t>2 X ADH 900 K</t>
  </si>
  <si>
    <t>2*15 (315)</t>
  </si>
  <si>
    <t>Air</t>
  </si>
  <si>
    <t>Watt</t>
  </si>
  <si>
    <t>Circuit</t>
  </si>
  <si>
    <t>High</t>
  </si>
  <si>
    <t>MAX Pa</t>
  </si>
  <si>
    <t>one Eight</t>
  </si>
  <si>
    <t>AT</t>
  </si>
  <si>
    <t>Water</t>
  </si>
  <si>
    <t>Total Cap.= 4181 x L/S x (EWT-LWT)</t>
  </si>
  <si>
    <t>Quarter</t>
  </si>
  <si>
    <t>ADH</t>
  </si>
  <si>
    <t>Half</t>
  </si>
  <si>
    <t>RDH</t>
  </si>
  <si>
    <t>1 m/s =</t>
  </si>
  <si>
    <t>f/m</t>
  </si>
  <si>
    <t>E.H. For Each 1 T.R. use 1.5 kW</t>
  </si>
  <si>
    <t>Half &amp; Full</t>
  </si>
  <si>
    <t>RDA</t>
  </si>
  <si>
    <t>Open</t>
  </si>
  <si>
    <t>EER</t>
  </si>
  <si>
    <t>CAP/PI</t>
  </si>
  <si>
    <t>mbh/kW</t>
  </si>
  <si>
    <t>Full</t>
  </si>
  <si>
    <t>COP</t>
  </si>
  <si>
    <t>kW/kW</t>
  </si>
  <si>
    <t>F &amp; D</t>
  </si>
  <si>
    <t>PETRA STD Fans</t>
  </si>
  <si>
    <t>Double</t>
  </si>
  <si>
    <t>AT 10-10</t>
  </si>
  <si>
    <t>Fan x Motor x kW</t>
  </si>
  <si>
    <t>Coil (LxH) mm</t>
  </si>
  <si>
    <t>Circuiting</t>
  </si>
  <si>
    <t>District</t>
  </si>
  <si>
    <t>Triple</t>
  </si>
  <si>
    <t>Low</t>
  </si>
  <si>
    <t>AT 12-12</t>
  </si>
  <si>
    <t>1 x 1 x 0.0373</t>
  </si>
  <si>
    <t>RAC 2,3</t>
  </si>
  <si>
    <t>635x203.2</t>
  </si>
  <si>
    <t>Q</t>
  </si>
  <si>
    <t>AT 15-15</t>
  </si>
  <si>
    <t>2 x 1 x 0.05</t>
  </si>
  <si>
    <t>RAC 4</t>
  </si>
  <si>
    <t>GI Gauge</t>
  </si>
  <si>
    <t>AT 18-18</t>
  </si>
  <si>
    <t>RAC 5,6</t>
  </si>
  <si>
    <t>889x203.2</t>
  </si>
  <si>
    <t>H &amp; Q</t>
  </si>
  <si>
    <t>ADH / RDH / RDA</t>
  </si>
  <si>
    <t>All Sizes Excpet
Below 160, 225</t>
  </si>
  <si>
    <t>RAC 8</t>
  </si>
  <si>
    <t>1033.78x203.2</t>
  </si>
  <si>
    <t>4 x 2 x 0.05</t>
  </si>
  <si>
    <t>RAC 10,12</t>
  </si>
  <si>
    <t>1567.18x203.2</t>
  </si>
  <si>
    <t>1 x 1 x 0.1865</t>
  </si>
  <si>
    <t>DC 6,8,10</t>
  </si>
  <si>
    <t>533.4x381</t>
  </si>
  <si>
    <t>PETRA Motors KW</t>
  </si>
  <si>
    <t>2 x 2 x 0.1865</t>
  </si>
  <si>
    <t>DC12,14,16</t>
  </si>
  <si>
    <t>889x381</t>
  </si>
  <si>
    <t>DC 18 , 20</t>
  </si>
  <si>
    <t>1143x381</t>
  </si>
  <si>
    <t>H &amp; F</t>
  </si>
  <si>
    <t>3 x 3 x 0.1865</t>
  </si>
  <si>
    <t>DC 24</t>
  </si>
  <si>
    <t>1524x381</t>
  </si>
  <si>
    <t>4 x 4 x 0.1865</t>
  </si>
  <si>
    <t>DC 30</t>
  </si>
  <si>
    <t>1905x381</t>
  </si>
  <si>
    <t xml:space="preserve"> </t>
  </si>
  <si>
    <t>ADH / RDH / RDA Class</t>
  </si>
  <si>
    <t>L or R</t>
  </si>
  <si>
    <t>K</t>
  </si>
  <si>
    <t>K1</t>
  </si>
  <si>
    <t>K2</t>
  </si>
  <si>
    <t>G2L</t>
  </si>
  <si>
    <t>G2K</t>
  </si>
  <si>
    <t>G2K2</t>
  </si>
  <si>
    <t>FACE 500</t>
  </si>
  <si>
    <t>FACE 530</t>
  </si>
  <si>
    <t>inch</t>
  </si>
  <si>
    <t>ft2</t>
  </si>
  <si>
    <t>72 (36*2)</t>
  </si>
  <si>
    <t>78 (39*2)</t>
  </si>
  <si>
    <t>2 X ADH 800 K</t>
  </si>
  <si>
    <t>BTU/Hr</t>
  </si>
  <si>
    <t>MAX inwg</t>
  </si>
  <si>
    <t>Total Cap.= 500 x GPM x (EWT-LWT)</t>
  </si>
  <si>
    <t>E.H. For Each 1 T.R. use 1.5 kW (Full Return)</t>
  </si>
  <si>
    <t>Coil (LxH)</t>
  </si>
  <si>
    <t>25 x 8</t>
  </si>
  <si>
    <t>35 x 8</t>
  </si>
  <si>
    <t>All Sizes Excpet 
160 &amp; 225</t>
  </si>
  <si>
    <t>40.7 x 8</t>
  </si>
  <si>
    <t>61.7 x 8</t>
  </si>
  <si>
    <t>21 x 15</t>
  </si>
  <si>
    <t>35 x 15</t>
  </si>
  <si>
    <t>45 x 15</t>
  </si>
  <si>
    <t>60 x 15</t>
  </si>
  <si>
    <t>75 x 15</t>
  </si>
  <si>
    <t>PAH + CM + FCU (SI Units)</t>
  </si>
  <si>
    <t>PAH + CM + FCU (PI Units)</t>
  </si>
  <si>
    <t>EVAPORATER</t>
  </si>
  <si>
    <t>PPH4</t>
  </si>
  <si>
    <t>COMP. QTY</t>
  </si>
  <si>
    <t>COIL  LENGTH "</t>
  </si>
  <si>
    <t>COIL WEDTH "</t>
  </si>
  <si>
    <t>COIL #</t>
  </si>
  <si>
    <t>FAN QTY</t>
  </si>
  <si>
    <t>COIL  WEDTH "</t>
  </si>
  <si>
    <t>COIL HIEGHT "</t>
  </si>
  <si>
    <t>40-1</t>
  </si>
  <si>
    <t>ZP36K5E (3 Hp)</t>
  </si>
  <si>
    <t>50-1</t>
  </si>
  <si>
    <t>ZP49K5E (4 Hp)</t>
  </si>
  <si>
    <t>60-1</t>
  </si>
  <si>
    <t>ZP61KCE (5 Hp)</t>
  </si>
  <si>
    <t>85-1</t>
  </si>
  <si>
    <t>ZP90KCE (8 Hp)</t>
  </si>
  <si>
    <t>95-1</t>
  </si>
  <si>
    <t>95-2</t>
  </si>
  <si>
    <t>ZP36K5E (3 Hp)+ZP49K5E (4 Hp)</t>
  </si>
  <si>
    <t>105-1</t>
  </si>
  <si>
    <t>ZP103KCE (9 Hp)</t>
  </si>
  <si>
    <t>105-2</t>
  </si>
  <si>
    <t>ZP49K5E (4 Hp)+ZP61KCE (5 Hp)</t>
  </si>
  <si>
    <t>115-1</t>
  </si>
  <si>
    <t>ZP120KCE (10 Hp)</t>
  </si>
  <si>
    <t>115-2</t>
  </si>
  <si>
    <t>135-1</t>
  </si>
  <si>
    <t>ZP137KCE (12 Hp)</t>
  </si>
  <si>
    <t>135-2</t>
  </si>
  <si>
    <t>ZP61KCE (5 Hp)+ZP90KCE (8 Hp)</t>
  </si>
  <si>
    <t>160-1</t>
  </si>
  <si>
    <t>ZP182KCE (15 Hp)</t>
  </si>
  <si>
    <t>160-2</t>
  </si>
  <si>
    <t>ZP103KCE (9 Hp)+ZP90KCE (8 Hp)</t>
  </si>
  <si>
    <t>175-1</t>
  </si>
  <si>
    <t>175-2</t>
  </si>
  <si>
    <t>195-2</t>
  </si>
  <si>
    <t>ZP90KCE(7 Hp)+ZP120KCE(10 Hp)</t>
  </si>
  <si>
    <t>230-2</t>
  </si>
  <si>
    <t>300-2</t>
  </si>
  <si>
    <t>360-2</t>
  </si>
  <si>
    <t>450-2</t>
  </si>
  <si>
    <t>530-2</t>
  </si>
  <si>
    <t>640-2</t>
  </si>
  <si>
    <t>700-2</t>
  </si>
  <si>
    <t>800-3</t>
  </si>
  <si>
    <t>57+43</t>
  </si>
  <si>
    <t>900-3</t>
  </si>
  <si>
    <t>65+43</t>
  </si>
  <si>
    <t>1000-4</t>
  </si>
  <si>
    <t>1100-4</t>
  </si>
  <si>
    <t>ZP295KCE (25 Hp) +ZP385KCE (30 Hp)</t>
  </si>
  <si>
    <t>1200-4</t>
  </si>
  <si>
    <t>1400-6</t>
  </si>
  <si>
    <t>4+2</t>
  </si>
  <si>
    <t>1600-6</t>
  </si>
  <si>
    <t>2+4</t>
  </si>
  <si>
    <t>65+57</t>
  </si>
  <si>
    <t>1800-6</t>
  </si>
  <si>
    <t>2000-6</t>
  </si>
  <si>
    <t>2200-8</t>
  </si>
  <si>
    <t>OLD MODEL</t>
  </si>
  <si>
    <t>CONDENSER FAN</t>
  </si>
  <si>
    <t>EVAPORATOR</t>
  </si>
  <si>
    <t>RPM</t>
  </si>
  <si>
    <t>Qty.</t>
  </si>
  <si>
    <t>FPI</t>
  </si>
  <si>
    <t>L "</t>
  </si>
  <si>
    <t>W "</t>
  </si>
  <si>
    <t>AREA
FT2</t>
  </si>
  <si>
    <t>Fan Type</t>
  </si>
  <si>
    <t>motor Evap. Size (hp)</t>
  </si>
  <si>
    <t>PWM 20</t>
  </si>
  <si>
    <t>PPH20</t>
  </si>
  <si>
    <t>9X7</t>
  </si>
  <si>
    <t>1/4</t>
  </si>
  <si>
    <t>PWM 24</t>
  </si>
  <si>
    <t>PPH25</t>
  </si>
  <si>
    <t>PWM 33</t>
  </si>
  <si>
    <t>PPH40</t>
  </si>
  <si>
    <t>9X9</t>
  </si>
  <si>
    <t>1/2</t>
  </si>
  <si>
    <t>PWM 42</t>
  </si>
  <si>
    <t>(9X7)*2</t>
  </si>
  <si>
    <t>(1/4)*2</t>
  </si>
  <si>
    <t>PWM 48</t>
  </si>
  <si>
    <t>PPH50</t>
  </si>
  <si>
    <t>PWM 58</t>
  </si>
  <si>
    <t>PPH60</t>
  </si>
  <si>
    <t>PPH4 Package Wall Mounted Units</t>
  </si>
  <si>
    <t>PWM 95</t>
  </si>
  <si>
    <t>PWM 115</t>
  </si>
  <si>
    <t xml:space="preserve">PPH 95 </t>
  </si>
  <si>
    <t>Rows</t>
  </si>
  <si>
    <t>Width</t>
  </si>
  <si>
    <t>Height</t>
  </si>
  <si>
    <t>PCCW 18</t>
  </si>
  <si>
    <t>PCCW 24</t>
  </si>
  <si>
    <t>PCCW 30</t>
  </si>
  <si>
    <t>PCCW 42</t>
  </si>
  <si>
    <t>PCCW 48</t>
  </si>
  <si>
    <t>Series for the Schedule drawing (Worst Case)</t>
  </si>
  <si>
    <t>Schedule
drawing
#</t>
  </si>
  <si>
    <t>MODEL
NUMBER</t>
  </si>
  <si>
    <t>#
of
Cricut</t>
  </si>
  <si>
    <t>COMPRESSOR #1</t>
  </si>
  <si>
    <t>CONDENSER FAN &amp; MOTOR</t>
  </si>
  <si>
    <t>CONDENSER COIL</t>
  </si>
  <si>
    <t>EFM</t>
  </si>
  <si>
    <t xml:space="preserve">Electrical Heater </t>
  </si>
  <si>
    <t>HP
@60Hz</t>
  </si>
  <si>
    <t>RLA
COMP1
[A]</t>
  </si>
  <si>
    <t>LRA
COMP1
[A]</t>
  </si>
  <si>
    <t>A</t>
  </si>
  <si>
    <t>MAX
A.F</t>
  </si>
  <si>
    <t># Of
ROWS</t>
  </si>
  <si>
    <t>Cap.
[kW]</t>
  </si>
  <si>
    <t>No. of
stages</t>
  </si>
  <si>
    <t>RLA</t>
  </si>
  <si>
    <t>OutDoor</t>
  </si>
  <si>
    <t>Indoor
 (Where applicable)</t>
  </si>
  <si>
    <t>PPH 12</t>
  </si>
  <si>
    <t>ex</t>
  </si>
  <si>
    <t>220-230/1Ph/60Hz</t>
  </si>
  <si>
    <t>Petra HSC-016-Ex</t>
  </si>
  <si>
    <t>--</t>
  </si>
  <si>
    <t>PWM 12</t>
  </si>
  <si>
    <t>PPH4 12</t>
  </si>
  <si>
    <t>PETRA 12</t>
  </si>
  <si>
    <t>PSUJ 12</t>
  </si>
  <si>
    <t>PPH 20</t>
  </si>
  <si>
    <t>PPH4 20</t>
  </si>
  <si>
    <t>PETRA 20</t>
  </si>
  <si>
    <t>PSUJ 20</t>
  </si>
  <si>
    <t>PPH 25</t>
  </si>
  <si>
    <t>Petra HSC-024-Ex</t>
  </si>
  <si>
    <t>PWM 25</t>
  </si>
  <si>
    <t>PPH4 25</t>
  </si>
  <si>
    <t>PETRA 25</t>
  </si>
  <si>
    <t>PSUJ 25</t>
  </si>
  <si>
    <t>PPH 36</t>
  </si>
  <si>
    <t>460/3Ph/60Hz
480/3Ph/60Hz</t>
  </si>
  <si>
    <t>Petra HSC-030-Ex</t>
  </si>
  <si>
    <t>PWM 36</t>
  </si>
  <si>
    <t>PPH4 36</t>
  </si>
  <si>
    <t>PETRA 36</t>
  </si>
  <si>
    <t>PDUJ 36</t>
  </si>
  <si>
    <t>Petra HSC-036-Ex</t>
  </si>
  <si>
    <t>PWM 40</t>
  </si>
  <si>
    <t>PPH4 40</t>
  </si>
  <si>
    <t>Petra HSC-042-Ex</t>
  </si>
  <si>
    <t>PWM 50</t>
  </si>
  <si>
    <t>PPH4 50</t>
  </si>
  <si>
    <t>PETRA 50</t>
  </si>
  <si>
    <t>PDUJ 50</t>
  </si>
  <si>
    <t>Petra HSC-051-Ex</t>
  </si>
  <si>
    <t>PWM 60</t>
  </si>
  <si>
    <t>PPH4 60</t>
  </si>
  <si>
    <t>PETRA 60</t>
  </si>
  <si>
    <t>PDUJ 60</t>
  </si>
  <si>
    <t>Petra HSC-090-Ex</t>
  </si>
  <si>
    <t>PPH4 95</t>
  </si>
  <si>
    <t>DSP4H-95</t>
  </si>
  <si>
    <t>CM24
CM30
CM38
CM48</t>
  </si>
  <si>
    <t>Petra HSC-120-Ex</t>
  </si>
  <si>
    <t>PPH4 115</t>
  </si>
  <si>
    <t>DSP4H-115</t>
  </si>
  <si>
    <t>CM30
CM38
CM48
CM60</t>
  </si>
  <si>
    <t>Petra HSC-182-Ex</t>
  </si>
  <si>
    <t>PWM 175</t>
  </si>
  <si>
    <t>PPH4 175</t>
  </si>
  <si>
    <t>DSP4H-175</t>
  </si>
  <si>
    <t>CM48
CM60
CM75
CM96</t>
  </si>
  <si>
    <t>PWM 230</t>
  </si>
  <si>
    <t>PPH4 230</t>
  </si>
  <si>
    <t>DSP4H-230</t>
  </si>
  <si>
    <t>CM60
CM75
CM96
PAH100</t>
  </si>
  <si>
    <t>Petra HSC-137-Ex</t>
  </si>
  <si>
    <t>PWM 300</t>
  </si>
  <si>
    <t>PPH4 300</t>
  </si>
  <si>
    <t>DSP 300</t>
  </si>
  <si>
    <t>CM75
CM96
PAH100</t>
  </si>
  <si>
    <t>Petra HSC-154-Ex</t>
  </si>
  <si>
    <t>PWM 450</t>
  </si>
  <si>
    <t>PPH4 450</t>
  </si>
  <si>
    <t>DSP 450</t>
  </si>
  <si>
    <t>PAH120
PAH150</t>
  </si>
  <si>
    <t>PWM 700</t>
  </si>
  <si>
    <t>PPH4 700</t>
  </si>
  <si>
    <t>DSP 700</t>
  </si>
  <si>
    <t>PAH200</t>
  </si>
  <si>
    <t>PWM 1000</t>
  </si>
  <si>
    <t>PPH4 1000</t>
  </si>
  <si>
    <t>DSP 1000</t>
  </si>
  <si>
    <t>PAH250
PAH320</t>
  </si>
  <si>
    <t>- Changeover Panel to control Two Units, 110-240/1Ph/50-60Hz</t>
  </si>
  <si>
    <t>&gt; Cooling Only</t>
  </si>
  <si>
    <t>&gt; Thermostatic expansion valve</t>
  </si>
  <si>
    <t>&gt; Stand alone advance controller (Or using timers)</t>
  </si>
  <si>
    <t xml:space="preserve">&gt; Humidity and temperature sensor (Humidity and temperature switch if external roof mounted Keypad is required) </t>
  </si>
  <si>
    <t>&gt; Hand-0-Remote selector switch</t>
  </si>
  <si>
    <t>&gt; ON push button</t>
  </si>
  <si>
    <t>&gt; OFF push button</t>
  </si>
  <si>
    <t>&gt; ON/OFF Double push button with Lamp test Push button</t>
  </si>
  <si>
    <t>&gt; Voltage available indication lamp</t>
  </si>
  <si>
    <t>&gt; Unit Running indication lamp</t>
  </si>
  <si>
    <t>&gt; Unit Fault indication lamp</t>
  </si>
  <si>
    <t xml:space="preserve">  - Supply Air Actuator</t>
  </si>
  <si>
    <t xml:space="preserve">  - Fresh Air Actuator</t>
  </si>
  <si>
    <t>&gt; Supply sensor</t>
  </si>
  <si>
    <t>&gt; Low Ambient Control Kit (Or Low Ambient Control Kit using fan speed regulator for unit with single fan)</t>
  </si>
  <si>
    <t>HP
@50Hz</t>
  </si>
  <si>
    <t>220-230/1Ph/50Hz</t>
  </si>
  <si>
    <t>400/3Ph/50Hz</t>
  </si>
  <si>
    <t>3 HP</t>
  </si>
  <si>
    <t>PASC 35-1</t>
  </si>
  <si>
    <t>PASC 360</t>
  </si>
  <si>
    <t>PASC 450</t>
  </si>
  <si>
    <t>Compressors</t>
  </si>
  <si>
    <t>Comp QTY</t>
  </si>
  <si>
    <t>Length</t>
  </si>
  <si>
    <t>Condenser Fan</t>
  </si>
  <si>
    <t>Fan QTY</t>
  </si>
  <si>
    <t>Coil QTY</t>
  </si>
  <si>
    <t>Condenser Section</t>
  </si>
  <si>
    <t>Compressor</t>
  </si>
  <si>
    <t>Evaporator Section</t>
  </si>
  <si>
    <t>Coil Rows</t>
  </si>
  <si>
    <t>Coil Fins</t>
  </si>
  <si>
    <t>ZP235KCE + ZP182KCE (20 + 15  Hp)</t>
  </si>
  <si>
    <t>400-2</t>
  </si>
  <si>
    <t>48 + 58</t>
  </si>
  <si>
    <t>PASC (Down &amp; Up Flow)</t>
  </si>
  <si>
    <t>360 &amp; 450 N/A  in Up flow Case</t>
  </si>
  <si>
    <t>Wall Mounted Type</t>
  </si>
  <si>
    <t>Indoor Unit</t>
  </si>
  <si>
    <t>Evap.
CFM</t>
  </si>
  <si>
    <t>Evap. Coil
size (inch)</t>
  </si>
  <si>
    <t>Evap. Coil
(Rows&amp;FPI)</t>
  </si>
  <si>
    <t>Evap. Fan
Model</t>
  </si>
  <si>
    <t>Indoor Unit Size
L/H/W mm</t>
  </si>
  <si>
    <t>Indoor unit
(V/Ph/Hz)</t>
  </si>
  <si>
    <t>Std.
E.Heater</t>
  </si>
  <si>
    <t>Std. Steam
Hum.</t>
  </si>
  <si>
    <t>Outdoor Unit</t>
  </si>
  <si>
    <t>Cond.
CFM</t>
  </si>
  <si>
    <t>Cond. Coil
size (inch)</t>
  </si>
  <si>
    <t>Cond. Coil
(Rows&amp;FPI)</t>
  </si>
  <si>
    <t>outdoor unit
(V/Ph/Hz)</t>
  </si>
  <si>
    <t>Outdoor Unit Size
L/H/W mm</t>
  </si>
  <si>
    <t>Cond. Fan No.</t>
  </si>
  <si>
    <t>Used Comp.
At 75/62.5</t>
  </si>
  <si>
    <t>Std. Comp.
(SASO)</t>
  </si>
  <si>
    <t>DX‐PASC CM (Wall Mounted Type) Series</t>
  </si>
  <si>
    <t>32 X 14</t>
  </si>
  <si>
    <t>40 X 14</t>
  </si>
  <si>
    <t>3 Row / 12 FPI</t>
  </si>
  <si>
    <t>2 X DD 7-7</t>
  </si>
  <si>
    <t>1400 X 980 X 380</t>
  </si>
  <si>
    <t>1600 X 980 X 380</t>
  </si>
  <si>
    <t>220/1/60</t>
  </si>
  <si>
    <t>3 Kw / 1 Stg.</t>
  </si>
  <si>
    <t>2 Kg/Hr</t>
  </si>
  <si>
    <t>38 X 33</t>
  </si>
  <si>
    <t>3 Row / 16 FPI</t>
  </si>
  <si>
    <t>1270 X 910 X 650</t>
  </si>
  <si>
    <t>1 X 450 Dia.</t>
  </si>
  <si>
    <t>2 X 450 Dia,.</t>
  </si>
  <si>
    <t>PETRA 60 + PSU 60 / PASC CM 24</t>
  </si>
  <si>
    <t>PETRA 50 + PSU 50 / PASC CM 24</t>
  </si>
  <si>
    <t>PETRA 36 + PSU 36 / PASC CM 20</t>
  </si>
  <si>
    <t>PETRA 25 + PSU 25 / PASC CM 15</t>
  </si>
  <si>
    <t>TBA</t>
  </si>
  <si>
    <t>56 X 18</t>
  </si>
  <si>
    <t>2 X 3</t>
  </si>
  <si>
    <t>DSP 85 + PASC CM 30</t>
  </si>
  <si>
    <t>70 X 20</t>
  </si>
  <si>
    <t>40 X 38</t>
  </si>
  <si>
    <t>1270 X 1100 X 750</t>
  </si>
  <si>
    <t>2400 X 1100 X 500</t>
  </si>
  <si>
    <t>2000 X 1100 X 450</t>
  </si>
  <si>
    <t>1270 X 910 X 750</t>
  </si>
  <si>
    <t>Imperial
Units
CFM</t>
  </si>
  <si>
    <t>(L X H) in</t>
  </si>
  <si>
    <t>Mid</t>
  </si>
  <si>
    <t>SI 
Units
L/s</t>
  </si>
  <si>
    <t>(L X H) cm</t>
  </si>
  <si>
    <t>Row</t>
  </si>
  <si>
    <t>Fin/in</t>
  </si>
  <si>
    <t>PWC 12</t>
  </si>
  <si>
    <t>28.75 X 9</t>
  </si>
  <si>
    <t>73.025 X 22.86</t>
  </si>
  <si>
    <t>PWC 18</t>
  </si>
  <si>
    <t>30.25 X 10</t>
  </si>
  <si>
    <t>76.835 X 25.4</t>
  </si>
  <si>
    <t>PWC 24</t>
  </si>
  <si>
    <t>PWC 30</t>
  </si>
  <si>
    <t>41 X 11</t>
  </si>
  <si>
    <t>104.14 X 27.94</t>
  </si>
  <si>
    <t>PWC 36</t>
  </si>
  <si>
    <t>PCC Series</t>
  </si>
  <si>
    <t>PWC Series</t>
  </si>
  <si>
    <t>&gt; Electrical Heater</t>
  </si>
  <si>
    <t>&gt; Actuators number is three</t>
  </si>
  <si>
    <t>&gt; Changeover control panel</t>
  </si>
  <si>
    <r>
      <t>COIL AREA FT</t>
    </r>
    <r>
      <rPr>
        <vertAlign val="superscript"/>
        <sz val="11"/>
        <rFont val="Arial Narrow"/>
        <family val="2"/>
      </rPr>
      <t>2</t>
    </r>
  </si>
  <si>
    <t>FAN
ᴓ mm</t>
  </si>
  <si>
    <r>
      <t>Total Cap.= 1.22 x L/S x (H</t>
    </r>
    <r>
      <rPr>
        <b/>
        <vertAlign val="subscript"/>
        <sz val="11"/>
        <rFont val="Arial Narrow"/>
        <family val="2"/>
      </rPr>
      <t>1</t>
    </r>
    <r>
      <rPr>
        <b/>
        <sz val="11"/>
        <rFont val="Arial Narrow"/>
        <family val="2"/>
      </rPr>
      <t>-H</t>
    </r>
    <r>
      <rPr>
        <b/>
        <vertAlign val="subscript"/>
        <sz val="11"/>
        <rFont val="Arial Narrow"/>
        <family val="2"/>
      </rPr>
      <t>2</t>
    </r>
    <r>
      <rPr>
        <b/>
        <sz val="11"/>
        <rFont val="Arial Narrow"/>
        <family val="2"/>
      </rPr>
      <t>)</t>
    </r>
  </si>
  <si>
    <r>
      <t>Total Cap.= 4.45 x CFM x (H</t>
    </r>
    <r>
      <rPr>
        <b/>
        <vertAlign val="subscript"/>
        <sz val="11"/>
        <rFont val="Arial Narrow"/>
        <family val="2"/>
      </rPr>
      <t>1</t>
    </r>
    <r>
      <rPr>
        <b/>
        <sz val="11"/>
        <rFont val="Arial Narrow"/>
        <family val="2"/>
      </rPr>
      <t>-H</t>
    </r>
    <r>
      <rPr>
        <b/>
        <vertAlign val="subscript"/>
        <sz val="11"/>
        <rFont val="Arial Narrow"/>
        <family val="2"/>
      </rPr>
      <t>2</t>
    </r>
    <r>
      <rPr>
        <b/>
        <sz val="11"/>
        <rFont val="Arial Narrow"/>
        <family val="2"/>
      </rPr>
      <t>)</t>
    </r>
  </si>
  <si>
    <r>
      <t>Sens. Cap.= 1.227 x L/S x (DB</t>
    </r>
    <r>
      <rPr>
        <b/>
        <vertAlign val="subscript"/>
        <sz val="11"/>
        <rFont val="Arial Narrow"/>
        <family val="2"/>
      </rPr>
      <t>1</t>
    </r>
    <r>
      <rPr>
        <b/>
        <sz val="11"/>
        <rFont val="Arial Narrow"/>
        <family val="2"/>
      </rPr>
      <t>-DB</t>
    </r>
    <r>
      <rPr>
        <b/>
        <vertAlign val="subscript"/>
        <sz val="11"/>
        <rFont val="Arial Narrow"/>
        <family val="2"/>
      </rPr>
      <t>2</t>
    </r>
    <r>
      <rPr>
        <b/>
        <sz val="11"/>
        <rFont val="Arial Narrow"/>
        <family val="2"/>
      </rPr>
      <t>)</t>
    </r>
  </si>
  <si>
    <r>
      <t>Sens. Cap.= 1.08 x CFM x (DB</t>
    </r>
    <r>
      <rPr>
        <b/>
        <vertAlign val="subscript"/>
        <sz val="11"/>
        <rFont val="Arial Narrow"/>
        <family val="2"/>
      </rPr>
      <t>1</t>
    </r>
    <r>
      <rPr>
        <b/>
        <sz val="11"/>
        <rFont val="Arial Narrow"/>
        <family val="2"/>
      </rPr>
      <t>-DB</t>
    </r>
    <r>
      <rPr>
        <b/>
        <vertAlign val="subscript"/>
        <sz val="11"/>
        <rFont val="Arial Narrow"/>
        <family val="2"/>
      </rPr>
      <t>2</t>
    </r>
    <r>
      <rPr>
        <b/>
        <sz val="11"/>
        <rFont val="Arial Narrow"/>
        <family val="2"/>
      </rPr>
      <t>)</t>
    </r>
  </si>
  <si>
    <t>PETRA (R410A) / (60 HZ ) - High Ambient</t>
  </si>
  <si>
    <t>Evaporator coil</t>
  </si>
  <si>
    <t xml:space="preserve">Outdoor </t>
  </si>
  <si>
    <t>NO</t>
  </si>
  <si>
    <t>L"</t>
  </si>
  <si>
    <t>W"</t>
  </si>
  <si>
    <t>AREA</t>
  </si>
  <si>
    <t>Fins</t>
  </si>
  <si>
    <t>R</t>
  </si>
  <si>
    <t>Fans</t>
  </si>
  <si>
    <t>STD</t>
  </si>
  <si>
    <t>1200 CFM</t>
  </si>
  <si>
    <t>PSU 12</t>
  </si>
  <si>
    <t>Wall</t>
  </si>
  <si>
    <t>1500 CFM</t>
  </si>
  <si>
    <t>PSU 20</t>
  </si>
  <si>
    <t>1600 CFM</t>
  </si>
  <si>
    <t>PSU 25</t>
  </si>
  <si>
    <t>PETRA 30</t>
  </si>
  <si>
    <t>2070 CFM</t>
  </si>
  <si>
    <t>PSU 30</t>
  </si>
  <si>
    <t>ZP 32</t>
  </si>
  <si>
    <t>Euro fans 450 / 6 Poles</t>
  </si>
  <si>
    <t>PSU 36</t>
  </si>
  <si>
    <t>ZP 42</t>
  </si>
  <si>
    <t>ZP 61</t>
  </si>
  <si>
    <t>Floor &amp; Ceiling</t>
  </si>
  <si>
    <t>PSU 50</t>
  </si>
  <si>
    <t>CASSETTE</t>
  </si>
  <si>
    <t>PSU 60</t>
  </si>
  <si>
    <t>Free Stand --------- 60 Hz</t>
  </si>
  <si>
    <t>Condenser</t>
  </si>
  <si>
    <t>Evaporator</t>
  </si>
  <si>
    <t>Hp</t>
  </si>
  <si>
    <t>Dimen.</t>
  </si>
  <si>
    <t>Row / fins</t>
  </si>
  <si>
    <t>Fans / CFM</t>
  </si>
  <si>
    <t>Dime.</t>
  </si>
  <si>
    <t>Motor KW</t>
  </si>
  <si>
    <t>FLA (each)</t>
  </si>
  <si>
    <t>30.5 x 31.4</t>
  </si>
  <si>
    <t>3 / 16</t>
  </si>
  <si>
    <t>16 x 24</t>
  </si>
  <si>
    <t>3 / 10.</t>
  </si>
  <si>
    <t>DD 9/7</t>
  </si>
  <si>
    <t>29.8 x 39.2</t>
  </si>
  <si>
    <t>35.25 x 46</t>
  </si>
  <si>
    <t>3 / 14</t>
  </si>
  <si>
    <t>2 x 450 (1400 RPM)</t>
  </si>
  <si>
    <t>22 x 24</t>
  </si>
  <si>
    <t>DD 9/9</t>
  </si>
  <si>
    <t>25 x 24</t>
  </si>
  <si>
    <t>2 x DD 9/7</t>
  </si>
  <si>
    <t>2 x 0.2</t>
  </si>
  <si>
    <t>36 x 54</t>
  </si>
  <si>
    <t>31 x 24</t>
  </si>
  <si>
    <t>4 / 10.</t>
  </si>
  <si>
    <t>PETRA 80</t>
  </si>
  <si>
    <t>54 x 36</t>
  </si>
  <si>
    <t>3/16.</t>
  </si>
  <si>
    <t>2 x 450 (1700 RPM)</t>
  </si>
  <si>
    <t>34 x 26</t>
  </si>
  <si>
    <t>2 x DD 9/9</t>
  </si>
  <si>
    <t>PETRA 95</t>
  </si>
  <si>
    <t>54 x 48</t>
  </si>
  <si>
    <t>3/12.</t>
  </si>
  <si>
    <t>39 x 28</t>
  </si>
  <si>
    <t>2 x DD 10/10</t>
  </si>
  <si>
    <t>2 x 0.5</t>
  </si>
  <si>
    <t>PETRA 128</t>
  </si>
  <si>
    <t>4/12.</t>
  </si>
  <si>
    <t>2 x 630 (1040 RPM)</t>
  </si>
  <si>
    <t>48 x 30</t>
  </si>
  <si>
    <t>Free Stand --------- 50 Hz</t>
  </si>
  <si>
    <t>35.25 x 24</t>
  </si>
  <si>
    <t>2/12.</t>
  </si>
  <si>
    <t>35.25 x 30</t>
  </si>
  <si>
    <t>2 x 630 (930 RPM)</t>
  </si>
  <si>
    <t>MEDIA</t>
  </si>
  <si>
    <t>PETRA Made</t>
  </si>
  <si>
    <t>PPH4 Series - Return Air = 80/67 F ...  50&amp;60Hz                 GAS R-410a ONLY</t>
  </si>
  <si>
    <t>Evaporator coil (CASSETTE)</t>
  </si>
  <si>
    <t>Evaporator coil (Floor &amp; Ceiling)</t>
  </si>
  <si>
    <t>Certificates</t>
  </si>
  <si>
    <t>Data Sheet</t>
  </si>
  <si>
    <t>Refrigeration</t>
  </si>
  <si>
    <t>Electrical</t>
  </si>
  <si>
    <t>Construction</t>
  </si>
  <si>
    <t>1- Screw Compressors</t>
  </si>
  <si>
    <t>2- Scroll Compressors</t>
  </si>
  <si>
    <t>3- Condenser Fans</t>
  </si>
  <si>
    <t>4- Refrigerent Guage</t>
  </si>
  <si>
    <t>5- Expansion valve</t>
  </si>
  <si>
    <t>6- Refrigerant Valves</t>
  </si>
  <si>
    <t>7- Water Valves</t>
  </si>
  <si>
    <t>8- Water Flow Switch</t>
  </si>
  <si>
    <t>9- Refrigerant Pressure Switches</t>
  </si>
  <si>
    <t>1- VFD</t>
  </si>
  <si>
    <t>2- Electric heater</t>
  </si>
  <si>
    <t>3- Steam Humidifier</t>
  </si>
  <si>
    <t>4- DDC</t>
  </si>
  <si>
    <t>5- BacNet</t>
  </si>
  <si>
    <t>6- Motors Anti-condensation heater</t>
  </si>
  <si>
    <t>7- NEMA 4X</t>
  </si>
  <si>
    <t>8- UV Lamps</t>
  </si>
  <si>
    <t>9- Air Flow Switch &amp; DPS</t>
  </si>
  <si>
    <t>10- Cable Penetration</t>
  </si>
  <si>
    <t>11- Controller</t>
  </si>
  <si>
    <t>12- Metalic Conduit</t>
  </si>
  <si>
    <t>13- Bulk Headlight</t>
  </si>
  <si>
    <t>14- Actuators</t>
  </si>
  <si>
    <t>1- Dampers</t>
  </si>
  <si>
    <t>2- Filters</t>
  </si>
  <si>
    <t>3- Drip eleminator</t>
  </si>
  <si>
    <t>4- Energy wheel</t>
  </si>
  <si>
    <t>5- Motors</t>
  </si>
  <si>
    <t>6- Supply Fans</t>
  </si>
  <si>
    <t>Fan Bearing</t>
  </si>
  <si>
    <t>Gauges</t>
  </si>
  <si>
    <t>Hinges</t>
  </si>
  <si>
    <t>Manometer</t>
  </si>
  <si>
    <t>Spring Isolators</t>
  </si>
  <si>
    <t>Vibration Isolators</t>
  </si>
  <si>
    <t>1- Insulation</t>
  </si>
  <si>
    <t>2- Painting</t>
  </si>
  <si>
    <t>3- Cooler</t>
  </si>
  <si>
    <t>4- C-Channel</t>
  </si>
  <si>
    <t>5- Welded eyepad</t>
  </si>
  <si>
    <t>6- SS 316 Hinges</t>
  </si>
  <si>
    <t>7- SS 316 Screw Nuts Washers</t>
  </si>
  <si>
    <t>Gas</t>
  </si>
  <si>
    <t>QTY1</t>
  </si>
  <si>
    <t>QTY2</t>
  </si>
  <si>
    <t>STG</t>
  </si>
  <si>
    <t>E.Heater 
STG</t>
  </si>
  <si>
    <t>SHT</t>
  </si>
  <si>
    <t>Steam Humi.
Type</t>
  </si>
  <si>
    <t>PWR</t>
  </si>
  <si>
    <t>Power Supply
&lt;V-PH-Hz&gt;</t>
  </si>
  <si>
    <t>COFIG</t>
  </si>
  <si>
    <t>S.H
Type</t>
  </si>
  <si>
    <t>Calculated Electrical Data for Units</t>
  </si>
  <si>
    <t>EFM Kw</t>
  </si>
  <si>
    <t>EFM QTY</t>
  </si>
  <si>
    <t>Gas Type</t>
  </si>
  <si>
    <t>GAS</t>
  </si>
  <si>
    <t>Steam Humi
Type</t>
  </si>
  <si>
    <t>Indoor Model</t>
  </si>
  <si>
    <t>Outdoor Model</t>
  </si>
  <si>
    <t>MODELIN</t>
  </si>
  <si>
    <t>MODELOUT</t>
  </si>
  <si>
    <t>Process Type</t>
  </si>
  <si>
    <t>WEG</t>
  </si>
  <si>
    <t>File Version</t>
  </si>
  <si>
    <t>Name</t>
  </si>
  <si>
    <t>Email</t>
  </si>
  <si>
    <t>Team Leader</t>
  </si>
  <si>
    <t>Department</t>
  </si>
  <si>
    <t>User Name</t>
  </si>
  <si>
    <t>ADMIN</t>
  </si>
  <si>
    <t>Yousef Hamdan</t>
  </si>
  <si>
    <t>WELCOME</t>
  </si>
  <si>
    <t>Subscribe Plan</t>
  </si>
  <si>
    <t>Model/ESP</t>
  </si>
  <si>
    <t>0.1 Mini</t>
  </si>
  <si>
    <t>0.1 Max</t>
  </si>
  <si>
    <t>0.2 Mini</t>
  </si>
  <si>
    <t>0.2 Max</t>
  </si>
  <si>
    <t>0.25 Mini</t>
  </si>
  <si>
    <t>0.25 Max</t>
  </si>
  <si>
    <t>0.3 Mini</t>
  </si>
  <si>
    <t>0.3 Max</t>
  </si>
  <si>
    <t>0.4 Mini</t>
  </si>
  <si>
    <t>0.4 Max</t>
  </si>
  <si>
    <t>0.5 Mini</t>
  </si>
  <si>
    <t>0.5 Max</t>
  </si>
  <si>
    <t>Price S.R Low</t>
  </si>
  <si>
    <t>Coil Area</t>
  </si>
  <si>
    <t>EC Fan</t>
  </si>
  <si>
    <t>Price S.R MED</t>
  </si>
  <si>
    <t>Price S.R High</t>
  </si>
  <si>
    <t>SS304 Drain Pan</t>
  </si>
  <si>
    <t>SS316 Drain Pan</t>
  </si>
  <si>
    <t>S.Skin 1.0 mm</t>
  </si>
  <si>
    <t>S.Skin 1.25 mm</t>
  </si>
  <si>
    <t>D.Skin 1.25/0.7 mm 0.5"</t>
  </si>
  <si>
    <t>EC-MOTOR</t>
  </si>
  <si>
    <t>Auxiliary drain pan GI</t>
  </si>
  <si>
    <t>Auxiliary drain pan SS304</t>
  </si>
  <si>
    <t>Auxiliary drain pan SS316</t>
  </si>
  <si>
    <t>Digital Thermostat</t>
  </si>
  <si>
    <t>Manual Three speed</t>
  </si>
  <si>
    <t>FCU QTY</t>
  </si>
  <si>
    <t>Flow CFM</t>
  </si>
  <si>
    <t>REQ CAP</t>
  </si>
  <si>
    <t>CAL CAP</t>
  </si>
  <si>
    <t>UNIT[CFM]</t>
  </si>
  <si>
    <t>BISIC PRIC S.R.</t>
  </si>
  <si>
    <t>DCP 6</t>
  </si>
  <si>
    <t>GCC 8</t>
  </si>
  <si>
    <t>CWSU-200-FL-05</t>
  </si>
  <si>
    <t>Ducted_Units</t>
  </si>
  <si>
    <t>DCP 8</t>
  </si>
  <si>
    <t>GCC 10</t>
  </si>
  <si>
    <t>Ceiling_Cabinet</t>
  </si>
  <si>
    <t>DCC 8</t>
  </si>
  <si>
    <t>DCP 10</t>
  </si>
  <si>
    <t>GCC 12</t>
  </si>
  <si>
    <t>DCP 11</t>
  </si>
  <si>
    <t>DCC 10</t>
  </si>
  <si>
    <t>DCP 12</t>
  </si>
  <si>
    <t>DCC 12</t>
  </si>
  <si>
    <t>DCP 14</t>
  </si>
  <si>
    <t>DCC 14</t>
  </si>
  <si>
    <t>DCP 16</t>
  </si>
  <si>
    <t>DCC 16</t>
  </si>
  <si>
    <t>GCC 4</t>
  </si>
  <si>
    <t>DCP 18</t>
  </si>
  <si>
    <t>DCC 18</t>
  </si>
  <si>
    <t>GCC 5</t>
  </si>
  <si>
    <t>DCP 20</t>
  </si>
  <si>
    <t>DCC 20</t>
  </si>
  <si>
    <t>DCP 22</t>
  </si>
  <si>
    <t>DCC 24</t>
  </si>
  <si>
    <t>DCP 24</t>
  </si>
  <si>
    <t>DCP 30</t>
  </si>
  <si>
    <t>CBP 2</t>
  </si>
  <si>
    <t>CBP 3</t>
  </si>
  <si>
    <t>CBP 4</t>
  </si>
  <si>
    <t>CBP 5</t>
  </si>
  <si>
    <t>CBP 6</t>
  </si>
  <si>
    <t>CBP 8</t>
  </si>
  <si>
    <t>CBP 10</t>
  </si>
  <si>
    <t>CBP 12</t>
  </si>
  <si>
    <t>GCC 2</t>
  </si>
  <si>
    <t>N/A</t>
  </si>
  <si>
    <t>GCC 3</t>
  </si>
  <si>
    <t>GCC 6</t>
  </si>
  <si>
    <t>DCC 6</t>
  </si>
  <si>
    <t>PWC12</t>
  </si>
  <si>
    <t>PWC18</t>
  </si>
  <si>
    <t>PWC24</t>
  </si>
  <si>
    <t>PWC30</t>
  </si>
  <si>
    <t>PWC36</t>
  </si>
  <si>
    <t>GFC 2</t>
  </si>
  <si>
    <t>GFC 3</t>
  </si>
  <si>
    <t>GFC 4</t>
  </si>
  <si>
    <t>GFC 5</t>
  </si>
  <si>
    <t>GFC 6</t>
  </si>
  <si>
    <t>GFC 8</t>
  </si>
  <si>
    <t>GFC 10</t>
  </si>
  <si>
    <t>GFC 12</t>
  </si>
  <si>
    <t>PCCD 2</t>
  </si>
  <si>
    <t>PCCD 3</t>
  </si>
  <si>
    <t>PCCD 4</t>
  </si>
  <si>
    <t>PCCD 5</t>
  </si>
  <si>
    <t>PCCD 6</t>
  </si>
  <si>
    <t>PCCD 8</t>
  </si>
  <si>
    <t>PCCD 10</t>
  </si>
  <si>
    <t>PCCD 12</t>
  </si>
  <si>
    <t>PFCD 2</t>
  </si>
  <si>
    <t>PFCD 3</t>
  </si>
  <si>
    <t>PFCD 4</t>
  </si>
  <si>
    <t>PFCD 5</t>
  </si>
  <si>
    <t>PFCD 6</t>
  </si>
  <si>
    <t>PFCD 8</t>
  </si>
  <si>
    <t>PFCD 10</t>
  </si>
  <si>
    <t>PFCD 12</t>
  </si>
  <si>
    <t>PCC 18</t>
  </si>
  <si>
    <t>PCC 24</t>
  </si>
  <si>
    <t>PCC 30</t>
  </si>
  <si>
    <t>PCC 36</t>
  </si>
  <si>
    <t>PCC 42</t>
  </si>
  <si>
    <t>PCC 48</t>
  </si>
  <si>
    <t>DCV06</t>
  </si>
  <si>
    <t>DCV08</t>
  </si>
  <si>
    <t>DCV10</t>
  </si>
  <si>
    <t>DCV12</t>
  </si>
  <si>
    <t>DCV14</t>
  </si>
  <si>
    <t>DCV16</t>
  </si>
  <si>
    <t>DCV18</t>
  </si>
  <si>
    <t>DCV20</t>
  </si>
  <si>
    <t>DCV24</t>
  </si>
  <si>
    <t>ESP = 0</t>
  </si>
  <si>
    <t>Galvanized_Floor_Cabinet</t>
  </si>
  <si>
    <t>Galvanized_Ceiling_Cabinet</t>
  </si>
  <si>
    <t>Plastic_High_Wall</t>
  </si>
  <si>
    <t>Plastic_Floor_Cabinet</t>
  </si>
  <si>
    <t>Cassette_Unit</t>
  </si>
  <si>
    <t>Floor_Virtical</t>
  </si>
  <si>
    <t>Plastic_Ceiling_Cabinet</t>
  </si>
  <si>
    <t>DC/RAC</t>
  </si>
  <si>
    <t>Bag Filter</t>
  </si>
  <si>
    <t>Mixing Box</t>
  </si>
  <si>
    <t>Economizer</t>
  </si>
  <si>
    <t>Rain Hood</t>
  </si>
  <si>
    <t>Main Circuit Breaker</t>
  </si>
  <si>
    <t>Main Disconnect Switch</t>
  </si>
  <si>
    <t>Fan Basic Price</t>
  </si>
  <si>
    <t>Motor Baisc Price</t>
  </si>
  <si>
    <t>Roof Canopy</t>
  </si>
  <si>
    <t>Access Doors</t>
  </si>
  <si>
    <t>UV-C Lamp</t>
  </si>
  <si>
    <t>HEPA Filter</t>
  </si>
  <si>
    <t>SS Screw &amp; Bolt</t>
  </si>
  <si>
    <t>Droplet Eleminator Al</t>
  </si>
  <si>
    <t>Droplet Eleminator PVC</t>
  </si>
  <si>
    <t>Liquid Receiver</t>
  </si>
  <si>
    <t>Compressor Jacket</t>
  </si>
  <si>
    <t>120 Micron paint FOR BAG FILTER</t>
  </si>
  <si>
    <t>120 Micron paint FOR MIXING BOX</t>
  </si>
  <si>
    <t>120 Micron paint FOR ECONOMIZER</t>
  </si>
  <si>
    <t>120 Micron paint FOR STD UNIT</t>
  </si>
  <si>
    <t>Basic Inner SkinCoating</t>
  </si>
  <si>
    <t>Inner For Bag</t>
  </si>
  <si>
    <t>Inner For Mixing</t>
  </si>
  <si>
    <t>Inner For Econo</t>
  </si>
  <si>
    <t>USA Copeland Comp.</t>
  </si>
  <si>
    <t>ADV Controller</t>
  </si>
  <si>
    <t>MPC Controller</t>
  </si>
  <si>
    <t>Fire Inter Lock</t>
  </si>
  <si>
    <t>Fire Alarm</t>
  </si>
  <si>
    <t>General Alarm</t>
  </si>
  <si>
    <t>Earth Boss</t>
  </si>
  <si>
    <t>PAH Equivelant</t>
  </si>
  <si>
    <t>0.55 Kw</t>
  </si>
  <si>
    <t>PPH-40</t>
  </si>
  <si>
    <t>DD FAN</t>
  </si>
  <si>
    <t>PPH-50</t>
  </si>
  <si>
    <t>PPH-60</t>
  </si>
  <si>
    <t>AT 10-10 SC</t>
  </si>
  <si>
    <t>PPH-85-1</t>
  </si>
  <si>
    <t>DSP-85-1</t>
  </si>
  <si>
    <t>DSP4 85-1</t>
  </si>
  <si>
    <t>DSP 85-1</t>
  </si>
  <si>
    <t>PPH-85</t>
  </si>
  <si>
    <t>DSP-85</t>
  </si>
  <si>
    <t>DSP4 85-2</t>
  </si>
  <si>
    <t>DSP 85</t>
  </si>
  <si>
    <t>AT 12-12 SC</t>
  </si>
  <si>
    <t>1.1 Kw</t>
  </si>
  <si>
    <t>PPH4H-95-1</t>
  </si>
  <si>
    <t>DSP4H-95-1</t>
  </si>
  <si>
    <t>DSP4 95-1</t>
  </si>
  <si>
    <t>DSP 95-1</t>
  </si>
  <si>
    <t>PPH4H-95</t>
  </si>
  <si>
    <t>DSP4 95-2</t>
  </si>
  <si>
    <t>DSP 95</t>
  </si>
  <si>
    <t>PPH4H-105-1</t>
  </si>
  <si>
    <t>DSP4H-105-1</t>
  </si>
  <si>
    <t>DSP4 105-1</t>
  </si>
  <si>
    <t>DSP 105-1</t>
  </si>
  <si>
    <t>PPH4H-105</t>
  </si>
  <si>
    <t>DSP4H-105</t>
  </si>
  <si>
    <t>DSP4 105-2</t>
  </si>
  <si>
    <t>DSP 105</t>
  </si>
  <si>
    <t>AT 15-15 SC</t>
  </si>
  <si>
    <t>PPH4H-115-1</t>
  </si>
  <si>
    <t>DSP4H-115-1</t>
  </si>
  <si>
    <t>DSP4 115-1</t>
  </si>
  <si>
    <t>DSP 115-1</t>
  </si>
  <si>
    <t>PPH4H-115</t>
  </si>
  <si>
    <t>DSP4 115-2</t>
  </si>
  <si>
    <t>DSP 115</t>
  </si>
  <si>
    <t>2.2 Kw</t>
  </si>
  <si>
    <t>PPH4H-135-1</t>
  </si>
  <si>
    <t>DSP4H-135-1</t>
  </si>
  <si>
    <t>DSP4 135-1</t>
  </si>
  <si>
    <t>DSP 135-1</t>
  </si>
  <si>
    <t>PPH4H-135</t>
  </si>
  <si>
    <t>DSP4H-135</t>
  </si>
  <si>
    <t>DSP4 135-2</t>
  </si>
  <si>
    <t>DSP 135</t>
  </si>
  <si>
    <t>PPH4H-160-1</t>
  </si>
  <si>
    <t>DSP4H-160-1</t>
  </si>
  <si>
    <t>DSP4 160-1</t>
  </si>
  <si>
    <t>DSP 160-1</t>
  </si>
  <si>
    <t>PPH4H-160</t>
  </si>
  <si>
    <t>DSP4H-160</t>
  </si>
  <si>
    <t>DSP4 160-2</t>
  </si>
  <si>
    <t>DSP 160</t>
  </si>
  <si>
    <t>PPH4H-175-1</t>
  </si>
  <si>
    <t>DSP4H-175-1</t>
  </si>
  <si>
    <t>DSP4 175-1</t>
  </si>
  <si>
    <t>DSP 175-1</t>
  </si>
  <si>
    <t>PPH4H-175</t>
  </si>
  <si>
    <t>DSP4 175-2</t>
  </si>
  <si>
    <t>DSP 175</t>
  </si>
  <si>
    <t>3 Kw</t>
  </si>
  <si>
    <t>PPH4H-195</t>
  </si>
  <si>
    <t>DSP4H-195</t>
  </si>
  <si>
    <t>DSP4 195-2</t>
  </si>
  <si>
    <t>DSP 195</t>
  </si>
  <si>
    <t>PPH4H-230</t>
  </si>
  <si>
    <t>DSP4 230-2</t>
  </si>
  <si>
    <t>DSP 230</t>
  </si>
  <si>
    <t>4 Kw</t>
  </si>
  <si>
    <t>PPH4H-300</t>
  </si>
  <si>
    <t>DSP4 300-2</t>
  </si>
  <si>
    <t>5.5 Kw</t>
  </si>
  <si>
    <t>PPH4H-360</t>
  </si>
  <si>
    <t>DSP 360</t>
  </si>
  <si>
    <t>DSP4 360-2</t>
  </si>
  <si>
    <t>PPH4H-450</t>
  </si>
  <si>
    <t>DSP4 450-2</t>
  </si>
  <si>
    <t>ADH 400 G2L</t>
  </si>
  <si>
    <t>7.5 Kw</t>
  </si>
  <si>
    <t>PPH4H-530</t>
  </si>
  <si>
    <t>DSP 530</t>
  </si>
  <si>
    <t>DSP4 530-2</t>
  </si>
  <si>
    <t>11 Kw</t>
  </si>
  <si>
    <t>PPH4H-640</t>
  </si>
  <si>
    <t>DSP 640</t>
  </si>
  <si>
    <t>DSP4 640-2</t>
  </si>
  <si>
    <t>15 Kw</t>
  </si>
  <si>
    <t>STD DS2"</t>
  </si>
  <si>
    <t>PPH-700</t>
  </si>
  <si>
    <t>DSP4 700-2</t>
  </si>
  <si>
    <t>PPH-800</t>
  </si>
  <si>
    <t>DSP 800</t>
  </si>
  <si>
    <t>DSP4 800-3</t>
  </si>
  <si>
    <t>PPH4H-900</t>
  </si>
  <si>
    <t>DSP 900</t>
  </si>
  <si>
    <t>DSP4 900-3</t>
  </si>
  <si>
    <t>PPH-1000</t>
  </si>
  <si>
    <t>DSP4 1000-4</t>
  </si>
  <si>
    <t>18.5 Kw</t>
  </si>
  <si>
    <t>PPH-1100</t>
  </si>
  <si>
    <t>DSP 1100</t>
  </si>
  <si>
    <t>DSP4 1100-4</t>
  </si>
  <si>
    <t>PPH-1200</t>
  </si>
  <si>
    <t>DSP 1200</t>
  </si>
  <si>
    <t>DSP4 1200-4</t>
  </si>
  <si>
    <t>PPH-1400</t>
  </si>
  <si>
    <t>DSP 1400</t>
  </si>
  <si>
    <t>DSP4 1400-6</t>
  </si>
  <si>
    <t>PPH-1600</t>
  </si>
  <si>
    <t>DSP 1600</t>
  </si>
  <si>
    <t>DSP4 1600-6</t>
  </si>
  <si>
    <t>PPH-1800</t>
  </si>
  <si>
    <t>DSP 1800</t>
  </si>
  <si>
    <t>DSP4 1800-6</t>
  </si>
  <si>
    <t>PPH-2000</t>
  </si>
  <si>
    <t>DSP 2000</t>
  </si>
  <si>
    <t>DSP4 2000-6</t>
  </si>
  <si>
    <t>PPH-2200</t>
  </si>
  <si>
    <t>DSP 2200</t>
  </si>
  <si>
    <t>DSP4 2200-8</t>
  </si>
  <si>
    <t>DSPc 85-1</t>
  </si>
  <si>
    <t>DSPc 95-1</t>
  </si>
  <si>
    <t>DSP-95-1</t>
  </si>
  <si>
    <t>DSPc 95-2</t>
  </si>
  <si>
    <t>DSP-95</t>
  </si>
  <si>
    <t>DSPc 105-1</t>
  </si>
  <si>
    <t>DSP-105-1</t>
  </si>
  <si>
    <t>DSPc 105-2</t>
  </si>
  <si>
    <t>DSP-105</t>
  </si>
  <si>
    <t>DSPc 115-1</t>
  </si>
  <si>
    <t>DSP-115-1</t>
  </si>
  <si>
    <t>DSPc 115-2</t>
  </si>
  <si>
    <t>DSP-115</t>
  </si>
  <si>
    <t>DSPc 135-1</t>
  </si>
  <si>
    <t>DSP-135-1</t>
  </si>
  <si>
    <t>DSPc 135-2</t>
  </si>
  <si>
    <t>DSP-135</t>
  </si>
  <si>
    <t>DSPc 160-1</t>
  </si>
  <si>
    <t>DSP-160-1</t>
  </si>
  <si>
    <t>DSPc 160-2</t>
  </si>
  <si>
    <t>DSP-160</t>
  </si>
  <si>
    <t>DSPc 175-1</t>
  </si>
  <si>
    <t>DSP-175-1</t>
  </si>
  <si>
    <t>DSPc 175-2</t>
  </si>
  <si>
    <t>DSP-175</t>
  </si>
  <si>
    <t>DSPc 195-2</t>
  </si>
  <si>
    <t>DSP-195</t>
  </si>
  <si>
    <t>DSPc 230-2</t>
  </si>
  <si>
    <t>DSP-230</t>
  </si>
  <si>
    <t>DSPc 300-2</t>
  </si>
  <si>
    <t>DSPc 360-2</t>
  </si>
  <si>
    <t>DSPc 450-2</t>
  </si>
  <si>
    <t>DSPc 530-2</t>
  </si>
  <si>
    <t>DSPc 640-2</t>
  </si>
  <si>
    <t>DSPc 700-2</t>
  </si>
  <si>
    <t>DSPc 800-3</t>
  </si>
  <si>
    <t>DSPc 900-3</t>
  </si>
  <si>
    <t>DSPc 1000-4</t>
  </si>
  <si>
    <t>DSPc 1100-4</t>
  </si>
  <si>
    <t>DSPc 1200-4</t>
  </si>
  <si>
    <t>DSPc 1400-6</t>
  </si>
  <si>
    <t>DSPc 1600-6</t>
  </si>
  <si>
    <t>DSPc 1800-6</t>
  </si>
  <si>
    <t>DSPc 2000-6</t>
  </si>
  <si>
    <t>DSPc 2200-8</t>
  </si>
  <si>
    <t>DSPc 1400-2</t>
  </si>
  <si>
    <t>ADV Cont,</t>
  </si>
  <si>
    <t>DSPc 1600-2</t>
  </si>
  <si>
    <t>DSPc 1800-3</t>
  </si>
  <si>
    <t>DSPc 2000-3</t>
  </si>
  <si>
    <t>DSPc 2200-4</t>
  </si>
  <si>
    <t>PPHa 40-1</t>
  </si>
  <si>
    <t>PPHa 50-1</t>
  </si>
  <si>
    <t>PPHa 60-1</t>
  </si>
  <si>
    <t>PPHa 85-1</t>
  </si>
  <si>
    <t>PPHa 95-1</t>
  </si>
  <si>
    <t>PPHa 105-1</t>
  </si>
  <si>
    <t>PPHa 135-1</t>
  </si>
  <si>
    <t>PPHa 160-1</t>
  </si>
  <si>
    <t>PPHa 175-2</t>
  </si>
  <si>
    <t>PPHa 195-2</t>
  </si>
  <si>
    <t>PPHa 230-2</t>
  </si>
  <si>
    <t>PPHa 300-2</t>
  </si>
  <si>
    <t>PPHa 360-2</t>
  </si>
  <si>
    <t>PPHa 450-2</t>
  </si>
  <si>
    <t>PPHa 640-3</t>
  </si>
  <si>
    <t>PPHa 700-4</t>
  </si>
  <si>
    <t>PPHa 800-4</t>
  </si>
  <si>
    <t>PPHa 900-4</t>
  </si>
  <si>
    <t>MMS For Compressors</t>
  </si>
  <si>
    <t>kW</t>
  </si>
  <si>
    <t>CB</t>
  </si>
  <si>
    <t>EOL</t>
  </si>
  <si>
    <t>MMS</t>
  </si>
  <si>
    <t>0.75 Kw</t>
  </si>
  <si>
    <t>1.5 Kw</t>
  </si>
  <si>
    <t>9 Kw</t>
  </si>
  <si>
    <t>22 Kw</t>
  </si>
  <si>
    <t>30 Kw</t>
  </si>
  <si>
    <t>37 Kw</t>
  </si>
  <si>
    <t>45 Kw</t>
  </si>
  <si>
    <t>55 Kw</t>
  </si>
  <si>
    <t>75 Kw</t>
  </si>
  <si>
    <t>CU TO CU</t>
  </si>
  <si>
    <t>ADD Row Per Row</t>
  </si>
  <si>
    <t>Pre Coated Al Fins Per Row</t>
  </si>
  <si>
    <t>Dimeter</t>
  </si>
  <si>
    <t>Sale/ft2 ($)</t>
  </si>
  <si>
    <t>Fins No</t>
  </si>
  <si>
    <t>$/ft</t>
  </si>
  <si>
    <t>Fins NO</t>
  </si>
  <si>
    <t>3/8"</t>
  </si>
  <si>
    <t>5/8"</t>
  </si>
  <si>
    <t>Coating Type</t>
  </si>
  <si>
    <t>Coil Type</t>
  </si>
  <si>
    <t>Rows No</t>
  </si>
  <si>
    <t>ACRA CLAD</t>
  </si>
  <si>
    <t>Cu To Al</t>
  </si>
  <si>
    <t>Microchannel</t>
  </si>
  <si>
    <t>Cu To Al Pre-Coating</t>
  </si>
  <si>
    <t>Cu To Cu</t>
  </si>
  <si>
    <t>HERESITE</t>
  </si>
  <si>
    <t>Not standard color , one layer</t>
  </si>
  <si>
    <t>Not standard color ( Black ) , one layer</t>
  </si>
  <si>
    <t>A - ACRA CLAD FOR ALUMINIUM FINS</t>
  </si>
  <si>
    <t>120 Micron thickness standard color</t>
  </si>
  <si>
    <t>Extra Zinc coating above standard coating color</t>
  </si>
  <si>
    <t>A - HERESITE FOR ALUMINIUM FINS</t>
  </si>
  <si>
    <t>120 Micron thickness but not standard color</t>
  </si>
  <si>
    <t>Per Row</t>
  </si>
  <si>
    <t>Air Flow Switch</t>
  </si>
  <si>
    <t>Power Flow Switch</t>
  </si>
  <si>
    <t>SAES-K-002</t>
  </si>
  <si>
    <t>PAH Options</t>
  </si>
  <si>
    <t>SASO NAME</t>
  </si>
  <si>
    <t>Basic price</t>
  </si>
  <si>
    <t>Fan &amp; motor ESP HIGH Pirce</t>
  </si>
  <si>
    <t>Chemical Filter 2STG</t>
  </si>
  <si>
    <t>PAH Templet</t>
  </si>
  <si>
    <t>Construction Options</t>
  </si>
  <si>
    <t>Electrical Options (Power)</t>
  </si>
  <si>
    <t>Controller Options</t>
  </si>
  <si>
    <t>Hz</t>
  </si>
  <si>
    <t>Elec Power</t>
  </si>
  <si>
    <t>PAH Sections</t>
  </si>
  <si>
    <t>Coil Evap type</t>
  </si>
  <si>
    <t>Filter, Coil &amp; Fan Options</t>
  </si>
  <si>
    <t>Control &amp; Instruments</t>
  </si>
  <si>
    <t>External Pressure Drop</t>
  </si>
  <si>
    <t>VFD Options</t>
  </si>
  <si>
    <t>Others Options</t>
  </si>
  <si>
    <t>Please Note The Cu To Cu for Evap Base On 4 Rows Only</t>
  </si>
  <si>
    <t>PPH Sections</t>
  </si>
  <si>
    <t>SASO</t>
  </si>
  <si>
    <t>Refrigeration &amp; Cond. Options</t>
  </si>
  <si>
    <t>Manomiter PETRA STD</t>
  </si>
  <si>
    <t>Bulkhead Light</t>
  </si>
  <si>
    <t>Inspection Filter</t>
  </si>
  <si>
    <t>Inspection Fan</t>
  </si>
  <si>
    <t>Construction Coating</t>
  </si>
  <si>
    <t>Post Coating</t>
  </si>
  <si>
    <t>Area ft2</t>
  </si>
  <si>
    <t>MOTOR STD (Low)</t>
  </si>
  <si>
    <t>STD Pirce (FF+CC+SF)</t>
  </si>
  <si>
    <t>Inlet Damper</t>
  </si>
  <si>
    <t>Sand Trap Louver</t>
  </si>
  <si>
    <t>Chemical Filter</t>
  </si>
  <si>
    <t>Carbon Filter (Flat Type)</t>
  </si>
  <si>
    <t>UV Lamp</t>
  </si>
  <si>
    <t>Access section Ecology</t>
  </si>
  <si>
    <t>PVC Droplet</t>
  </si>
  <si>
    <t>AL Droplet</t>
  </si>
  <si>
    <t>ESP Filter (Without Washer)</t>
  </si>
  <si>
    <t>ESP Filter (WithWasher)</t>
  </si>
  <si>
    <t>Energy Wheel + (Return Fan)</t>
  </si>
  <si>
    <t>Drain Pan SS 304</t>
  </si>
  <si>
    <t>Drain Pan SS 316</t>
  </si>
  <si>
    <t>Coil Frame SS</t>
  </si>
  <si>
    <t>Filter Frame SS 304</t>
  </si>
  <si>
    <t>Filter Frame SS 316</t>
  </si>
  <si>
    <t>Inspection Win (Filter)</t>
  </si>
  <si>
    <t>Inspection Win (FAN)</t>
  </si>
  <si>
    <t>BulkH(Fan)</t>
  </si>
  <si>
    <t>BulkH(Filter)</t>
  </si>
  <si>
    <t>Spring Isolator 1" Fan</t>
  </si>
  <si>
    <t>Spring Isolator 2" Fan</t>
  </si>
  <si>
    <t>Belt Guard</t>
  </si>
  <si>
    <t>EX lubricant Line</t>
  </si>
  <si>
    <t>Diff Switch 1Fil</t>
  </si>
  <si>
    <t>Diff Switch 2 Fil</t>
  </si>
  <si>
    <t>Access Door</t>
  </si>
  <si>
    <t>MMS For Evap</t>
  </si>
  <si>
    <t>Dial Manometer 1Fil</t>
  </si>
  <si>
    <t>Dial Manometer 2Fil</t>
  </si>
  <si>
    <t>S.S Bolt</t>
  </si>
  <si>
    <t>S.S. Name Plate</t>
  </si>
  <si>
    <t>Base Coated</t>
  </si>
  <si>
    <t>Access Door Wheel</t>
  </si>
  <si>
    <t>Bulk Head (Return Fan)</t>
  </si>
  <si>
    <t>Pre Coated Fins</t>
  </si>
  <si>
    <t>Copper Fins</t>
  </si>
  <si>
    <t>1.5/1.0 mm STD</t>
  </si>
  <si>
    <t>1.5/1.0 mm BAG</t>
  </si>
  <si>
    <t>1.5/1.0 mm MIX</t>
  </si>
  <si>
    <t>1.5/1.0 mm Eco</t>
  </si>
  <si>
    <t>Motor Med ESP</t>
  </si>
  <si>
    <t>Motor HIGH ESP</t>
  </si>
  <si>
    <t>MMS Med Pirce</t>
  </si>
  <si>
    <t>MMS HIGH Pirce</t>
  </si>
  <si>
    <t>Fan &amp; motor ESP Med Pirce</t>
  </si>
  <si>
    <t>VFD Low ESP</t>
  </si>
  <si>
    <t>VFD MED ESP</t>
  </si>
  <si>
    <t>VFD HIGH ESP</t>
  </si>
  <si>
    <t>2 Set Of Belt</t>
  </si>
  <si>
    <t>Double Wall Drain Pan</t>
  </si>
  <si>
    <t>Current Transformer Evap</t>
  </si>
  <si>
    <t>Plenum Fan</t>
  </si>
  <si>
    <t>Inspection Windows (Return Fan)</t>
  </si>
  <si>
    <t>Heat pipe Dehumi</t>
  </si>
  <si>
    <t>Diff Filter ( Return Fan)</t>
  </si>
  <si>
    <t>MANOMETER ( Return Fan)</t>
  </si>
  <si>
    <t>Spring 1"(Return Fan)</t>
  </si>
  <si>
    <t>Spring 2"(Return Fan)</t>
  </si>
  <si>
    <t>Belt Guard (Return Fan)</t>
  </si>
  <si>
    <t>Extended Lubricant (Return Fan)</t>
  </si>
  <si>
    <t>Air Flow Siwtch (Return Fan)</t>
  </si>
  <si>
    <t>1.5/1.0mm Wheel</t>
  </si>
  <si>
    <t>Diffuser</t>
  </si>
  <si>
    <t>Diffused 1.5/1.0 mm</t>
  </si>
  <si>
    <t>STD(MB) $</t>
  </si>
  <si>
    <t>STD(ID) $</t>
  </si>
  <si>
    <t>ARAMCO(MB) $</t>
  </si>
  <si>
    <t>ARAMCO(ID) $</t>
  </si>
  <si>
    <t>Chemical Filter Cells</t>
  </si>
  <si>
    <t>Energy Wheel QTY</t>
  </si>
  <si>
    <t>Energy Wheel Model</t>
  </si>
  <si>
    <t>E.W Correction</t>
  </si>
  <si>
    <t>1100 T</t>
  </si>
  <si>
    <t>1700 T</t>
  </si>
  <si>
    <t>Comp 1  HP</t>
  </si>
  <si>
    <t>Comp 2  HP</t>
  </si>
  <si>
    <t>APSa 50</t>
  </si>
  <si>
    <t>APSA 50-1</t>
  </si>
  <si>
    <t>APSa 60</t>
  </si>
  <si>
    <t>APSA 60</t>
  </si>
  <si>
    <t>APSa 65</t>
  </si>
  <si>
    <t>APSA 65-1</t>
  </si>
  <si>
    <t>APSa 70-1</t>
  </si>
  <si>
    <t>APSa 70-2</t>
  </si>
  <si>
    <t>APSA 70-2</t>
  </si>
  <si>
    <t>APSa 70</t>
  </si>
  <si>
    <t>APSa 75</t>
  </si>
  <si>
    <t>APSA 75-1</t>
  </si>
  <si>
    <t>APSa 80-1</t>
  </si>
  <si>
    <t>APSA 80-1</t>
  </si>
  <si>
    <t>APSa 80</t>
  </si>
  <si>
    <t>APSa 95-2</t>
  </si>
  <si>
    <t>APSa 95-1</t>
  </si>
  <si>
    <t>APSA 95-1</t>
  </si>
  <si>
    <t>APSa 95</t>
  </si>
  <si>
    <t>APSa 100-2</t>
  </si>
  <si>
    <t>APSa 100-1</t>
  </si>
  <si>
    <t>APSA 100</t>
  </si>
  <si>
    <t>APSa 100</t>
  </si>
  <si>
    <t>APSa 110-2</t>
  </si>
  <si>
    <t>APSA 110-2</t>
  </si>
  <si>
    <t>APSa 110</t>
  </si>
  <si>
    <t>APSa 120</t>
  </si>
  <si>
    <t>APSA 120-2</t>
  </si>
  <si>
    <t>APSa 125</t>
  </si>
  <si>
    <t>APSA 125-2</t>
  </si>
  <si>
    <t>APSa 135</t>
  </si>
  <si>
    <t>APSa 140</t>
  </si>
  <si>
    <t>APSA 140</t>
  </si>
  <si>
    <t>APSa 145</t>
  </si>
  <si>
    <t>APSA 145-2</t>
  </si>
  <si>
    <t>APSa 160</t>
  </si>
  <si>
    <t>APSA 160-2</t>
  </si>
  <si>
    <t>APSa 165</t>
  </si>
  <si>
    <t>APSa 175</t>
  </si>
  <si>
    <t>APSA 175</t>
  </si>
  <si>
    <t>APSa 190</t>
  </si>
  <si>
    <t>APSA 190</t>
  </si>
  <si>
    <t>APSa 195</t>
  </si>
  <si>
    <t>APSa 200</t>
  </si>
  <si>
    <t>APSA 200-2</t>
  </si>
  <si>
    <t>APSa 205-2</t>
  </si>
  <si>
    <t>APSa 210</t>
  </si>
  <si>
    <t>APSA 210</t>
  </si>
  <si>
    <t>APSa 220</t>
  </si>
  <si>
    <t>APSA 220-2</t>
  </si>
  <si>
    <t>APSa 235</t>
  </si>
  <si>
    <t>APSA 235</t>
  </si>
  <si>
    <t>APSa 250</t>
  </si>
  <si>
    <t>APSA 250</t>
  </si>
  <si>
    <t>APSa 275</t>
  </si>
  <si>
    <t>APSA 275</t>
  </si>
  <si>
    <t>APSa 280</t>
  </si>
  <si>
    <t>APSa 285</t>
  </si>
  <si>
    <t>APSA 285</t>
  </si>
  <si>
    <t>APSa 300</t>
  </si>
  <si>
    <t>APSA 300</t>
  </si>
  <si>
    <t>APSa 315-3</t>
  </si>
  <si>
    <t>APSa 315-2</t>
  </si>
  <si>
    <t>APSA 315</t>
  </si>
  <si>
    <t>APSa 315</t>
  </si>
  <si>
    <t>APSa 335-2</t>
  </si>
  <si>
    <t>APSA 335</t>
  </si>
  <si>
    <t>APSa 335</t>
  </si>
  <si>
    <t>APSa 350-2</t>
  </si>
  <si>
    <t>APSA 350</t>
  </si>
  <si>
    <t>APSa 350</t>
  </si>
  <si>
    <t>APSa 350-3</t>
  </si>
  <si>
    <t>APSa 360-3</t>
  </si>
  <si>
    <t>APSA 360</t>
  </si>
  <si>
    <t>APSa 360</t>
  </si>
  <si>
    <t>APSa 375</t>
  </si>
  <si>
    <t>APSA 375-3</t>
  </si>
  <si>
    <t>APSa 400</t>
  </si>
  <si>
    <t>APSA 400-3</t>
  </si>
  <si>
    <t>APSa 415</t>
  </si>
  <si>
    <t>APSA 415</t>
  </si>
  <si>
    <t>APSa 430</t>
  </si>
  <si>
    <t>APSA 430</t>
  </si>
  <si>
    <t>APSa 450</t>
  </si>
  <si>
    <t>APSA 450</t>
  </si>
  <si>
    <t>APSa 465</t>
  </si>
  <si>
    <t>APSA 465</t>
  </si>
  <si>
    <t>APSa 475</t>
  </si>
  <si>
    <t>APSA 475</t>
  </si>
  <si>
    <t>APSa 485-3</t>
  </si>
  <si>
    <t>APSA 485</t>
  </si>
  <si>
    <t>APSa 485</t>
  </si>
  <si>
    <t>APSa 500</t>
  </si>
  <si>
    <t>APSA 500-3</t>
  </si>
  <si>
    <t>APSa 510</t>
  </si>
  <si>
    <t>APSA 510</t>
  </si>
  <si>
    <t>APSa 550</t>
  </si>
  <si>
    <t>APSA 550</t>
  </si>
  <si>
    <t>APSa 580</t>
  </si>
  <si>
    <t>APSA 580</t>
  </si>
  <si>
    <t>APSa 600</t>
  </si>
  <si>
    <t>APSA 600</t>
  </si>
  <si>
    <t>PSCc 45</t>
  </si>
  <si>
    <t>PSCc 50</t>
  </si>
  <si>
    <t>PSC 50</t>
  </si>
  <si>
    <t>PSCc 60</t>
  </si>
  <si>
    <t>PSCc 65</t>
  </si>
  <si>
    <t>PSC 65</t>
  </si>
  <si>
    <t>PSCc 70</t>
  </si>
  <si>
    <t>PSCc 80</t>
  </si>
  <si>
    <t>PSCc 85</t>
  </si>
  <si>
    <t>PSC4-85</t>
  </si>
  <si>
    <t>PSC-85</t>
  </si>
  <si>
    <t>PSCc 95</t>
  </si>
  <si>
    <t>PSC 95</t>
  </si>
  <si>
    <t>PSCc 100</t>
  </si>
  <si>
    <t>PSC 100</t>
  </si>
  <si>
    <t>PSCc 105</t>
  </si>
  <si>
    <t>PSC 105</t>
  </si>
  <si>
    <t>PSCc 115</t>
  </si>
  <si>
    <t>PSC 115</t>
  </si>
  <si>
    <t>PSCc 125</t>
  </si>
  <si>
    <t>PSC 125</t>
  </si>
  <si>
    <t>PSCc 130</t>
  </si>
  <si>
    <t>PSCc 145</t>
  </si>
  <si>
    <t>PSC 145</t>
  </si>
  <si>
    <t>PSCc 155</t>
  </si>
  <si>
    <t>PSC 155</t>
  </si>
  <si>
    <t>PSCc 165</t>
  </si>
  <si>
    <t>PSCc 175</t>
  </si>
  <si>
    <t>PSCc 180</t>
  </si>
  <si>
    <t>PSC 180</t>
  </si>
  <si>
    <t>PSCc 190</t>
  </si>
  <si>
    <t>PSC 190</t>
  </si>
  <si>
    <t>PSCc 200</t>
  </si>
  <si>
    <t>PSC4-200</t>
  </si>
  <si>
    <t>PSC-200</t>
  </si>
  <si>
    <t>PSCc 215</t>
  </si>
  <si>
    <t>PSC 215</t>
  </si>
  <si>
    <t>PSCc 235</t>
  </si>
  <si>
    <t>PSC 235</t>
  </si>
  <si>
    <t>PSCc 250</t>
  </si>
  <si>
    <t>PSC 250</t>
  </si>
  <si>
    <t>PSCc 265</t>
  </si>
  <si>
    <t>PSC 265</t>
  </si>
  <si>
    <t>PSCc 285</t>
  </si>
  <si>
    <t>PSC 285</t>
  </si>
  <si>
    <t>PSCc 315</t>
  </si>
  <si>
    <t>PSC 315</t>
  </si>
  <si>
    <t>PSCc 330</t>
  </si>
  <si>
    <t>PSC 335</t>
  </si>
  <si>
    <t>PSCc 350</t>
  </si>
  <si>
    <t>PSCc 365</t>
  </si>
  <si>
    <t>PSCc 380</t>
  </si>
  <si>
    <t>PSC 380</t>
  </si>
  <si>
    <t>RWCc 25</t>
  </si>
  <si>
    <t>RWCc 30</t>
  </si>
  <si>
    <t>RWC 30</t>
  </si>
  <si>
    <t>RWCc 40</t>
  </si>
  <si>
    <t>RWCc 47</t>
  </si>
  <si>
    <t>RWCc 55</t>
  </si>
  <si>
    <t>RWC 55</t>
  </si>
  <si>
    <t>RWCc 76</t>
  </si>
  <si>
    <t>RWC 76</t>
  </si>
  <si>
    <t>RWCc 105</t>
  </si>
  <si>
    <t>RWC 105</t>
  </si>
  <si>
    <t>RWCc 128</t>
  </si>
  <si>
    <t>RWC 128</t>
  </si>
  <si>
    <t>RWCc 160</t>
  </si>
  <si>
    <t>RWC 160</t>
  </si>
  <si>
    <t>RWCc 210</t>
  </si>
  <si>
    <t>RWC 210</t>
  </si>
  <si>
    <t>RWCc 260</t>
  </si>
  <si>
    <t>RWC 260</t>
  </si>
  <si>
    <t>RWCc 310</t>
  </si>
  <si>
    <t>RWC 310</t>
  </si>
  <si>
    <t>RWCc 350</t>
  </si>
  <si>
    <t>RWCc 390</t>
  </si>
  <si>
    <t>RWC 390</t>
  </si>
  <si>
    <t>RWCc 430</t>
  </si>
  <si>
    <t>RWC 430</t>
  </si>
  <si>
    <t>RWCc 470</t>
  </si>
  <si>
    <t>RWCc 530</t>
  </si>
  <si>
    <t>RWC 530</t>
  </si>
  <si>
    <t>RWCc 580</t>
  </si>
  <si>
    <t>RWC 580</t>
  </si>
  <si>
    <t>RWCc 630</t>
  </si>
  <si>
    <t>RWC 630</t>
  </si>
  <si>
    <t>PSC4 50</t>
  </si>
  <si>
    <t>PSC4 55</t>
  </si>
  <si>
    <t>PSC 55</t>
  </si>
  <si>
    <t>PSC4 65</t>
  </si>
  <si>
    <t>PSC4 75</t>
  </si>
  <si>
    <t>PSC 75</t>
  </si>
  <si>
    <t>PSC4 85</t>
  </si>
  <si>
    <t>PSC4 95</t>
  </si>
  <si>
    <t>PSC4 105</t>
  </si>
  <si>
    <t>PSC4 110</t>
  </si>
  <si>
    <t>PSC 110</t>
  </si>
  <si>
    <t>xxxx</t>
  </si>
  <si>
    <t>PSC4 120</t>
  </si>
  <si>
    <t>PSC 120</t>
  </si>
  <si>
    <t>PSC4 145</t>
  </si>
  <si>
    <t>PSC4 155</t>
  </si>
  <si>
    <t>PSC4 170</t>
  </si>
  <si>
    <t>PSC 170</t>
  </si>
  <si>
    <t>PSC4 190</t>
  </si>
  <si>
    <t>PSC4 200</t>
  </si>
  <si>
    <t>PSC4 215</t>
  </si>
  <si>
    <t>PSC4 225</t>
  </si>
  <si>
    <t>PSC 225</t>
  </si>
  <si>
    <t>PSC4 235</t>
  </si>
  <si>
    <t>PSC4 285</t>
  </si>
  <si>
    <t>PSC4 315</t>
  </si>
  <si>
    <t>RWC4 55</t>
  </si>
  <si>
    <t>RWC4 76</t>
  </si>
  <si>
    <t>RWC4 105</t>
  </si>
  <si>
    <t>RWC4 128</t>
  </si>
  <si>
    <t>RWC4 160</t>
  </si>
  <si>
    <t>RWC4 210</t>
  </si>
  <si>
    <t>RWC4 260</t>
  </si>
  <si>
    <t>RWC4 310</t>
  </si>
  <si>
    <t>RWC4 350</t>
  </si>
  <si>
    <t>RWC4 390</t>
  </si>
  <si>
    <t>RWC4 430</t>
  </si>
  <si>
    <t>RWC4 470</t>
  </si>
  <si>
    <t>RWC4 530</t>
  </si>
  <si>
    <t>RWC4 580</t>
  </si>
  <si>
    <t>RWC4 630</t>
  </si>
  <si>
    <t>Project Name</t>
  </si>
  <si>
    <t>Sales Name</t>
  </si>
  <si>
    <t>TCC</t>
  </si>
  <si>
    <t>SCC</t>
  </si>
  <si>
    <t>UQTY</t>
  </si>
  <si>
    <t>TP</t>
  </si>
  <si>
    <t>UP</t>
  </si>
  <si>
    <t>GROUP</t>
  </si>
  <si>
    <t>ROW</t>
  </si>
  <si>
    <t>Elelctrical Heater STG</t>
  </si>
  <si>
    <t>Steam Humi.
[Kg/Hr]</t>
  </si>
  <si>
    <t>Currant Version</t>
  </si>
  <si>
    <t>Offer NO.</t>
  </si>
  <si>
    <t>Provide For</t>
  </si>
  <si>
    <t>Attn. MR</t>
  </si>
  <si>
    <t>Standard Specification</t>
  </si>
  <si>
    <r>
      <t>·</t>
    </r>
    <r>
      <rPr>
        <sz val="7"/>
        <color theme="1"/>
        <rFont val="Times New Roman"/>
        <family val="1"/>
      </rPr>
      <t xml:space="preserve">         </t>
    </r>
    <r>
      <rPr>
        <sz val="11"/>
        <color theme="1"/>
        <rFont val="Arial Narrow"/>
        <family val="2"/>
      </rPr>
      <t xml:space="preserve">Units are provided without electric heater and without steam humidifier. </t>
    </r>
  </si>
  <si>
    <r>
      <t>·</t>
    </r>
    <r>
      <rPr>
        <sz val="7"/>
        <color theme="1"/>
        <rFont val="Times New Roman"/>
        <family val="1"/>
      </rPr>
      <t xml:space="preserve">         </t>
    </r>
    <r>
      <rPr>
        <sz val="11"/>
        <color theme="1"/>
        <rFont val="Arial Narrow"/>
        <family val="2"/>
      </rPr>
      <t xml:space="preserve">Units are provided without valves. </t>
    </r>
  </si>
  <si>
    <t>Project Current Specification</t>
  </si>
  <si>
    <t>Project Unit Specs</t>
  </si>
  <si>
    <t>LDBT</t>
  </si>
  <si>
    <t>LWBT</t>
  </si>
  <si>
    <t>==&gt;</t>
  </si>
  <si>
    <t>CPD</t>
  </si>
  <si>
    <t>FACE</t>
  </si>
  <si>
    <t>Face Velocity
(FPM)</t>
  </si>
  <si>
    <t>ST</t>
  </si>
  <si>
    <t>CT</t>
  </si>
  <si>
    <t>AMB</t>
  </si>
  <si>
    <t>Evap. Area
(ft^2)</t>
  </si>
  <si>
    <t>EVAPAREA</t>
  </si>
  <si>
    <t>Cond. Area
(ft^2)</t>
  </si>
  <si>
    <t>CONDAREA</t>
  </si>
  <si>
    <t>Condensation Temp (°F)</t>
  </si>
  <si>
    <t>Suction Temp. (°F)</t>
  </si>
  <si>
    <t>Full Run Details</t>
  </si>
  <si>
    <t>ZIEHL</t>
  </si>
  <si>
    <t>Pre-Coated CU-Al Evap. Coil</t>
  </si>
  <si>
    <t>EC-Fan</t>
  </si>
  <si>
    <t>BITZER</t>
  </si>
  <si>
    <t>LRA</t>
  </si>
  <si>
    <t>Stage</t>
  </si>
  <si>
    <t>Motor
Kw</t>
  </si>
  <si>
    <t>Motor
QTY</t>
  </si>
  <si>
    <t>Supply Flow Rate
 (CFM)</t>
  </si>
  <si>
    <t>On Coil
DBT (°F)</t>
  </si>
  <si>
    <t>WFR</t>
  </si>
  <si>
    <t>ESP
(Inwg)</t>
  </si>
  <si>
    <t>Ecology Options</t>
  </si>
  <si>
    <t>Chemical Filtration Options</t>
  </si>
  <si>
    <t>Chiller APSa Options</t>
  </si>
  <si>
    <t>Chiller PSC Options</t>
  </si>
  <si>
    <t>Chiller RWC Options</t>
  </si>
  <si>
    <t>Supply
(L/s)</t>
  </si>
  <si>
    <t>Ambient
(°C)</t>
  </si>
  <si>
    <t>Ambient
(°F)</t>
  </si>
  <si>
    <t xml:space="preserve">Version </t>
  </si>
  <si>
    <t xml:space="preserve">AIR </t>
  </si>
  <si>
    <t xml:space="preserve">Project </t>
  </si>
  <si>
    <t xml:space="preserve">: </t>
  </si>
  <si>
    <t xml:space="preserve">Yaseen </t>
  </si>
  <si>
    <t xml:space="preserve">Alabdulah_x000D_
</t>
  </si>
  <si>
    <t xml:space="preserve">Name </t>
  </si>
  <si>
    <t xml:space="preserve">:_x000D_
</t>
  </si>
  <si>
    <t xml:space="preserve">Required </t>
  </si>
  <si>
    <t>Btu/</t>
  </si>
  <si>
    <t xml:space="preserve">hr </t>
  </si>
  <si>
    <t>°</t>
  </si>
  <si>
    <t xml:space="preserve">Air </t>
  </si>
  <si>
    <t xml:space="preserve">Flow </t>
  </si>
  <si>
    <t xml:space="preserve">Rate </t>
  </si>
  <si>
    <t xml:space="preserve">Leaving </t>
  </si>
  <si>
    <t xml:space="preserve">Sensible </t>
  </si>
  <si>
    <t xml:space="preserve">Face </t>
  </si>
  <si>
    <t xml:space="preserve">No. </t>
  </si>
  <si>
    <t xml:space="preserve">of </t>
  </si>
  <si>
    <t xml:space="preserve">Coil </t>
  </si>
  <si>
    <t>ft</t>
  </si>
  <si>
    <t xml:space="preserve">Fins </t>
  </si>
  <si>
    <t xml:space="preserve">Rows </t>
  </si>
  <si>
    <t>480-3-60</t>
  </si>
  <si>
    <t>CH1</t>
  </si>
  <si>
    <t>E-Password</t>
  </si>
  <si>
    <t>UCD</t>
  </si>
  <si>
    <t>PPH SASO JO</t>
  </si>
  <si>
    <t>PPH SASO KSA</t>
  </si>
  <si>
    <t>DSP SASO JO</t>
  </si>
  <si>
    <t>NO Condenser Fans</t>
  </si>
  <si>
    <t>DSP SASO KSA</t>
  </si>
  <si>
    <t>DSP Model</t>
  </si>
  <si>
    <t>UCO</t>
  </si>
  <si>
    <t>Bag Filter EU-8</t>
  </si>
  <si>
    <t>2" Pre-Filter</t>
  </si>
  <si>
    <t>Economizer Section</t>
  </si>
  <si>
    <t xml:space="preserve">Sand Trap Louver </t>
  </si>
  <si>
    <t>Copper fin for Condenser Coil</t>
  </si>
  <si>
    <t>Copper fin for Evaporator Coil</t>
  </si>
  <si>
    <t>PPH Unit Basic Price With Cu Tube</t>
  </si>
  <si>
    <t>DSP Unit Basic Price With Cu Tube</t>
  </si>
  <si>
    <r>
      <rPr>
        <b/>
        <u/>
        <sz val="10"/>
        <color indexed="56"/>
        <rFont val="Arial Narrow"/>
        <family val="2"/>
      </rPr>
      <t>E</t>
    </r>
    <r>
      <rPr>
        <sz val="10"/>
        <color indexed="56"/>
        <rFont val="Arial Narrow"/>
        <family val="2"/>
      </rPr>
      <t xml:space="preserve">vaporator </t>
    </r>
    <r>
      <rPr>
        <b/>
        <u/>
        <sz val="10"/>
        <color indexed="56"/>
        <rFont val="Arial Narrow"/>
        <family val="2"/>
      </rPr>
      <t>F</t>
    </r>
    <r>
      <rPr>
        <sz val="10"/>
        <color indexed="56"/>
        <rFont val="Arial Narrow"/>
        <family val="2"/>
      </rPr>
      <t xml:space="preserve">an </t>
    </r>
    <r>
      <rPr>
        <b/>
        <u/>
        <sz val="10"/>
        <color indexed="56"/>
        <rFont val="Arial Narrow"/>
        <family val="2"/>
      </rPr>
      <t>M</t>
    </r>
    <r>
      <rPr>
        <sz val="10"/>
        <color indexed="56"/>
        <rFont val="Arial Narrow"/>
        <family val="2"/>
      </rPr>
      <t xml:space="preserve">otor </t>
    </r>
    <r>
      <rPr>
        <b/>
        <sz val="10"/>
        <color indexed="56"/>
        <rFont val="Arial Narrow"/>
        <family val="2"/>
      </rPr>
      <t>(EFM)</t>
    </r>
    <r>
      <rPr>
        <sz val="10"/>
        <color indexed="56"/>
        <rFont val="Arial Narrow"/>
        <family val="2"/>
      </rPr>
      <t xml:space="preserve">  Accessories [USD]</t>
    </r>
  </si>
  <si>
    <r>
      <rPr>
        <b/>
        <sz val="12"/>
        <rFont val="Arial Narrow"/>
        <family val="2"/>
      </rPr>
      <t>2 - ACRA CLAD COATING</t>
    </r>
  </si>
  <si>
    <r>
      <rPr>
        <b/>
        <sz val="12"/>
        <rFont val="Arial Narrow"/>
        <family val="2"/>
      </rPr>
      <t>Rows</t>
    </r>
  </si>
  <si>
    <r>
      <rPr>
        <b/>
        <sz val="12"/>
        <rFont val="Arial Narrow"/>
        <family val="2"/>
      </rPr>
      <t>$ / ft2</t>
    </r>
  </si>
  <si>
    <r>
      <rPr>
        <b/>
        <sz val="12"/>
        <rFont val="Arial Narrow"/>
        <family val="2"/>
      </rPr>
      <t>B - ACRA CLAD FOR COPPER FINS</t>
    </r>
  </si>
  <si>
    <r>
      <rPr>
        <b/>
        <sz val="12"/>
        <rFont val="Arial Narrow"/>
        <family val="2"/>
      </rPr>
      <t>3 - HERESITE COATING</t>
    </r>
  </si>
  <si>
    <r>
      <rPr>
        <b/>
        <sz val="12"/>
        <rFont val="Arial Narrow"/>
        <family val="2"/>
      </rPr>
      <t>B - HERESITE FOR COPPER FINS</t>
    </r>
  </si>
  <si>
    <r>
      <rPr>
        <b/>
        <sz val="12"/>
        <rFont val="Arial Narrow"/>
        <family val="2"/>
      </rPr>
      <t>DATE:                     10/21/2017</t>
    </r>
  </si>
  <si>
    <r>
      <rPr>
        <b/>
        <sz val="12"/>
        <rFont val="Arial Narrow"/>
        <family val="2"/>
      </rPr>
      <t>1 - PRE COATED ALUMINIUM FINS</t>
    </r>
  </si>
  <si>
    <r>
      <rPr>
        <b/>
        <sz val="12"/>
        <rFont val="Arial Narrow"/>
        <family val="2"/>
      </rPr>
      <t>fpi</t>
    </r>
  </si>
  <si>
    <r>
      <rPr>
        <b/>
        <sz val="12"/>
        <rFont val="Arial Narrow"/>
        <family val="2"/>
      </rPr>
      <t>$ / ft2                          $ / ft2                          $ / ft2                          $ / ft2                          $ / ft2</t>
    </r>
  </si>
  <si>
    <t>Doubel Skin 2" Insulation For Unit</t>
  </si>
  <si>
    <t>Doubel Skin 1" Insulation For Unit</t>
  </si>
  <si>
    <t>120 Micron Paint FOR ECONOMIZER</t>
  </si>
  <si>
    <t>120 Micron Paint FOR MIXING BOX</t>
  </si>
  <si>
    <t>120 Micron Paint FOR BAG FILTER</t>
  </si>
  <si>
    <t>120 Micron Paint FOR STD UNIT</t>
  </si>
  <si>
    <t>Inner Skin Coating</t>
  </si>
  <si>
    <t>Outer Skin Coating 120 Micro</t>
  </si>
  <si>
    <t>Stainless Steel 304 Drain</t>
  </si>
  <si>
    <t>Stainless Steel 316 Drain</t>
  </si>
  <si>
    <t>Inner Skin Coating  For Bag Filter Section</t>
  </si>
  <si>
    <t>Inner Skin Coating  For Mixing box Section</t>
  </si>
  <si>
    <t>Inner Skin Coating  For Economizer Section</t>
  </si>
  <si>
    <t>Drain Pan</t>
  </si>
  <si>
    <t>Droplet Eliminator</t>
  </si>
  <si>
    <t>Others</t>
  </si>
  <si>
    <t>Doubel Skin 1" Insulation For Bag Filter Section</t>
  </si>
  <si>
    <t>Doubel Skin 2" Insulation for Bag section</t>
  </si>
  <si>
    <t>Doubel Skin 2" Insulation for Mixing Box</t>
  </si>
  <si>
    <t>Doubel Skin 2" Insulation for Economizer</t>
  </si>
  <si>
    <t>Doubel Skin 1" Insulation For Economizer</t>
  </si>
  <si>
    <t>Doubel Skin 1" Insulation For Mixing Box</t>
  </si>
  <si>
    <t>Skin Thickness</t>
  </si>
  <si>
    <t>High &amp; Low Pressure Gauges</t>
  </si>
  <si>
    <t>High Pressure Relief Valve</t>
  </si>
  <si>
    <t>Sight Glass</t>
  </si>
  <si>
    <t xml:space="preserve">Replaceble Filter Drier </t>
  </si>
  <si>
    <t xml:space="preserve">Discharge Shut Off Valve </t>
  </si>
  <si>
    <t>Liquid line solenoid valve &amp; Liquid line shut off valve for Below 5 HP Compressor</t>
  </si>
  <si>
    <t>Suction Line Accumulator</t>
  </si>
  <si>
    <t>Electronic Expansion Valve</t>
  </si>
  <si>
    <t>Refrigeration Options</t>
  </si>
  <si>
    <t>VFD for Supply Fan Motor</t>
  </si>
  <si>
    <t>VFD For All Compressors</t>
  </si>
  <si>
    <t>VFD For Lead Compressor</t>
  </si>
  <si>
    <t>NEMA 4X For Electrical Panel</t>
  </si>
  <si>
    <t>Speed Regulator For CFM (Each V)</t>
  </si>
  <si>
    <t xml:space="preserve">Sound Jacket </t>
  </si>
  <si>
    <t>Differential Pressure Transmitter</t>
  </si>
  <si>
    <t>Earth Leakage Relay</t>
  </si>
  <si>
    <t>Electrical Options</t>
  </si>
  <si>
    <t>BP</t>
  </si>
  <si>
    <t>R-410a</t>
  </si>
  <si>
    <t>R-407c</t>
  </si>
  <si>
    <t>R-134a</t>
  </si>
  <si>
    <t>URO</t>
  </si>
  <si>
    <t>URO2</t>
  </si>
  <si>
    <t>UEO</t>
  </si>
  <si>
    <t>UAO</t>
  </si>
  <si>
    <t>Accessory Options</t>
  </si>
  <si>
    <t>2 Inch Spring Isolator Under Fan Motor</t>
  </si>
  <si>
    <t>1 Inch Spring Isolator Under Fan Motor</t>
  </si>
  <si>
    <t>Inspection Windows For Fan Section</t>
  </si>
  <si>
    <t>Inspection Window For Filter Section</t>
  </si>
  <si>
    <t>Rubber Pad Under Fan Motor</t>
  </si>
  <si>
    <t>Belt Guard For Fan</t>
  </si>
  <si>
    <t>Stainless Steel For Fan Shaft</t>
  </si>
  <si>
    <t xml:space="preserve"> Stainless steel
 316 For Filter Frame</t>
  </si>
  <si>
    <t xml:space="preserve"> Stainless steel
 304 For Filter Frame</t>
  </si>
  <si>
    <t>End</t>
  </si>
  <si>
    <t>UAO1</t>
  </si>
  <si>
    <t>UAO2</t>
  </si>
  <si>
    <t>UAO3</t>
  </si>
  <si>
    <t>UAO4</t>
  </si>
  <si>
    <t>UAO5</t>
  </si>
  <si>
    <t>UAO6</t>
  </si>
  <si>
    <t>UAO7</t>
  </si>
  <si>
    <t>UAO8</t>
  </si>
  <si>
    <t>UAO9</t>
  </si>
  <si>
    <t>UAO10</t>
  </si>
  <si>
    <t>UAO11</t>
  </si>
  <si>
    <t>UAO12</t>
  </si>
  <si>
    <t>UAO13</t>
  </si>
  <si>
    <t>UAO14</t>
  </si>
  <si>
    <t>UEO1</t>
  </si>
  <si>
    <t>UEO2</t>
  </si>
  <si>
    <t>UEO3</t>
  </si>
  <si>
    <t>UEO4</t>
  </si>
  <si>
    <t>UEO5</t>
  </si>
  <si>
    <t>UEO6</t>
  </si>
  <si>
    <t>UEO7</t>
  </si>
  <si>
    <t>UEO8</t>
  </si>
  <si>
    <t>UEO9</t>
  </si>
  <si>
    <t>UEO10</t>
  </si>
  <si>
    <t>UEO11</t>
  </si>
  <si>
    <t>UEO12</t>
  </si>
  <si>
    <t>UEO13</t>
  </si>
  <si>
    <t>UEO14</t>
  </si>
  <si>
    <t>UEO15</t>
  </si>
  <si>
    <t>UEO16</t>
  </si>
  <si>
    <t>UEO17</t>
  </si>
  <si>
    <t>UEO18</t>
  </si>
  <si>
    <t>UEO19</t>
  </si>
  <si>
    <t>UEO20</t>
  </si>
  <si>
    <t>UEO21</t>
  </si>
  <si>
    <t>UEO22</t>
  </si>
  <si>
    <t>UEO23</t>
  </si>
  <si>
    <t>UEO24</t>
  </si>
  <si>
    <t>UEO25</t>
  </si>
  <si>
    <t>UEO26</t>
  </si>
  <si>
    <t>UEO27</t>
  </si>
  <si>
    <t>UEO28</t>
  </si>
  <si>
    <t>BP1</t>
  </si>
  <si>
    <t>BP2</t>
  </si>
  <si>
    <t>BP3</t>
  </si>
  <si>
    <t>UCO1</t>
  </si>
  <si>
    <t>UCO2</t>
  </si>
  <si>
    <t>UCO3</t>
  </si>
  <si>
    <t>UCO4</t>
  </si>
  <si>
    <t>UCO5</t>
  </si>
  <si>
    <t>UCO6</t>
  </si>
  <si>
    <t>UCO7</t>
  </si>
  <si>
    <t>UCO8</t>
  </si>
  <si>
    <t>UCO9</t>
  </si>
  <si>
    <t>UCO10</t>
  </si>
  <si>
    <t>UCO11</t>
  </si>
  <si>
    <t>UCO12</t>
  </si>
  <si>
    <t>UCO13</t>
  </si>
  <si>
    <t>UCO14</t>
  </si>
  <si>
    <t>UCO15</t>
  </si>
  <si>
    <t>UCO16</t>
  </si>
  <si>
    <t>UCO17</t>
  </si>
  <si>
    <t>UCO18</t>
  </si>
  <si>
    <t>UCO19</t>
  </si>
  <si>
    <t>UCO20</t>
  </si>
  <si>
    <t>UCO21</t>
  </si>
  <si>
    <t>UCO22</t>
  </si>
  <si>
    <t>UCO23</t>
  </si>
  <si>
    <t>UCO24</t>
  </si>
  <si>
    <t>UCO25</t>
  </si>
  <si>
    <t>UCO26</t>
  </si>
  <si>
    <t>UCO27</t>
  </si>
  <si>
    <t>UCO28</t>
  </si>
  <si>
    <t>UCO29</t>
  </si>
  <si>
    <t>UCO30</t>
  </si>
  <si>
    <t>UCO31</t>
  </si>
  <si>
    <t>UCO32</t>
  </si>
  <si>
    <t>UCO33</t>
  </si>
  <si>
    <t>UCO34</t>
  </si>
  <si>
    <t>UCO35</t>
  </si>
  <si>
    <t>UCO36</t>
  </si>
  <si>
    <t>UCO37</t>
  </si>
  <si>
    <t>UCO38</t>
  </si>
  <si>
    <t>UCO39</t>
  </si>
  <si>
    <t>URO1</t>
  </si>
  <si>
    <t>URO3</t>
  </si>
  <si>
    <t>URO4</t>
  </si>
  <si>
    <t>URO5</t>
  </si>
  <si>
    <t>URO6</t>
  </si>
  <si>
    <t>URO7</t>
  </si>
  <si>
    <t>URO8</t>
  </si>
  <si>
    <t>URO9</t>
  </si>
  <si>
    <t>URO10</t>
  </si>
  <si>
    <t>URO11</t>
  </si>
  <si>
    <t>URO12</t>
  </si>
  <si>
    <t>URO13</t>
  </si>
  <si>
    <t>URO14</t>
  </si>
  <si>
    <t>URO15</t>
  </si>
  <si>
    <t>Compressor 1 HP</t>
  </si>
  <si>
    <t>Compressor 1 QTY</t>
  </si>
  <si>
    <t>Compressor 2 HP</t>
  </si>
  <si>
    <t>Compressor 2 QTY</t>
  </si>
  <si>
    <t>STD Evaporator Fan</t>
  </si>
  <si>
    <t>STD Supply Fan Motor</t>
  </si>
  <si>
    <t>No. of Unit  Compressors</t>
  </si>
  <si>
    <t>Total Evaporator  Coil Area</t>
  </si>
  <si>
    <t>Total Condenser Coil Area</t>
  </si>
  <si>
    <t>No. Of Condenser Coils</t>
  </si>
  <si>
    <t>UCD1</t>
  </si>
  <si>
    <t>UCD2</t>
  </si>
  <si>
    <t>UCD3</t>
  </si>
  <si>
    <t>UCD4</t>
  </si>
  <si>
    <t>UCD5</t>
  </si>
  <si>
    <t>UCD6</t>
  </si>
  <si>
    <t>UCD7</t>
  </si>
  <si>
    <t>UCD8</t>
  </si>
  <si>
    <t>UCD9</t>
  </si>
  <si>
    <t>UCD10</t>
  </si>
  <si>
    <t>UCD11</t>
  </si>
  <si>
    <t>UCD12</t>
  </si>
  <si>
    <t>UCD13</t>
  </si>
  <si>
    <t>UCD14</t>
  </si>
  <si>
    <t>UCD15</t>
  </si>
  <si>
    <t>UCD16</t>
  </si>
  <si>
    <t>UCD17</t>
  </si>
  <si>
    <t>SASO1</t>
  </si>
  <si>
    <t>SASO2</t>
  </si>
  <si>
    <t>SASO3</t>
  </si>
  <si>
    <t>SASO4</t>
  </si>
  <si>
    <t>SASO5</t>
  </si>
  <si>
    <t>SASO6</t>
  </si>
  <si>
    <t>E.H Stages</t>
  </si>
  <si>
    <t>Steam Humid</t>
  </si>
  <si>
    <t>Construction Details</t>
  </si>
  <si>
    <t>Basic Inner Skin Coating</t>
  </si>
  <si>
    <t>Pre-Coated Condenser Fins</t>
  </si>
  <si>
    <t>Pre-Coated Evaporator Fins</t>
  </si>
  <si>
    <t>UCO40</t>
  </si>
  <si>
    <t>UCO41</t>
  </si>
  <si>
    <t>UCO42</t>
  </si>
  <si>
    <t>UCO43</t>
  </si>
  <si>
    <t>UCO44</t>
  </si>
  <si>
    <t>UCO45</t>
  </si>
  <si>
    <t>UCO46</t>
  </si>
  <si>
    <t>UCO47</t>
  </si>
  <si>
    <t>Coil Fins Type</t>
  </si>
  <si>
    <t>Evaporator Coil Coating</t>
  </si>
  <si>
    <t>Heresite Coated Copper Tube Copper Fins For Evaporator Coil</t>
  </si>
  <si>
    <t>Heresite Coated Copper Tube Al Fins For Evaporator Coil</t>
  </si>
  <si>
    <t>Post Coated Copper Tube Copper Fins For Evaporator Coil</t>
  </si>
  <si>
    <t>Post Coated Copper Tube Al Fins For Evaporator Coil</t>
  </si>
  <si>
    <t>Condenser Coil Coating</t>
  </si>
  <si>
    <t>Post Coated Copper Tube Al Fins For Condenser Coil</t>
  </si>
  <si>
    <t>Post Coated Copper Tube Copper Fins For Condenser Coil</t>
  </si>
  <si>
    <t>Heresite Coated Copper Tube Al Fins For Condenser Coil</t>
  </si>
  <si>
    <t>Heresite Coated Copper Tube Copper Fins For Condenser Coil</t>
  </si>
  <si>
    <t>Isolating Valves Before Filter</t>
  </si>
  <si>
    <t>External Oveload For Each Compressor</t>
  </si>
  <si>
    <t>External Oveload For Each CFM</t>
  </si>
  <si>
    <t>External Oveload For Evaporator Fan Motor</t>
  </si>
  <si>
    <t>Circuit Breaker For Each Compressor</t>
  </si>
  <si>
    <t>Circuit Breaker For Each CFM</t>
  </si>
  <si>
    <t>Circuit Breaker For Evaporator Fan Motor</t>
  </si>
  <si>
    <t>MMS For Each Compressor</t>
  </si>
  <si>
    <t>MMS For Each CFM</t>
  </si>
  <si>
    <t>MMS For  Evaporator Motor</t>
  </si>
  <si>
    <t>Bulkhead Light For Filter Section</t>
  </si>
  <si>
    <t>Bulkhead Light For Fan Section</t>
  </si>
  <si>
    <t>UAO15</t>
  </si>
  <si>
    <t>UAO16</t>
  </si>
  <si>
    <t>Required Signals For SCECO Controls</t>
  </si>
  <si>
    <t>BACnet Card</t>
  </si>
  <si>
    <t>Automatic Change Over Function</t>
  </si>
  <si>
    <t>Extended Key Pad</t>
  </si>
  <si>
    <t>Manual Thermostat</t>
  </si>
  <si>
    <t xml:space="preserve">Programmable Thermostat </t>
  </si>
  <si>
    <t>Humidity Sensor</t>
  </si>
  <si>
    <t>UEO29</t>
  </si>
  <si>
    <t>UEO30</t>
  </si>
  <si>
    <t>UEO31</t>
  </si>
  <si>
    <t>UEO32</t>
  </si>
  <si>
    <t>UEO33</t>
  </si>
  <si>
    <t>UEO34</t>
  </si>
  <si>
    <t>UEO35</t>
  </si>
  <si>
    <t>Differential Pressure Switch</t>
  </si>
  <si>
    <t>Air Flow Siwtch</t>
  </si>
  <si>
    <t>Free Terminals</t>
  </si>
  <si>
    <t>Anti Freeze Thermostat</t>
  </si>
  <si>
    <t>Smoke Detector</t>
  </si>
  <si>
    <t>UEO36</t>
  </si>
  <si>
    <t>UEO37</t>
  </si>
  <si>
    <t>UEO38</t>
  </si>
  <si>
    <t>UEO39</t>
  </si>
  <si>
    <t>Emergency Switch</t>
  </si>
  <si>
    <t>UEO40</t>
  </si>
  <si>
    <t>UEO41</t>
  </si>
  <si>
    <t>Current Transformer For Compressors</t>
  </si>
  <si>
    <t>Current Transformer For Evaporator Fan Motor</t>
  </si>
  <si>
    <t>UEO42</t>
  </si>
  <si>
    <t>UEO43</t>
  </si>
  <si>
    <t>Accessory</t>
  </si>
  <si>
    <t>2XDifferential Pressure Switch</t>
  </si>
  <si>
    <t>UAO18</t>
  </si>
  <si>
    <t>UAO17</t>
  </si>
  <si>
    <t>S.S Name Plate</t>
  </si>
  <si>
    <t>STD PETRA DIAL DIFF.PRESS.GAUGE NOT DWYER</t>
  </si>
  <si>
    <t>2X STD PETRA DIAL DIFF.PRESS.GAUGE NOT DWYER</t>
  </si>
  <si>
    <t>UAO19</t>
  </si>
  <si>
    <t>N/A To Cahnge</t>
  </si>
  <si>
    <t>Compressors Type</t>
  </si>
  <si>
    <t>PPH4H-400</t>
  </si>
  <si>
    <t>PPH 400</t>
  </si>
  <si>
    <t>DSP4 400-2</t>
  </si>
  <si>
    <t>DSP 400</t>
  </si>
  <si>
    <t>PPH4 400-2</t>
  </si>
  <si>
    <t>1 STAGE</t>
  </si>
  <si>
    <t>2 STAGE</t>
  </si>
  <si>
    <t>3 STAGE</t>
  </si>
  <si>
    <t>4 STAGE</t>
  </si>
  <si>
    <t>EHS</t>
  </si>
  <si>
    <t>EHE</t>
  </si>
  <si>
    <t>Electrical Heater Price</t>
  </si>
  <si>
    <t>KW Max</t>
  </si>
  <si>
    <t>Electrical Heater &amp; Steam Humidifire Option</t>
  </si>
  <si>
    <t>Unit Price
(S.R.)</t>
  </si>
  <si>
    <t>Total Price
(S.R.)</t>
  </si>
  <si>
    <t>Steam 1.5-3 OEM KG/HR</t>
  </si>
  <si>
    <t>Steam 5-8 OEM KG/HR</t>
  </si>
  <si>
    <t>Steam 10-15 OEM KG/HR</t>
  </si>
  <si>
    <t>Steam 25-45 OEM KG/HR</t>
  </si>
  <si>
    <t>Steam stand Alone 35&amp;45 KG/HR</t>
  </si>
  <si>
    <t>Steam stand Alone 65 KG/HR</t>
  </si>
  <si>
    <t>Steam stand Alone 90 KG/HR</t>
  </si>
  <si>
    <t>Steam stand Alone 130 KG/HR</t>
  </si>
  <si>
    <t>Steam Humi. Price</t>
  </si>
  <si>
    <t>PACK</t>
  </si>
  <si>
    <t>Air Flow Rate
 (CFM)</t>
  </si>
  <si>
    <t xml:space="preserve">::_x000D_
</t>
  </si>
  <si>
    <t>PG0026</t>
  </si>
  <si>
    <t>MINI SPLIT UNIT</t>
  </si>
  <si>
    <t>Cooling Cap</t>
  </si>
  <si>
    <t>SH (Kg/hr)</t>
  </si>
  <si>
    <t>EH (KW)</t>
  </si>
  <si>
    <t>-</t>
  </si>
  <si>
    <t xml:space="preserve">- </t>
  </si>
  <si>
    <t xml:space="preserve">Page </t>
  </si>
  <si>
    <r>
      <t>·</t>
    </r>
    <r>
      <rPr>
        <sz val="7"/>
        <color theme="1"/>
        <rFont val="Times New Roman"/>
        <family val="1"/>
      </rPr>
      <t xml:space="preserve">         </t>
    </r>
    <r>
      <rPr>
        <sz val="11"/>
        <color theme="1"/>
        <rFont val="Arial Narrow"/>
        <family val="2"/>
      </rPr>
      <t xml:space="preserve">Hermetic compressors running on </t>
    </r>
    <r>
      <rPr>
        <b/>
        <u/>
        <sz val="11"/>
        <color theme="1"/>
        <rFont val="Arial Narrow"/>
        <family val="2"/>
      </rPr>
      <t>R410a.</t>
    </r>
  </si>
  <si>
    <r>
      <t>·</t>
    </r>
    <r>
      <rPr>
        <sz val="7"/>
        <color theme="1"/>
        <rFont val="Times New Roman"/>
        <family val="1"/>
      </rPr>
      <t xml:space="preserve">         </t>
    </r>
    <r>
      <rPr>
        <sz val="11"/>
        <color theme="1"/>
        <rFont val="Arial Narrow"/>
        <family val="2"/>
      </rPr>
      <t>Copper tubes aluminum fins condenser &amp; evaporator coil.</t>
    </r>
  </si>
  <si>
    <r>
      <t>·</t>
    </r>
    <r>
      <rPr>
        <sz val="7"/>
        <color theme="1"/>
        <rFont val="Times New Roman"/>
        <family val="1"/>
      </rPr>
      <t xml:space="preserve">         </t>
    </r>
    <r>
      <rPr>
        <sz val="11"/>
        <color theme="1"/>
        <rFont val="Arial Narrow"/>
        <family val="2"/>
      </rPr>
      <t>Low ambient control</t>
    </r>
  </si>
  <si>
    <r>
      <t>·</t>
    </r>
    <r>
      <rPr>
        <sz val="7"/>
        <color theme="1"/>
        <rFont val="Times New Roman"/>
        <family val="1"/>
      </rPr>
      <t xml:space="preserve">         </t>
    </r>
    <r>
      <rPr>
        <sz val="11"/>
        <color theme="1"/>
        <rFont val="Arial Narrow"/>
        <family val="2"/>
      </rPr>
      <t>Finned tube element electric heater with automatic cutout and contactor</t>
    </r>
  </si>
  <si>
    <r>
      <t>·</t>
    </r>
    <r>
      <rPr>
        <sz val="7"/>
        <color theme="1"/>
        <rFont val="Times New Roman"/>
        <family val="1"/>
      </rPr>
      <t xml:space="preserve">         </t>
    </r>
    <r>
      <rPr>
        <sz val="11"/>
        <color theme="1"/>
        <rFont val="Arial Narrow"/>
        <family val="2"/>
      </rPr>
      <t>DWDI centrifugal fans with &amp; motor.</t>
    </r>
  </si>
  <si>
    <r>
      <t>·</t>
    </r>
    <r>
      <rPr>
        <sz val="7"/>
        <color theme="1"/>
        <rFont val="Times New Roman"/>
        <family val="1"/>
      </rPr>
      <t xml:space="preserve">         </t>
    </r>
    <r>
      <rPr>
        <sz val="11"/>
        <color theme="1"/>
        <rFont val="Arial Narrow"/>
        <family val="2"/>
      </rPr>
      <t xml:space="preserve">For more technical details, please refer to our </t>
    </r>
    <r>
      <rPr>
        <b/>
        <u/>
        <sz val="11"/>
        <color theme="1"/>
        <rFont val="Arial Narrow"/>
        <family val="2"/>
      </rPr>
      <t>PPH4</t>
    </r>
    <r>
      <rPr>
        <sz val="11"/>
        <color theme="1"/>
        <rFont val="Arial Narrow"/>
        <family val="2"/>
      </rPr>
      <t xml:space="preserve"> catalogue</t>
    </r>
  </si>
  <si>
    <r>
      <t>·</t>
    </r>
    <r>
      <rPr>
        <sz val="7"/>
        <color theme="1"/>
        <rFont val="Times New Roman"/>
        <family val="1"/>
      </rPr>
      <t xml:space="preserve">         </t>
    </r>
    <r>
      <rPr>
        <sz val="11"/>
        <color theme="1"/>
        <rFont val="Arial Narrow"/>
        <family val="2"/>
      </rPr>
      <t>Mixing box with manual F.A. &amp; R.A. dampers (Motorized, Actuator by others)</t>
    </r>
  </si>
  <si>
    <r>
      <t>·</t>
    </r>
    <r>
      <rPr>
        <sz val="7"/>
        <color theme="1"/>
        <rFont val="Times New Roman"/>
        <family val="1"/>
      </rPr>
      <t xml:space="preserve">         </t>
    </r>
    <r>
      <rPr>
        <sz val="11"/>
        <color theme="1"/>
        <rFont val="Arial Narrow"/>
        <family val="2"/>
      </rPr>
      <t>DX-cooling coil.</t>
    </r>
  </si>
  <si>
    <t>Building</t>
  </si>
  <si>
    <t>BUILDING</t>
  </si>
  <si>
    <t>SASO KSA</t>
  </si>
  <si>
    <t>SASO JO</t>
  </si>
  <si>
    <t>NO. of Cond Coils</t>
  </si>
  <si>
    <t>Cond. Coils Area (FT)</t>
  </si>
  <si>
    <t>NO. Of Compressors</t>
  </si>
  <si>
    <t xml:space="preserve">NO. Of Evap. Cooler </t>
  </si>
  <si>
    <t>NO. of Cond. Fans</t>
  </si>
  <si>
    <t>Comp 1 QTY</t>
  </si>
  <si>
    <t>Comp 2 QTY</t>
  </si>
  <si>
    <t>Chiller Unit Basic Price With Cu Tube</t>
  </si>
  <si>
    <t>PPH Unit Basic Price Microchannel Tube</t>
  </si>
  <si>
    <t>Chiller Unit Basic Price With MicroChannel</t>
  </si>
  <si>
    <t>Wire Mesh Guard Around Condenser Coil</t>
  </si>
  <si>
    <t>Copper Fins For Condenser Coils</t>
  </si>
  <si>
    <t>Epoxy Coated Cu Tube With Al Fins</t>
  </si>
  <si>
    <t>Epoxy Coated for Cu Tube With Cu Fins</t>
  </si>
  <si>
    <t>Pre Coated Al Fins</t>
  </si>
  <si>
    <t>Water Flow Switch [Loose Item]</t>
  </si>
  <si>
    <t>G.S Cooler Jacket</t>
  </si>
  <si>
    <t>SS Cooler jacket</t>
  </si>
  <si>
    <t>38 mm Insulation Thickness For Cooler</t>
  </si>
  <si>
    <t>Post Coated Cu Tube With Al Fins</t>
  </si>
  <si>
    <t>Post Coated for Cu Tube With Cu Fins</t>
  </si>
  <si>
    <t>Compressors Compartment</t>
  </si>
  <si>
    <t>Compressors Jacket</t>
  </si>
  <si>
    <t>High &amp; Low Pressure Gauge</t>
  </si>
  <si>
    <t>Suction Line Valve</t>
  </si>
  <si>
    <t>Hot Gas By Pass For Lead Compressor</t>
  </si>
  <si>
    <t>Extirnal Overlaod For Each Compresoors</t>
  </si>
  <si>
    <t>Cuircuit Breaker for Each Cond. Fans</t>
  </si>
  <si>
    <t>Extirnal Overlaod For Each Cond. Fans</t>
  </si>
  <si>
    <t>Main Disconnect Switch (Non Fused)</t>
  </si>
  <si>
    <t>Main Disconnect Switch (Fused)</t>
  </si>
  <si>
    <t>Electrical Trap Heater</t>
  </si>
  <si>
    <t>BACnet card Protocol</t>
  </si>
  <si>
    <t>Chillers Options</t>
  </si>
  <si>
    <t>Condenser Coils type</t>
  </si>
  <si>
    <t>X</t>
  </si>
  <si>
    <t>APSa 205</t>
  </si>
  <si>
    <t>TYPE</t>
  </si>
  <si>
    <t>Spare Parts</t>
  </si>
  <si>
    <t>Condnser Coil Type &amp; Coating</t>
  </si>
  <si>
    <t>ARAMCO (SAMSS &amp; SAES)</t>
  </si>
  <si>
    <t>PETRA Products:</t>
  </si>
  <si>
    <r>
      <t xml:space="preserve">Special Specs.
</t>
    </r>
    <r>
      <rPr>
        <b/>
        <sz val="14"/>
        <color theme="0"/>
        <rFont val="Calibri"/>
        <family val="2"/>
      </rPr>
      <t>↓   ↓  ↓</t>
    </r>
  </si>
  <si>
    <t>→→→</t>
  </si>
  <si>
    <t>Components Brand.</t>
  </si>
  <si>
    <t>Evaporator Coil Type &amp; Coating</t>
  </si>
  <si>
    <t>Electrical Options (Controller)</t>
  </si>
  <si>
    <t>Electrical Components Enclosure</t>
  </si>
  <si>
    <t>C-Channel Base (5-mm Thickness) 100 mm</t>
  </si>
  <si>
    <t>Fully Welded C-Channel.</t>
  </si>
  <si>
    <t>Base Optios</t>
  </si>
  <si>
    <t>Unit Base Coating (Gray)</t>
  </si>
  <si>
    <t>UCO48</t>
  </si>
  <si>
    <t>UCO49</t>
  </si>
  <si>
    <t>Casing Painting For Offshore Project (ASTM B117)</t>
  </si>
  <si>
    <t>UCO50</t>
  </si>
  <si>
    <t>Heat Pump (100%)</t>
  </si>
  <si>
    <t>UEO44</t>
  </si>
  <si>
    <t>Relays and solenoids are (70 C) rated.</t>
  </si>
  <si>
    <t>UEO17B</t>
  </si>
  <si>
    <t>NEMA 4X For Main Disconnect Switch Box</t>
  </si>
  <si>
    <t>TEFC Condenser Fan Motors.</t>
  </si>
  <si>
    <t>Hot Gas By Pass For Lead Compressor.</t>
  </si>
  <si>
    <t>Two Set of Spare Belt</t>
  </si>
  <si>
    <t>One Set Of Filter Drier</t>
  </si>
  <si>
    <t>One Set Of Pre-Filter</t>
  </si>
  <si>
    <t>One Set Of Bag Filter.</t>
  </si>
  <si>
    <t>UAO20</t>
  </si>
  <si>
    <t>UAO21</t>
  </si>
  <si>
    <t>UAO22</t>
  </si>
  <si>
    <t>Extended Lubrication Line For Fan Bearing.</t>
  </si>
  <si>
    <t>Double Skin Inner/Outter Casing  (1.5/1.0) mm.</t>
  </si>
  <si>
    <t>27-SAMSS-002</t>
  </si>
  <si>
    <t>ARAMCO</t>
  </si>
  <si>
    <t>ARAMCO (OffShore)</t>
  </si>
  <si>
    <t>URO0B</t>
  </si>
  <si>
    <t>URO0A</t>
  </si>
  <si>
    <t>The PPH Units Are Totally Fresh (100%)</t>
  </si>
  <si>
    <t>The DSP Units Are Totally Fresh (100%)</t>
  </si>
  <si>
    <t>Number</t>
  </si>
  <si>
    <t>Flow Rate (CFM)</t>
  </si>
  <si>
    <t>Total Capacity</t>
  </si>
  <si>
    <t>Sensible Capacity</t>
  </si>
  <si>
    <t>Unit_Price</t>
  </si>
  <si>
    <t>Quantity</t>
  </si>
  <si>
    <t>Steam Humidifier</t>
  </si>
  <si>
    <t>Flow Rate (FLOW)</t>
  </si>
  <si>
    <t>Fresh Flow Rate</t>
  </si>
  <si>
    <t>Exhaust Flow Rate</t>
  </si>
  <si>
    <t>Ambient Temperature</t>
  </si>
  <si>
    <t>ESP(External Pressure)</t>
  </si>
  <si>
    <t>VFD For Supply Fan</t>
  </si>
  <si>
    <t>UNIT TYPE</t>
  </si>
  <si>
    <t>Offer Data</t>
  </si>
  <si>
    <t>Value</t>
  </si>
  <si>
    <t>International Form</t>
  </si>
  <si>
    <t>Country Name</t>
  </si>
  <si>
    <t>UEO20B</t>
  </si>
  <si>
    <t>EC Condenser Fans.</t>
  </si>
  <si>
    <t>EBM Brand Condenser Fans.</t>
  </si>
  <si>
    <t>UEO21B</t>
  </si>
  <si>
    <t>Space Heater For Control Panel.</t>
  </si>
  <si>
    <t>Filter Options</t>
  </si>
  <si>
    <t>Fan Options</t>
  </si>
  <si>
    <t>Evaporator Coil Options</t>
  </si>
  <si>
    <t>NEMA 4X For Separate Control Panel</t>
  </si>
  <si>
    <r>
      <rPr>
        <b/>
        <sz val="18"/>
        <color theme="2"/>
        <rFont val="Calibri"/>
        <family val="2"/>
        <scheme val="minor"/>
      </rPr>
      <t>↓      ↓      ↓</t>
    </r>
    <r>
      <rPr>
        <b/>
        <sz val="18"/>
        <color rgb="FFFF0000"/>
        <rFont val="Calibri"/>
        <family val="2"/>
        <scheme val="minor"/>
      </rPr>
      <t xml:space="preserve">  </t>
    </r>
    <r>
      <rPr>
        <b/>
        <sz val="18"/>
        <color theme="0"/>
        <rFont val="Calibri"/>
        <family val="2"/>
        <scheme val="minor"/>
      </rPr>
      <t xml:space="preserve">   </t>
    </r>
    <r>
      <rPr>
        <b/>
        <u/>
        <sz val="18"/>
        <color theme="2"/>
        <rFont val="Calibri"/>
        <family val="2"/>
        <scheme val="minor"/>
      </rPr>
      <t>[</t>
    </r>
    <r>
      <rPr>
        <b/>
        <u/>
        <sz val="16"/>
        <color theme="2"/>
        <rFont val="Arial Narrow"/>
        <family val="2"/>
      </rPr>
      <t>PPH &amp; DSP]</t>
    </r>
    <r>
      <rPr>
        <b/>
        <sz val="16"/>
        <color theme="2"/>
        <rFont val="Arial Narrow"/>
        <family val="2"/>
      </rPr>
      <t xml:space="preserve"> </t>
    </r>
    <r>
      <rPr>
        <b/>
        <u/>
        <sz val="16"/>
        <color theme="2"/>
        <rFont val="Arial Narrow"/>
        <family val="2"/>
      </rPr>
      <t>[R-410a]</t>
    </r>
    <r>
      <rPr>
        <b/>
        <sz val="16"/>
        <color theme="2"/>
        <rFont val="Arial Narrow"/>
        <family val="2"/>
      </rPr>
      <t xml:space="preserve"> </t>
    </r>
    <r>
      <rPr>
        <b/>
        <u/>
        <sz val="16"/>
        <color theme="2"/>
        <rFont val="Arial Narrow"/>
        <family val="2"/>
      </rPr>
      <t>Options</t>
    </r>
    <r>
      <rPr>
        <b/>
        <sz val="16"/>
        <color theme="0"/>
        <rFont val="Arial Narrow"/>
        <family val="2"/>
      </rPr>
      <t xml:space="preserve">     </t>
    </r>
    <r>
      <rPr>
        <b/>
        <sz val="16"/>
        <color theme="2"/>
        <rFont val="Calibri"/>
        <family val="2"/>
      </rPr>
      <t>↓        ↓       ↓</t>
    </r>
  </si>
  <si>
    <r>
      <rPr>
        <sz val="13"/>
        <rFont val="Times New Roman"/>
        <family val="1"/>
      </rPr>
      <t>Paint option</t>
    </r>
  </si>
  <si>
    <r>
      <rPr>
        <sz val="13"/>
        <rFont val="Times New Roman"/>
        <family val="1"/>
      </rPr>
      <t>Unit Model</t>
    </r>
  </si>
  <si>
    <r>
      <rPr>
        <sz val="13"/>
        <rFont val="Times New Roman"/>
        <family val="1"/>
      </rPr>
      <t>Extra %</t>
    </r>
  </si>
  <si>
    <r>
      <rPr>
        <sz val="13"/>
        <rFont val="Times New Roman"/>
        <family val="1"/>
      </rPr>
      <t>PPH</t>
    </r>
  </si>
  <si>
    <r>
      <rPr>
        <sz val="13"/>
        <rFont val="Times New Roman"/>
        <family val="1"/>
      </rPr>
      <t>5%</t>
    </r>
  </si>
  <si>
    <r>
      <rPr>
        <sz val="13"/>
        <rFont val="Times New Roman"/>
        <family val="1"/>
      </rPr>
      <t>DSP</t>
    </r>
  </si>
  <si>
    <r>
      <rPr>
        <sz val="13"/>
        <rFont val="Times New Roman"/>
        <family val="1"/>
      </rPr>
      <t>4%</t>
    </r>
  </si>
  <si>
    <r>
      <rPr>
        <sz val="13"/>
        <rFont val="Times New Roman"/>
        <family val="1"/>
      </rPr>
      <t>Chillers</t>
    </r>
  </si>
  <si>
    <r>
      <rPr>
        <sz val="13"/>
        <rFont val="Times New Roman"/>
        <family val="1"/>
      </rPr>
      <t>3%</t>
    </r>
  </si>
  <si>
    <r>
      <rPr>
        <sz val="13"/>
        <rFont val="Times New Roman"/>
        <family val="1"/>
      </rPr>
      <t>AHU</t>
    </r>
  </si>
  <si>
    <r>
      <rPr>
        <sz val="13"/>
        <rFont val="Times New Roman"/>
        <family val="1"/>
      </rPr>
      <t>6%</t>
    </r>
  </si>
  <si>
    <r>
      <rPr>
        <sz val="13"/>
        <rFont val="Times New Roman"/>
        <family val="1"/>
      </rPr>
      <t>CM</t>
    </r>
  </si>
  <si>
    <r>
      <rPr>
        <sz val="13"/>
        <rFont val="Times New Roman"/>
        <family val="1"/>
      </rPr>
      <t>FCU</t>
    </r>
  </si>
  <si>
    <r>
      <rPr>
        <sz val="13"/>
        <rFont val="Times New Roman"/>
        <family val="1"/>
      </rPr>
      <t>8%</t>
    </r>
  </si>
  <si>
    <r>
      <rPr>
        <sz val="13"/>
        <rFont val="Times New Roman"/>
        <family val="1"/>
      </rPr>
      <t>7%</t>
    </r>
  </si>
  <si>
    <r>
      <rPr>
        <sz val="13"/>
        <rFont val="Times New Roman"/>
        <family val="1"/>
      </rPr>
      <t>10%</t>
    </r>
  </si>
  <si>
    <r>
      <rPr>
        <sz val="13"/>
        <rFont val="Times New Roman"/>
        <family val="1"/>
      </rPr>
      <t>12%</t>
    </r>
  </si>
  <si>
    <t>S.#</t>
  </si>
  <si>
    <t>Ref.No</t>
  </si>
  <si>
    <t>Casing Type</t>
  </si>
  <si>
    <t>Fan Coil Type</t>
  </si>
  <si>
    <t>Fan Speed</t>
  </si>
  <si>
    <t>E.S.P</t>
  </si>
  <si>
    <t>Cap 0 for Max</t>
  </si>
  <si>
    <t>EDB</t>
  </si>
  <si>
    <t>EWB</t>
  </si>
  <si>
    <t xml:space="preserve"> LWT/ WFR</t>
  </si>
  <si>
    <t>EWT</t>
  </si>
  <si>
    <t>LWT</t>
  </si>
  <si>
    <t>OCDBT</t>
  </si>
  <si>
    <t>OCWBT</t>
  </si>
  <si>
    <t>RC</t>
  </si>
  <si>
    <t>FAN Type</t>
  </si>
  <si>
    <t>DCP</t>
  </si>
  <si>
    <t>DC</t>
  </si>
  <si>
    <t>Galvanized</t>
  </si>
  <si>
    <t>Medium</t>
  </si>
  <si>
    <t>Metal Fans</t>
  </si>
  <si>
    <t>CBP</t>
  </si>
  <si>
    <t>RAC</t>
  </si>
  <si>
    <t>RAC 6</t>
  </si>
  <si>
    <t>0001</t>
  </si>
  <si>
    <t>0002</t>
  </si>
  <si>
    <t>0003</t>
  </si>
  <si>
    <t>DC 6</t>
  </si>
  <si>
    <t>DC 8</t>
  </si>
  <si>
    <t>DC 10</t>
  </si>
  <si>
    <t>DC 12</t>
  </si>
  <si>
    <t>DC 14</t>
  </si>
  <si>
    <t>DC 16</t>
  </si>
  <si>
    <t>DC 11</t>
  </si>
  <si>
    <t>DC 18</t>
  </si>
  <si>
    <t>DC 20</t>
  </si>
  <si>
    <t>DC 22</t>
  </si>
  <si>
    <t>HQ</t>
  </si>
  <si>
    <t>FH</t>
  </si>
  <si>
    <t>RAC 2</t>
  </si>
  <si>
    <t>RAC 3</t>
  </si>
  <si>
    <t>RAC 5</t>
  </si>
  <si>
    <t>RAC 10</t>
  </si>
  <si>
    <t>RAC 12</t>
  </si>
  <si>
    <t>Aluminum</t>
  </si>
  <si>
    <t>3-Rows</t>
  </si>
  <si>
    <t>4-Rows</t>
  </si>
  <si>
    <t>DX-Units</t>
  </si>
  <si>
    <t>Computer Room</t>
  </si>
  <si>
    <t>AFR</t>
  </si>
  <si>
    <t>LWT/WFR</t>
  </si>
  <si>
    <t>C/S</t>
  </si>
  <si>
    <t>PAH012</t>
  </si>
  <si>
    <t>S</t>
  </si>
  <si>
    <t>CM 12</t>
  </si>
  <si>
    <t>Wire Mesh Guard (GI)</t>
  </si>
  <si>
    <t>Wire Mesh Guard (SS 304)</t>
  </si>
  <si>
    <t>UCO10A</t>
  </si>
  <si>
    <t>UCO10B</t>
  </si>
  <si>
    <t>Wire Mesh Guard (SS 316)</t>
  </si>
  <si>
    <t>UCO47A</t>
  </si>
  <si>
    <t>UCO47B</t>
  </si>
  <si>
    <t>Stainless Steel 316 Coil Casing</t>
  </si>
  <si>
    <t>Stainless Steel 304 Coil Casing</t>
  </si>
  <si>
    <t>Evaporator Coil Casing</t>
  </si>
  <si>
    <t>UEO18B</t>
  </si>
  <si>
    <t>IP55 Electrical Panel</t>
  </si>
  <si>
    <t>UEO16B</t>
  </si>
  <si>
    <t>ALC Controller With Touch Screen</t>
  </si>
  <si>
    <t>UEO38B</t>
  </si>
  <si>
    <t>CO2 Secsor</t>
  </si>
  <si>
    <t>*1 Convert S.R</t>
  </si>
  <si>
    <t>Y-Hamdan@petra-eng.com.jo</t>
  </si>
  <si>
    <t>Y-hamdan</t>
  </si>
  <si>
    <t>Petra+2020</t>
  </si>
  <si>
    <t>PASC 45</t>
  </si>
  <si>
    <t>PASC 35</t>
  </si>
  <si>
    <t>PASC 55</t>
  </si>
  <si>
    <t>PASC 85</t>
  </si>
  <si>
    <t>PASC 115</t>
  </si>
  <si>
    <t>PASC 145</t>
  </si>
  <si>
    <t>PASC 175</t>
  </si>
  <si>
    <t>PASC 200</t>
  </si>
  <si>
    <t>PASC 250</t>
  </si>
  <si>
    <t>EVAPORATER Fan</t>
  </si>
  <si>
    <t>Steam</t>
  </si>
  <si>
    <t>Heater</t>
  </si>
  <si>
    <t>Water Cooled Chiller</t>
  </si>
  <si>
    <t>WPSa</t>
  </si>
  <si>
    <t>PASC CM (Ceiling)</t>
  </si>
  <si>
    <r>
      <t>-</t>
    </r>
    <r>
      <rPr>
        <sz val="7"/>
        <color theme="1"/>
        <rFont val="Times New Roman"/>
        <family val="1"/>
      </rPr>
      <t xml:space="preserve">          </t>
    </r>
    <r>
      <rPr>
        <b/>
        <u/>
        <sz val="11"/>
        <color theme="1"/>
        <rFont val="Arial Narrow"/>
        <family val="2"/>
      </rPr>
      <t xml:space="preserve">Selection Parameters: </t>
    </r>
  </si>
  <si>
    <r>
      <t>·</t>
    </r>
    <r>
      <rPr>
        <sz val="7"/>
        <color theme="1"/>
        <rFont val="Times New Roman"/>
        <family val="1"/>
      </rPr>
      <t xml:space="preserve">         </t>
    </r>
    <r>
      <rPr>
        <sz val="11"/>
        <color theme="1"/>
        <rFont val="Arial Narrow"/>
        <family val="2"/>
      </rPr>
      <t xml:space="preserve">Units were selected at condenser </t>
    </r>
    <r>
      <rPr>
        <b/>
        <sz val="11"/>
        <color theme="1"/>
        <rFont val="Arial Narrow"/>
        <family val="2"/>
      </rPr>
      <t>105.0°F / 95.0°F</t>
    </r>
    <r>
      <rPr>
        <sz val="11"/>
        <color theme="1"/>
        <rFont val="Arial Narrow"/>
        <family val="2"/>
      </rPr>
      <t xml:space="preserve"> entering / leaving water temperature.</t>
    </r>
  </si>
  <si>
    <r>
      <t>·</t>
    </r>
    <r>
      <rPr>
        <sz val="7"/>
        <color theme="1"/>
        <rFont val="Times New Roman"/>
        <family val="1"/>
      </rPr>
      <t xml:space="preserve">         </t>
    </r>
    <r>
      <rPr>
        <sz val="11"/>
        <color theme="1"/>
        <rFont val="Arial Narrow"/>
        <family val="2"/>
      </rPr>
      <t xml:space="preserve">Units were selected at evaporator </t>
    </r>
    <r>
      <rPr>
        <b/>
        <sz val="11"/>
        <color theme="1"/>
        <rFont val="Arial Narrow"/>
        <family val="2"/>
      </rPr>
      <t>55.0°F / 45.0°F</t>
    </r>
    <r>
      <rPr>
        <sz val="11"/>
        <color theme="1"/>
        <rFont val="Arial Narrow"/>
        <family val="2"/>
      </rPr>
      <t xml:space="preserve"> entering / leaving water temperature.</t>
    </r>
  </si>
  <si>
    <r>
      <t>-</t>
    </r>
    <r>
      <rPr>
        <sz val="7"/>
        <color theme="1"/>
        <rFont val="Times New Roman"/>
        <family val="1"/>
      </rPr>
      <t xml:space="preserve">          </t>
    </r>
    <r>
      <rPr>
        <b/>
        <u/>
        <sz val="11"/>
        <color theme="1"/>
        <rFont val="Arial Narrow"/>
        <family val="2"/>
      </rPr>
      <t xml:space="preserve">Unit Specifications: </t>
    </r>
  </si>
  <si>
    <r>
      <t>·</t>
    </r>
    <r>
      <rPr>
        <sz val="7"/>
        <color theme="1"/>
        <rFont val="Times New Roman"/>
        <family val="1"/>
      </rPr>
      <t xml:space="preserve">         </t>
    </r>
    <r>
      <rPr>
        <sz val="11"/>
        <color theme="1"/>
        <rFont val="Arial Narrow"/>
        <family val="2"/>
      </rPr>
      <t xml:space="preserve">Semi-hermetic screw compressors running on </t>
    </r>
    <r>
      <rPr>
        <b/>
        <sz val="11"/>
        <color theme="1"/>
        <rFont val="Arial Narrow"/>
        <family val="2"/>
      </rPr>
      <t>R-134a.</t>
    </r>
    <r>
      <rPr>
        <sz val="11"/>
        <color theme="1"/>
        <rFont val="Arial Narrow"/>
        <family val="2"/>
      </rPr>
      <t xml:space="preserve"> </t>
    </r>
  </si>
  <si>
    <r>
      <t>·</t>
    </r>
    <r>
      <rPr>
        <sz val="7"/>
        <color theme="1"/>
        <rFont val="Times New Roman"/>
        <family val="1"/>
      </rPr>
      <t xml:space="preserve">         </t>
    </r>
    <r>
      <rPr>
        <sz val="11"/>
        <color theme="1"/>
        <rFont val="Arial Narrow"/>
        <family val="2"/>
      </rPr>
      <t>Rubber pads as vibration isolators under the compressors.</t>
    </r>
  </si>
  <si>
    <r>
      <t>·</t>
    </r>
    <r>
      <rPr>
        <sz val="7"/>
        <color theme="1"/>
        <rFont val="Times New Roman"/>
        <family val="1"/>
      </rPr>
      <t xml:space="preserve">         </t>
    </r>
    <r>
      <rPr>
        <sz val="11"/>
        <color theme="1"/>
        <rFont val="Arial Narrow"/>
        <family val="2"/>
      </rPr>
      <t>Full management microprocessor controller.</t>
    </r>
  </si>
  <si>
    <r>
      <t>·</t>
    </r>
    <r>
      <rPr>
        <sz val="7"/>
        <color theme="1"/>
        <rFont val="Times New Roman"/>
        <family val="1"/>
      </rPr>
      <t xml:space="preserve">         </t>
    </r>
    <r>
      <rPr>
        <sz val="11"/>
        <color theme="1"/>
        <rFont val="Arial Narrow"/>
        <family val="2"/>
      </rPr>
      <t>Liquid line solenoid and shut-off valves.</t>
    </r>
  </si>
  <si>
    <r>
      <t>·</t>
    </r>
    <r>
      <rPr>
        <sz val="7"/>
        <color theme="1"/>
        <rFont val="Times New Roman"/>
        <family val="1"/>
      </rPr>
      <t xml:space="preserve">         </t>
    </r>
    <r>
      <rPr>
        <sz val="11"/>
        <color theme="1"/>
        <rFont val="Arial Narrow"/>
        <family val="2"/>
      </rPr>
      <t>Automatic pump down control.</t>
    </r>
  </si>
  <si>
    <r>
      <t>·</t>
    </r>
    <r>
      <rPr>
        <sz val="7"/>
        <color theme="1"/>
        <rFont val="Times New Roman"/>
        <family val="1"/>
      </rPr>
      <t xml:space="preserve">         </t>
    </r>
    <r>
      <rPr>
        <sz val="11"/>
        <color theme="1"/>
        <rFont val="Arial Narrow"/>
        <family val="2"/>
      </rPr>
      <t>Moister indicator sight glass and filter drier with replaceable core filter.</t>
    </r>
  </si>
  <si>
    <r>
      <t>·</t>
    </r>
    <r>
      <rPr>
        <sz val="7"/>
        <color theme="1"/>
        <rFont val="Times New Roman"/>
        <family val="1"/>
      </rPr>
      <t xml:space="preserve">         </t>
    </r>
    <r>
      <rPr>
        <sz val="11"/>
        <color theme="1"/>
        <rFont val="Arial Narrow"/>
        <family val="2"/>
      </rPr>
      <t>Shell &amp; tube cooler with 19mm rubber foam insulation.</t>
    </r>
  </si>
  <si>
    <r>
      <t>·</t>
    </r>
    <r>
      <rPr>
        <sz val="7"/>
        <color theme="1"/>
        <rFont val="Times New Roman"/>
        <family val="1"/>
      </rPr>
      <t xml:space="preserve">         </t>
    </r>
    <r>
      <rPr>
        <sz val="11"/>
        <color theme="1"/>
        <rFont val="Arial Narrow"/>
        <family val="2"/>
      </rPr>
      <t>Shell &amp; tube water cooled condenser.</t>
    </r>
  </si>
  <si>
    <r>
      <t>·</t>
    </r>
    <r>
      <rPr>
        <sz val="7"/>
        <color theme="1"/>
        <rFont val="Times New Roman"/>
        <family val="1"/>
      </rPr>
      <t xml:space="preserve">         </t>
    </r>
    <r>
      <rPr>
        <sz val="11"/>
        <color theme="1"/>
        <rFont val="Arial Narrow"/>
        <family val="2"/>
      </rPr>
      <t xml:space="preserve">For more technical details, please refer to our </t>
    </r>
    <r>
      <rPr>
        <b/>
        <sz val="11"/>
        <color theme="1"/>
        <rFont val="Arial Narrow"/>
        <family val="2"/>
      </rPr>
      <t>WPSa</t>
    </r>
    <r>
      <rPr>
        <sz val="11"/>
        <color theme="1"/>
        <rFont val="Arial Narrow"/>
        <family val="2"/>
      </rPr>
      <t xml:space="preserve"> catalogue. </t>
    </r>
  </si>
  <si>
    <r>
      <t>·</t>
    </r>
    <r>
      <rPr>
        <sz val="7"/>
        <color rgb="FFFF0000"/>
        <rFont val="Times New Roman"/>
        <family val="1"/>
      </rPr>
      <t xml:space="preserve">         </t>
    </r>
    <r>
      <rPr>
        <b/>
        <u/>
        <sz val="11"/>
        <color rgb="FFFF0000"/>
        <rFont val="Arial Narrow"/>
        <family val="2"/>
      </rPr>
      <t>Additional features added to meet project specifications (WPSa):</t>
    </r>
  </si>
  <si>
    <r>
      <t>-</t>
    </r>
    <r>
      <rPr>
        <sz val="7"/>
        <color rgb="FFFF0000"/>
        <rFont val="Times New Roman"/>
        <family val="1"/>
      </rPr>
      <t xml:space="preserve">          </t>
    </r>
    <r>
      <rPr>
        <b/>
        <i/>
        <u/>
        <sz val="11"/>
        <color rgb="FFFF0000"/>
        <rFont val="Arial Narrow"/>
        <family val="2"/>
      </rPr>
      <t>Construction options:</t>
    </r>
  </si>
  <si>
    <r>
      <t>·</t>
    </r>
    <r>
      <rPr>
        <sz val="7"/>
        <color rgb="FFFF0000"/>
        <rFont val="Times New Roman"/>
        <family val="1"/>
      </rPr>
      <t xml:space="preserve">         </t>
    </r>
    <r>
      <rPr>
        <sz val="11"/>
        <color rgb="FFFF0000"/>
        <rFont val="Arial Narrow"/>
        <family val="2"/>
      </rPr>
      <t>Compressor compartment.</t>
    </r>
  </si>
  <si>
    <r>
      <t>-</t>
    </r>
    <r>
      <rPr>
        <sz val="7"/>
        <color rgb="FFFF0000"/>
        <rFont val="Times New Roman"/>
        <family val="1"/>
      </rPr>
      <t xml:space="preserve">          </t>
    </r>
    <r>
      <rPr>
        <b/>
        <i/>
        <u/>
        <sz val="11"/>
        <color rgb="FFFF0000"/>
        <rFont val="Arial Narrow"/>
        <family val="2"/>
      </rPr>
      <t>Refrigeration options:</t>
    </r>
  </si>
  <si>
    <r>
      <t>·</t>
    </r>
    <r>
      <rPr>
        <sz val="7"/>
        <color rgb="FFFF0000"/>
        <rFont val="Times New Roman"/>
        <family val="1"/>
      </rPr>
      <t xml:space="preserve">         </t>
    </r>
    <r>
      <rPr>
        <sz val="11"/>
        <color rgb="FFFF0000"/>
        <rFont val="Arial Narrow"/>
        <family val="2"/>
      </rPr>
      <t>High / Low pressure gauges.</t>
    </r>
  </si>
  <si>
    <r>
      <t>·</t>
    </r>
    <r>
      <rPr>
        <sz val="7"/>
        <color rgb="FFFF0000"/>
        <rFont val="Times New Roman"/>
        <family val="1"/>
      </rPr>
      <t xml:space="preserve">         </t>
    </r>
    <r>
      <rPr>
        <sz val="11"/>
        <color rgb="FFFF0000"/>
        <rFont val="Arial Narrow"/>
        <family val="2"/>
      </rPr>
      <t>High pressure relief valve.</t>
    </r>
  </si>
  <si>
    <r>
      <t>-</t>
    </r>
    <r>
      <rPr>
        <sz val="7"/>
        <color rgb="FFFF0000"/>
        <rFont val="Times New Roman"/>
        <family val="1"/>
      </rPr>
      <t xml:space="preserve">          </t>
    </r>
    <r>
      <rPr>
        <b/>
        <i/>
        <u/>
        <sz val="11"/>
        <color rgb="FFFF0000"/>
        <rFont val="Arial Narrow"/>
        <family val="2"/>
      </rPr>
      <t>Electrical options</t>
    </r>
  </si>
  <si>
    <r>
      <t>·</t>
    </r>
    <r>
      <rPr>
        <sz val="7"/>
        <color rgb="FFFF0000"/>
        <rFont val="Times New Roman"/>
        <family val="1"/>
      </rPr>
      <t xml:space="preserve">         </t>
    </r>
    <r>
      <rPr>
        <sz val="11"/>
        <color rgb="FFFF0000"/>
        <rFont val="Arial Narrow"/>
        <family val="2"/>
      </rPr>
      <t>Overload protection for each compressor.</t>
    </r>
  </si>
  <si>
    <r>
      <t>·</t>
    </r>
    <r>
      <rPr>
        <sz val="7"/>
        <color rgb="FFFF0000"/>
        <rFont val="Times New Roman"/>
        <family val="1"/>
      </rPr>
      <t xml:space="preserve">         </t>
    </r>
    <r>
      <rPr>
        <sz val="11"/>
        <color rgb="FFFF0000"/>
        <rFont val="Arial Narrow"/>
        <family val="2"/>
      </rPr>
      <t>Short circuit protection for condenser fan motor.</t>
    </r>
  </si>
  <si>
    <r>
      <t>·</t>
    </r>
    <r>
      <rPr>
        <sz val="7"/>
        <color rgb="FFFF0000"/>
        <rFont val="Times New Roman"/>
        <family val="1"/>
      </rPr>
      <t xml:space="preserve">         </t>
    </r>
    <r>
      <rPr>
        <sz val="11"/>
        <color rgb="FFFF0000"/>
        <rFont val="Arial Narrow"/>
        <family val="2"/>
      </rPr>
      <t>Overload protection for each condenser fan motor.</t>
    </r>
  </si>
  <si>
    <r>
      <t>·</t>
    </r>
    <r>
      <rPr>
        <sz val="7"/>
        <color rgb="FFFF0000"/>
        <rFont val="Times New Roman"/>
        <family val="1"/>
      </rPr>
      <t xml:space="preserve">         </t>
    </r>
    <r>
      <rPr>
        <sz val="11"/>
        <color rgb="FFFF0000"/>
        <rFont val="Arial Narrow"/>
        <family val="2"/>
      </rPr>
      <t>Non-fused main disconnect switch.</t>
    </r>
  </si>
  <si>
    <r>
      <t>·</t>
    </r>
    <r>
      <rPr>
        <sz val="7"/>
        <color rgb="FFFF0000"/>
        <rFont val="Times New Roman"/>
        <family val="1"/>
      </rPr>
      <t xml:space="preserve">         </t>
    </r>
    <r>
      <rPr>
        <sz val="11"/>
        <color rgb="FFFF0000"/>
        <rFont val="Arial Narrow"/>
        <family val="2"/>
      </rPr>
      <t>VFD for lead compressor.</t>
    </r>
  </si>
  <si>
    <r>
      <t>·</t>
    </r>
    <r>
      <rPr>
        <sz val="7"/>
        <color rgb="FFFF0000"/>
        <rFont val="Times New Roman"/>
        <family val="1"/>
      </rPr>
      <t xml:space="preserve">         </t>
    </r>
    <r>
      <rPr>
        <sz val="11"/>
        <color rgb="FFFF0000"/>
        <rFont val="Arial Narrow"/>
        <family val="2"/>
      </rPr>
      <t xml:space="preserve">BACnet card for BMS interface. </t>
    </r>
  </si>
  <si>
    <r>
      <t>-</t>
    </r>
    <r>
      <rPr>
        <sz val="7"/>
        <color rgb="FFFF0000"/>
        <rFont val="Times New Roman"/>
        <family val="1"/>
      </rPr>
      <t xml:space="preserve">          </t>
    </r>
    <r>
      <rPr>
        <b/>
        <i/>
        <u/>
        <sz val="11"/>
        <color rgb="FFFF0000"/>
        <rFont val="Arial Narrow"/>
        <family val="2"/>
      </rPr>
      <t>Accessories options:</t>
    </r>
  </si>
  <si>
    <r>
      <t>·</t>
    </r>
    <r>
      <rPr>
        <sz val="7"/>
        <color rgb="FFFF0000"/>
        <rFont val="Times New Roman"/>
        <family val="1"/>
      </rPr>
      <t xml:space="preserve">         </t>
    </r>
    <r>
      <rPr>
        <sz val="11"/>
        <color rgb="FFFF0000"/>
        <rFont val="Arial Narrow"/>
        <family val="2"/>
      </rPr>
      <t>Water flow switch. [Loose Item].</t>
    </r>
  </si>
  <si>
    <r>
      <t>·</t>
    </r>
    <r>
      <rPr>
        <sz val="7"/>
        <color rgb="FFFF0000"/>
        <rFont val="Times New Roman"/>
        <family val="1"/>
      </rPr>
      <t xml:space="preserve">         </t>
    </r>
    <r>
      <rPr>
        <sz val="11"/>
        <color rgb="FFFF0000"/>
        <rFont val="Arial Narrow"/>
        <family val="2"/>
      </rPr>
      <t>Stainless steel name plate.</t>
    </r>
  </si>
  <si>
    <r>
      <t>-</t>
    </r>
    <r>
      <rPr>
        <sz val="7"/>
        <color theme="1"/>
        <rFont val="Times New Roman"/>
        <family val="1"/>
      </rPr>
      <t xml:space="preserve">          </t>
    </r>
    <r>
      <rPr>
        <b/>
        <u/>
        <sz val="11"/>
        <color theme="1"/>
        <rFont val="Arial Narrow"/>
        <family val="2"/>
      </rPr>
      <t>Item Exclusions:</t>
    </r>
  </si>
  <si>
    <r>
      <t>·</t>
    </r>
    <r>
      <rPr>
        <sz val="7"/>
        <color theme="1"/>
        <rFont val="Times New Roman"/>
        <family val="1"/>
      </rPr>
      <t xml:space="preserve">         </t>
    </r>
    <r>
      <rPr>
        <sz val="11"/>
        <color theme="1"/>
        <rFont val="Arial Narrow"/>
        <family val="2"/>
      </rPr>
      <t>Any options, features or sections are not mentioned above.</t>
    </r>
  </si>
  <si>
    <t>PDC (Dry Cooler)</t>
  </si>
  <si>
    <t>Finsh</t>
  </si>
  <si>
    <r>
      <t>·</t>
    </r>
    <r>
      <rPr>
        <sz val="7"/>
        <color theme="1"/>
        <rFont val="Times New Roman"/>
        <family val="1"/>
      </rPr>
      <t xml:space="preserve">         </t>
    </r>
    <r>
      <rPr>
        <sz val="11"/>
        <color theme="1"/>
        <rFont val="Arial Narrow"/>
        <family val="2"/>
      </rPr>
      <t>Units were selected at 115°F ambient</t>
    </r>
  </si>
  <si>
    <r>
      <t>·</t>
    </r>
    <r>
      <rPr>
        <sz val="7"/>
        <color theme="1"/>
        <rFont val="Times New Roman"/>
        <family val="1"/>
      </rPr>
      <t xml:space="preserve">         </t>
    </r>
    <r>
      <rPr>
        <sz val="11"/>
        <color theme="1"/>
        <rFont val="Arial Narrow"/>
        <family val="2"/>
      </rPr>
      <t>Air on coil as per your schedule /// 75/62.5 °F DB/WB</t>
    </r>
  </si>
  <si>
    <r>
      <t>·</t>
    </r>
    <r>
      <rPr>
        <sz val="7"/>
        <color theme="1"/>
        <rFont val="Times New Roman"/>
        <family val="1"/>
      </rPr>
      <t xml:space="preserve">         </t>
    </r>
    <r>
      <rPr>
        <b/>
        <sz val="11"/>
        <color theme="1"/>
        <rFont val="Arial Narrow"/>
        <family val="2"/>
      </rPr>
      <t>The maximum distance between indoor &amp; outdoor is 14 m.</t>
    </r>
  </si>
  <si>
    <r>
      <t>-</t>
    </r>
    <r>
      <rPr>
        <sz val="7"/>
        <color theme="1"/>
        <rFont val="Times New Roman"/>
        <family val="1"/>
      </rPr>
      <t xml:space="preserve">          </t>
    </r>
    <r>
      <rPr>
        <b/>
        <u/>
        <sz val="11"/>
        <color theme="1"/>
        <rFont val="Arial Narrow"/>
        <family val="2"/>
      </rPr>
      <t>Outdoor unit specifications (Remote Condenser):</t>
    </r>
  </si>
  <si>
    <r>
      <t>·</t>
    </r>
    <r>
      <rPr>
        <sz val="7"/>
        <color theme="1"/>
        <rFont val="Times New Roman"/>
        <family val="1"/>
      </rPr>
      <t xml:space="preserve">         </t>
    </r>
    <r>
      <rPr>
        <sz val="11"/>
        <color theme="1"/>
        <rFont val="Arial Narrow"/>
        <family val="2"/>
      </rPr>
      <t xml:space="preserve">Hermetic compressors running on </t>
    </r>
    <r>
      <rPr>
        <b/>
        <sz val="11"/>
        <color theme="1"/>
        <rFont val="Arial Narrow"/>
        <family val="2"/>
      </rPr>
      <t>R-410a / R-407c.</t>
    </r>
  </si>
  <si>
    <r>
      <t>·</t>
    </r>
    <r>
      <rPr>
        <sz val="7"/>
        <color theme="1"/>
        <rFont val="Times New Roman"/>
        <family val="1"/>
      </rPr>
      <t xml:space="preserve">         </t>
    </r>
    <r>
      <rPr>
        <sz val="11"/>
        <color theme="1"/>
        <rFont val="Arial Narrow"/>
        <family val="2"/>
      </rPr>
      <t xml:space="preserve">Copper tubes &amp; aluminum fins condenser coil. </t>
    </r>
  </si>
  <si>
    <r>
      <t>·</t>
    </r>
    <r>
      <rPr>
        <sz val="7"/>
        <color theme="1"/>
        <rFont val="Times New Roman"/>
        <family val="1"/>
      </rPr>
      <t xml:space="preserve">         </t>
    </r>
    <r>
      <rPr>
        <sz val="11"/>
        <color theme="1"/>
        <rFont val="Arial Narrow"/>
        <family val="2"/>
      </rPr>
      <t>Zinc coated galvanized steel painted with electrostatic powder paint, oven baked</t>
    </r>
  </si>
  <si>
    <r>
      <t>·</t>
    </r>
    <r>
      <rPr>
        <sz val="7"/>
        <color theme="1"/>
        <rFont val="Times New Roman"/>
        <family val="1"/>
      </rPr>
      <t xml:space="preserve">         </t>
    </r>
    <r>
      <rPr>
        <sz val="11"/>
        <color theme="1"/>
        <rFont val="Arial Narrow"/>
        <family val="2"/>
      </rPr>
      <t xml:space="preserve">Units are suitable for </t>
    </r>
    <r>
      <rPr>
        <b/>
        <u/>
        <sz val="11"/>
        <color theme="1"/>
        <rFont val="Arial Narrow"/>
        <family val="2"/>
      </rPr>
      <t>220V/1Ph/60Hz</t>
    </r>
    <r>
      <rPr>
        <sz val="11"/>
        <color theme="1"/>
        <rFont val="Arial Narrow"/>
        <family val="2"/>
      </rPr>
      <t xml:space="preserve"> OR </t>
    </r>
    <r>
      <rPr>
        <b/>
        <u/>
        <sz val="11"/>
        <color theme="1"/>
        <rFont val="Arial Narrow"/>
        <family val="2"/>
      </rPr>
      <t>380V/3Ph/60Hz</t>
    </r>
    <r>
      <rPr>
        <sz val="11"/>
        <color theme="1"/>
        <rFont val="Arial Narrow"/>
        <family val="2"/>
      </rPr>
      <t xml:space="preserve"> power supply. </t>
    </r>
  </si>
  <si>
    <r>
      <t>-</t>
    </r>
    <r>
      <rPr>
        <sz val="7"/>
        <color theme="1"/>
        <rFont val="Times New Roman"/>
        <family val="1"/>
      </rPr>
      <t xml:space="preserve">          </t>
    </r>
    <r>
      <rPr>
        <b/>
        <u/>
        <sz val="11"/>
        <color theme="1"/>
        <rFont val="Arial Narrow"/>
        <family val="2"/>
      </rPr>
      <t>Indoor unit specifications:</t>
    </r>
  </si>
  <si>
    <r>
      <t>·</t>
    </r>
    <r>
      <rPr>
        <sz val="7"/>
        <color theme="1"/>
        <rFont val="Times New Roman"/>
        <family val="1"/>
      </rPr>
      <t xml:space="preserve">         </t>
    </r>
    <r>
      <rPr>
        <sz val="11"/>
        <color theme="1"/>
        <rFont val="Arial Narrow"/>
        <family val="2"/>
      </rPr>
      <t xml:space="preserve">Single skin construction with 25 mm thick fiberglass insulation. </t>
    </r>
  </si>
  <si>
    <r>
      <t>·</t>
    </r>
    <r>
      <rPr>
        <sz val="7"/>
        <color theme="1"/>
        <rFont val="Times New Roman"/>
        <family val="1"/>
      </rPr>
      <t xml:space="preserve">         </t>
    </r>
    <r>
      <rPr>
        <sz val="11"/>
        <color theme="1"/>
        <rFont val="Arial Narrow"/>
        <family val="2"/>
      </rPr>
      <t>Cabinet construction (indoor installation).</t>
    </r>
  </si>
  <si>
    <r>
      <t>·</t>
    </r>
    <r>
      <rPr>
        <sz val="7"/>
        <color theme="1"/>
        <rFont val="Times New Roman"/>
        <family val="1"/>
      </rPr>
      <t xml:space="preserve">         </t>
    </r>
    <r>
      <rPr>
        <sz val="11"/>
        <color theme="1"/>
        <rFont val="Arial Narrow"/>
        <family val="2"/>
      </rPr>
      <t xml:space="preserve">Formed zinc coated galvanized steel painted externally with electrostatic powder paint, oven baked. </t>
    </r>
  </si>
  <si>
    <r>
      <t>·</t>
    </r>
    <r>
      <rPr>
        <sz val="7"/>
        <color theme="1"/>
        <rFont val="Times New Roman"/>
        <family val="1"/>
      </rPr>
      <t xml:space="preserve">         </t>
    </r>
    <r>
      <rPr>
        <sz val="11"/>
        <color theme="1"/>
        <rFont val="Arial Narrow"/>
        <family val="2"/>
      </rPr>
      <t>Steam humidifier supplied with humidity control electronic card &amp; humidistat.</t>
    </r>
  </si>
  <si>
    <r>
      <t>·</t>
    </r>
    <r>
      <rPr>
        <sz val="7"/>
        <color theme="1"/>
        <rFont val="Times New Roman"/>
        <family val="1"/>
      </rPr>
      <t xml:space="preserve">         </t>
    </r>
    <r>
      <rPr>
        <sz val="11"/>
        <color theme="1"/>
        <rFont val="Arial Narrow"/>
        <family val="2"/>
      </rPr>
      <t>Insulated stainless steel drain pan.</t>
    </r>
  </si>
  <si>
    <r>
      <t>·</t>
    </r>
    <r>
      <rPr>
        <sz val="7"/>
        <color theme="1"/>
        <rFont val="Times New Roman"/>
        <family val="1"/>
      </rPr>
      <t xml:space="preserve">         </t>
    </r>
    <r>
      <rPr>
        <sz val="11"/>
        <color theme="1"/>
        <rFont val="Arial Narrow"/>
        <family val="2"/>
      </rPr>
      <t>Flat filter (1.0-Inch-thick aluminum, EU 2)</t>
    </r>
  </si>
  <si>
    <r>
      <t>·</t>
    </r>
    <r>
      <rPr>
        <sz val="7"/>
        <color theme="1"/>
        <rFont val="Times New Roman"/>
        <family val="1"/>
      </rPr>
      <t xml:space="preserve">         </t>
    </r>
    <r>
      <rPr>
        <sz val="11"/>
        <color theme="1"/>
        <rFont val="Arial Narrow"/>
        <family val="2"/>
      </rPr>
      <t xml:space="preserve">Forward curved centrifugal direct driven evaporator fan. </t>
    </r>
  </si>
  <si>
    <r>
      <t>·</t>
    </r>
    <r>
      <rPr>
        <sz val="7"/>
        <color theme="1"/>
        <rFont val="Times New Roman"/>
        <family val="1"/>
      </rPr>
      <t xml:space="preserve">         </t>
    </r>
    <r>
      <rPr>
        <sz val="11"/>
        <color theme="1"/>
        <rFont val="Arial Narrow"/>
        <family val="2"/>
      </rPr>
      <t>General alarm</t>
    </r>
  </si>
  <si>
    <r>
      <t>·</t>
    </r>
    <r>
      <rPr>
        <sz val="7"/>
        <color theme="1"/>
        <rFont val="Times New Roman"/>
        <family val="1"/>
      </rPr>
      <t xml:space="preserve">         </t>
    </r>
    <r>
      <rPr>
        <sz val="11"/>
        <color theme="1"/>
        <rFont val="Arial Narrow"/>
        <family val="2"/>
      </rPr>
      <t>On / off remote switch</t>
    </r>
  </si>
  <si>
    <r>
      <t>·</t>
    </r>
    <r>
      <rPr>
        <sz val="7"/>
        <color theme="1"/>
        <rFont val="Times New Roman"/>
        <family val="1"/>
      </rPr>
      <t xml:space="preserve">         </t>
    </r>
    <r>
      <rPr>
        <sz val="11"/>
        <color theme="1"/>
        <rFont val="Arial Narrow"/>
        <family val="2"/>
      </rPr>
      <t xml:space="preserve">Units are suitable for </t>
    </r>
    <r>
      <rPr>
        <b/>
        <u/>
        <sz val="11"/>
        <color theme="1"/>
        <rFont val="Arial Narrow"/>
        <family val="2"/>
      </rPr>
      <t>220V/1Ph/60Hz</t>
    </r>
    <r>
      <rPr>
        <sz val="11"/>
        <color theme="1"/>
        <rFont val="Arial Narrow"/>
        <family val="2"/>
      </rPr>
      <t xml:space="preserve"> power supply. </t>
    </r>
  </si>
  <si>
    <r>
      <t>·</t>
    </r>
    <r>
      <rPr>
        <sz val="7"/>
        <color theme="1"/>
        <rFont val="Times New Roman"/>
        <family val="1"/>
      </rPr>
      <t xml:space="preserve">         </t>
    </r>
    <r>
      <rPr>
        <sz val="11"/>
        <color theme="1"/>
        <rFont val="Arial Narrow"/>
        <family val="2"/>
      </rPr>
      <t xml:space="preserve">For more technical details, please refer to our </t>
    </r>
    <r>
      <rPr>
        <b/>
        <sz val="11"/>
        <color theme="1"/>
        <rFont val="Arial Narrow"/>
        <family val="2"/>
      </rPr>
      <t>PASC CM</t>
    </r>
    <r>
      <rPr>
        <sz val="11"/>
        <color theme="1"/>
        <rFont val="Arial Narrow"/>
        <family val="2"/>
      </rPr>
      <t xml:space="preserve"> catalogue.</t>
    </r>
  </si>
  <si>
    <r>
      <t>·</t>
    </r>
    <r>
      <rPr>
        <sz val="7"/>
        <color rgb="FFFF0000"/>
        <rFont val="Times New Roman"/>
        <family val="1"/>
      </rPr>
      <t xml:space="preserve">         </t>
    </r>
    <r>
      <rPr>
        <b/>
        <u/>
        <sz val="11"/>
        <color rgb="FFFF0000"/>
        <rFont val="Arial Narrow"/>
        <family val="2"/>
      </rPr>
      <t>Additional features added to meet project specifications (PASC CM):</t>
    </r>
  </si>
  <si>
    <r>
      <t>·</t>
    </r>
    <r>
      <rPr>
        <sz val="7"/>
        <color rgb="FFFF0000"/>
        <rFont val="Times New Roman"/>
        <family val="1"/>
      </rPr>
      <t xml:space="preserve">         </t>
    </r>
    <r>
      <rPr>
        <sz val="11"/>
        <color rgb="FFFF0000"/>
        <rFont val="Arial Narrow"/>
        <family val="2"/>
      </rPr>
      <t>Pre-filter MERV-8.</t>
    </r>
  </si>
  <si>
    <r>
      <t>·</t>
    </r>
    <r>
      <rPr>
        <sz val="7"/>
        <color rgb="FFFF0000"/>
        <rFont val="Times New Roman"/>
        <family val="1"/>
      </rPr>
      <t xml:space="preserve">         </t>
    </r>
    <r>
      <rPr>
        <sz val="11"/>
        <color rgb="FFFF0000"/>
        <rFont val="Arial Narrow"/>
        <family val="2"/>
      </rPr>
      <t>Final filter MERV-11.</t>
    </r>
  </si>
  <si>
    <r>
      <t>·</t>
    </r>
    <r>
      <rPr>
        <sz val="7"/>
        <color rgb="FFFF0000"/>
        <rFont val="Times New Roman"/>
        <family val="1"/>
      </rPr>
      <t xml:space="preserve">         </t>
    </r>
    <r>
      <rPr>
        <sz val="11"/>
        <color rgb="FFFF0000"/>
        <rFont val="Arial Narrow"/>
        <family val="2"/>
      </rPr>
      <t>BACnet card.</t>
    </r>
  </si>
  <si>
    <r>
      <t>·</t>
    </r>
    <r>
      <rPr>
        <sz val="7"/>
        <color rgb="FFFF0000"/>
        <rFont val="Times New Roman"/>
        <family val="1"/>
      </rPr>
      <t xml:space="preserve">         </t>
    </r>
    <r>
      <rPr>
        <sz val="11"/>
        <color rgb="FFFF0000"/>
        <rFont val="Arial Narrow"/>
        <family val="2"/>
      </rPr>
      <t>SCR for electrical heater (for PASC 115 &amp; above is STD)</t>
    </r>
  </si>
  <si>
    <r>
      <t>·</t>
    </r>
    <r>
      <rPr>
        <sz val="7"/>
        <color rgb="FFFF0000"/>
        <rFont val="Times New Roman"/>
        <family val="1"/>
      </rPr>
      <t xml:space="preserve">         </t>
    </r>
    <r>
      <rPr>
        <sz val="11"/>
        <color rgb="FFFF0000"/>
        <rFont val="Arial Narrow"/>
        <family val="2"/>
      </rPr>
      <t>Stainless steel 316 name plate.</t>
    </r>
  </si>
  <si>
    <r>
      <t>-</t>
    </r>
    <r>
      <rPr>
        <sz val="7"/>
        <color rgb="FFFF0000"/>
        <rFont val="Times New Roman"/>
        <family val="1"/>
      </rPr>
      <t xml:space="preserve">          </t>
    </r>
    <r>
      <rPr>
        <b/>
        <u/>
        <sz val="11"/>
        <color theme="1"/>
        <rFont val="Arial Narrow"/>
        <family val="2"/>
      </rPr>
      <t>Item Exclusions:</t>
    </r>
  </si>
  <si>
    <t>Unit Specification:</t>
  </si>
  <si>
    <r>
      <t>·</t>
    </r>
    <r>
      <rPr>
        <sz val="7"/>
        <color theme="1"/>
        <rFont val="Times New Roman"/>
        <family val="1"/>
      </rPr>
      <t xml:space="preserve">         </t>
    </r>
    <r>
      <rPr>
        <sz val="11"/>
        <color theme="1"/>
        <rFont val="Arial Narrow"/>
        <family val="2"/>
      </rPr>
      <t>V-shaped air-cooled condenser coils</t>
    </r>
  </si>
  <si>
    <r>
      <t>·</t>
    </r>
    <r>
      <rPr>
        <sz val="7"/>
        <color theme="1"/>
        <rFont val="Times New Roman"/>
        <family val="1"/>
      </rPr>
      <t xml:space="preserve">         </t>
    </r>
    <r>
      <rPr>
        <sz val="11"/>
        <color theme="1"/>
        <rFont val="Arial Narrow"/>
        <family val="2"/>
      </rPr>
      <t>Copper tubes with aluminum fins coils</t>
    </r>
  </si>
  <si>
    <r>
      <t>·</t>
    </r>
    <r>
      <rPr>
        <sz val="7"/>
        <color theme="1"/>
        <rFont val="Times New Roman"/>
        <family val="1"/>
      </rPr>
      <t xml:space="preserve">         </t>
    </r>
    <r>
      <rPr>
        <sz val="11"/>
        <color theme="1"/>
        <rFont val="Arial Narrow"/>
        <family val="2"/>
      </rPr>
      <t>Galvanized steel casing with oven baked electrostatic powder paint designed for outdoor installation</t>
    </r>
  </si>
  <si>
    <r>
      <t>·</t>
    </r>
    <r>
      <rPr>
        <sz val="7"/>
        <color theme="1"/>
        <rFont val="Times New Roman"/>
        <family val="1"/>
      </rPr>
      <t xml:space="preserve">         </t>
    </r>
    <r>
      <rPr>
        <sz val="11"/>
        <color theme="1"/>
        <rFont val="Arial Narrow"/>
        <family val="2"/>
      </rPr>
      <t>Propeller direct drive fans (Vertical Discharge)</t>
    </r>
  </si>
  <si>
    <r>
      <t>·</t>
    </r>
    <r>
      <rPr>
        <sz val="7"/>
        <color theme="1"/>
        <rFont val="Times New Roman"/>
        <family val="1"/>
      </rPr>
      <t xml:space="preserve">         </t>
    </r>
    <r>
      <rPr>
        <sz val="11"/>
        <color theme="1"/>
        <rFont val="Arial Narrow"/>
        <family val="2"/>
      </rPr>
      <t>Units are suitable for 460V/3Ph/60Hz power supply</t>
    </r>
  </si>
  <si>
    <r>
      <t>·</t>
    </r>
    <r>
      <rPr>
        <sz val="7"/>
        <color theme="1"/>
        <rFont val="Times New Roman"/>
        <family val="1"/>
      </rPr>
      <t xml:space="preserve">         </t>
    </r>
    <r>
      <rPr>
        <sz val="11"/>
        <color theme="1"/>
        <rFont val="Arial Narrow"/>
        <family val="2"/>
      </rPr>
      <t>For more technical details, please refer ESC catalogue</t>
    </r>
  </si>
  <si>
    <t>WPSA</t>
  </si>
  <si>
    <t>PDC</t>
  </si>
  <si>
    <t>PASC Ceiling</t>
  </si>
  <si>
    <t>RFAN0201124</t>
  </si>
  <si>
    <t>RFAN0201086</t>
  </si>
  <si>
    <t>RFAN0201087</t>
  </si>
  <si>
    <t>08/</t>
  </si>
  <si>
    <t>FAHU-</t>
  </si>
  <si>
    <t>FAN Qty</t>
  </si>
  <si>
    <t>PASC4 45-1</t>
  </si>
  <si>
    <t>ZP49 (4hp)</t>
  </si>
  <si>
    <t>PASC4 55-1</t>
  </si>
  <si>
    <t>ZP61 (5hp)</t>
  </si>
  <si>
    <t>PASC4 85-2</t>
  </si>
  <si>
    <t>PASC4 115-2</t>
  </si>
  <si>
    <t>PASC4 145-2</t>
  </si>
  <si>
    <t>ZP67 (5.58hp)</t>
  </si>
  <si>
    <t>PASC4 175-2</t>
  </si>
  <si>
    <t>ZP90 (8hp)</t>
  </si>
  <si>
    <t>PASC4 200-2</t>
  </si>
  <si>
    <t>ZP120 (10hp)</t>
  </si>
  <si>
    <t>PASC4 250-2</t>
  </si>
  <si>
    <t>ZP137 (12hp)</t>
  </si>
  <si>
    <t>PASC4 360-2</t>
  </si>
  <si>
    <t>15 Hp</t>
  </si>
  <si>
    <t>PASC4 450-2</t>
  </si>
  <si>
    <t>20 Hp</t>
  </si>
  <si>
    <t>10.20.25.10</t>
  </si>
  <si>
    <t>KSA</t>
  </si>
  <si>
    <t>Linked with PPH Copper</t>
  </si>
  <si>
    <t>USD</t>
  </si>
  <si>
    <t>VFD Compressors</t>
  </si>
  <si>
    <t>Jalal Al Taleb</t>
  </si>
  <si>
    <t>EGYPT</t>
  </si>
  <si>
    <t>CH-01</t>
  </si>
  <si>
    <t>XX</t>
  </si>
  <si>
    <t>XXX</t>
  </si>
  <si>
    <r>
      <t>-</t>
    </r>
    <r>
      <rPr>
        <sz val="7"/>
        <color theme="1"/>
        <rFont val="Times New Roman"/>
        <family val="1"/>
      </rPr>
      <t xml:space="preserve">          </t>
    </r>
    <r>
      <rPr>
        <b/>
        <u/>
        <sz val="11"/>
        <color theme="1"/>
        <rFont val="Arial Narrow"/>
        <family val="2"/>
      </rPr>
      <t>Selection Parameters:</t>
    </r>
  </si>
  <si>
    <r>
      <t>·</t>
    </r>
    <r>
      <rPr>
        <sz val="7"/>
        <color rgb="FFEE0000"/>
        <rFont val="Times New Roman"/>
        <family val="1"/>
      </rPr>
      <t xml:space="preserve">         </t>
    </r>
    <r>
      <rPr>
        <sz val="11"/>
        <color theme="1"/>
        <rFont val="Arial Narrow"/>
        <family val="2"/>
      </rPr>
      <t xml:space="preserve">Units were selected at </t>
    </r>
    <r>
      <rPr>
        <b/>
        <sz val="11"/>
        <color theme="1"/>
        <rFont val="Arial Narrow"/>
        <family val="2"/>
      </rPr>
      <t>95°F</t>
    </r>
    <r>
      <rPr>
        <sz val="11"/>
        <color theme="1"/>
        <rFont val="Arial Narrow"/>
        <family val="2"/>
      </rPr>
      <t xml:space="preserve"> ambient temperature </t>
    </r>
    <r>
      <rPr>
        <sz val="11"/>
        <color rgb="FFEE0000"/>
        <rFont val="Arial Narrow"/>
        <family val="2"/>
      </rPr>
      <t xml:space="preserve">and altitude </t>
    </r>
    <r>
      <rPr>
        <b/>
        <sz val="11"/>
        <color rgb="FFEE0000"/>
        <rFont val="Arial Narrow"/>
        <family val="2"/>
      </rPr>
      <t>2084</t>
    </r>
    <r>
      <rPr>
        <sz val="11"/>
        <color rgb="FFEE0000"/>
        <rFont val="Arial Narrow"/>
        <family val="2"/>
      </rPr>
      <t xml:space="preserve"> meter.</t>
    </r>
  </si>
  <si>
    <r>
      <t>·</t>
    </r>
    <r>
      <rPr>
        <sz val="7"/>
        <color rgb="FFEE0000"/>
        <rFont val="Times New Roman"/>
        <family val="1"/>
      </rPr>
      <t xml:space="preserve">         </t>
    </r>
    <r>
      <rPr>
        <sz val="11"/>
        <color rgb="FFEE0000"/>
        <rFont val="Arial Narrow"/>
        <family val="2"/>
      </rPr>
      <t>15% ethylene glycol.</t>
    </r>
  </si>
  <si>
    <r>
      <t>-</t>
    </r>
    <r>
      <rPr>
        <sz val="7"/>
        <color theme="1"/>
        <rFont val="Times New Roman"/>
        <family val="1"/>
      </rPr>
      <t xml:space="preserve">          </t>
    </r>
    <r>
      <rPr>
        <b/>
        <u/>
        <sz val="11"/>
        <color theme="1"/>
        <rFont val="Arial Narrow"/>
        <family val="2"/>
      </rPr>
      <t>Units Specifications:</t>
    </r>
  </si>
  <si>
    <r>
      <t>·</t>
    </r>
    <r>
      <rPr>
        <sz val="7"/>
        <color rgb="FFEE0000"/>
        <rFont val="Times New Roman"/>
        <family val="1"/>
      </rPr>
      <t xml:space="preserve">         </t>
    </r>
    <r>
      <rPr>
        <sz val="11"/>
        <color rgb="FFEE0000"/>
        <rFont val="Arial Narrow"/>
        <family val="2"/>
      </rPr>
      <t xml:space="preserve">Units above are </t>
    </r>
    <r>
      <rPr>
        <b/>
        <sz val="11"/>
        <color rgb="FFEE0000"/>
        <rFont val="Arial Narrow"/>
        <family val="2"/>
      </rPr>
      <t>Ice Maker</t>
    </r>
  </si>
  <si>
    <r>
      <t>·</t>
    </r>
    <r>
      <rPr>
        <sz val="7"/>
        <color theme="1"/>
        <rFont val="Times New Roman"/>
        <family val="1"/>
      </rPr>
      <t xml:space="preserve">         </t>
    </r>
    <r>
      <rPr>
        <sz val="11"/>
        <color theme="1"/>
        <rFont val="Arial Narrow"/>
        <family val="2"/>
      </rPr>
      <t xml:space="preserve">Semi-hermetic screw compressors running on </t>
    </r>
    <r>
      <rPr>
        <b/>
        <sz val="11"/>
        <color theme="1"/>
        <rFont val="Arial Narrow"/>
        <family val="2"/>
      </rPr>
      <t xml:space="preserve">R-134a. </t>
    </r>
  </si>
  <si>
    <r>
      <t>·</t>
    </r>
    <r>
      <rPr>
        <sz val="7"/>
        <color rgb="FFEE0000"/>
        <rFont val="Times New Roman"/>
        <family val="1"/>
      </rPr>
      <t xml:space="preserve">         </t>
    </r>
    <r>
      <rPr>
        <sz val="11"/>
        <color rgb="FFEE0000"/>
        <rFont val="Arial Narrow"/>
        <family val="2"/>
      </rPr>
      <t>Six compressors for each chiller.</t>
    </r>
  </si>
  <si>
    <r>
      <t>·</t>
    </r>
    <r>
      <rPr>
        <sz val="7"/>
        <color rgb="FFEE0000"/>
        <rFont val="Times New Roman"/>
        <family val="1"/>
      </rPr>
      <t xml:space="preserve">         </t>
    </r>
    <r>
      <rPr>
        <sz val="11"/>
        <color rgb="FFEE0000"/>
        <rFont val="Arial Narrow"/>
        <family val="2"/>
      </rPr>
      <t>Ice bank storage capability.</t>
    </r>
  </si>
  <si>
    <r>
      <t>·</t>
    </r>
    <r>
      <rPr>
        <sz val="7"/>
        <color rgb="FFEE0000"/>
        <rFont val="Times New Roman"/>
        <family val="1"/>
      </rPr>
      <t xml:space="preserve">         </t>
    </r>
    <r>
      <rPr>
        <sz val="11"/>
        <color rgb="FFEE0000"/>
        <rFont val="Arial Narrow"/>
        <family val="2"/>
      </rPr>
      <t>Units are with liquid receiver.</t>
    </r>
  </si>
  <si>
    <r>
      <t>·</t>
    </r>
    <r>
      <rPr>
        <sz val="7"/>
        <color rgb="FFEE0000"/>
        <rFont val="Times New Roman"/>
        <family val="1"/>
      </rPr>
      <t xml:space="preserve">         </t>
    </r>
    <r>
      <rPr>
        <sz val="11"/>
        <color rgb="FFEE0000"/>
        <rFont val="Arial Narrow"/>
        <family val="2"/>
      </rPr>
      <t>Units are with suction accumulator.</t>
    </r>
  </si>
  <si>
    <r>
      <t>·</t>
    </r>
    <r>
      <rPr>
        <sz val="7"/>
        <color theme="1"/>
        <rFont val="Times New Roman"/>
        <family val="1"/>
      </rPr>
      <t xml:space="preserve">         </t>
    </r>
    <r>
      <rPr>
        <sz val="11"/>
        <color theme="1"/>
        <rFont val="Arial Narrow"/>
        <family val="2"/>
      </rPr>
      <t>Shell &amp; tube cooler with electronic expansion valves &amp; 19mm rubber foam insulation.</t>
    </r>
  </si>
  <si>
    <r>
      <t>·</t>
    </r>
    <r>
      <rPr>
        <sz val="7"/>
        <color theme="1"/>
        <rFont val="Times New Roman"/>
        <family val="1"/>
      </rPr>
      <t xml:space="preserve">         </t>
    </r>
    <r>
      <rPr>
        <sz val="11"/>
        <color theme="1"/>
        <rFont val="Arial Narrow"/>
        <family val="2"/>
      </rPr>
      <t>BMS with the following features:</t>
    </r>
  </si>
  <si>
    <r>
      <t>-</t>
    </r>
    <r>
      <rPr>
        <sz val="7"/>
        <color theme="1"/>
        <rFont val="Times New Roman"/>
        <family val="1"/>
      </rPr>
      <t xml:space="preserve">          </t>
    </r>
    <r>
      <rPr>
        <sz val="11"/>
        <color theme="1"/>
        <rFont val="Arial Narrow"/>
        <family val="2"/>
      </rPr>
      <t>Remote alarm for the whole unit.</t>
    </r>
  </si>
  <si>
    <r>
      <t>-</t>
    </r>
    <r>
      <rPr>
        <sz val="7"/>
        <color theme="1"/>
        <rFont val="Times New Roman"/>
        <family val="1"/>
      </rPr>
      <t xml:space="preserve">          </t>
    </r>
    <r>
      <rPr>
        <sz val="11"/>
        <color theme="1"/>
        <rFont val="Arial Narrow"/>
        <family val="2"/>
      </rPr>
      <t>On/Off switch for the whole unit.</t>
    </r>
  </si>
  <si>
    <r>
      <t>·</t>
    </r>
    <r>
      <rPr>
        <sz val="7"/>
        <color theme="1"/>
        <rFont val="Times New Roman"/>
        <family val="1"/>
      </rPr>
      <t xml:space="preserve">         </t>
    </r>
    <r>
      <rPr>
        <sz val="11"/>
        <color theme="1"/>
        <rFont val="Arial Narrow"/>
        <family val="2"/>
      </rPr>
      <t>Earth boss.</t>
    </r>
  </si>
  <si>
    <r>
      <t>·</t>
    </r>
    <r>
      <rPr>
        <sz val="7"/>
        <color theme="1"/>
        <rFont val="Times New Roman"/>
        <family val="1"/>
      </rPr>
      <t xml:space="preserve">         </t>
    </r>
    <r>
      <rPr>
        <sz val="11"/>
        <color theme="1"/>
        <rFont val="Arial Narrow"/>
        <family val="2"/>
      </rPr>
      <t xml:space="preserve">For more technical details, please refer to our </t>
    </r>
    <r>
      <rPr>
        <b/>
        <sz val="11"/>
        <color theme="1"/>
        <rFont val="Arial Narrow"/>
        <family val="2"/>
      </rPr>
      <t xml:space="preserve">APSa </t>
    </r>
    <r>
      <rPr>
        <sz val="11"/>
        <color theme="1"/>
        <rFont val="Arial Narrow"/>
        <family val="2"/>
      </rPr>
      <t>catalogue.</t>
    </r>
  </si>
  <si>
    <r>
      <t>·</t>
    </r>
    <r>
      <rPr>
        <sz val="7"/>
        <color rgb="FFFF0000"/>
        <rFont val="Times New Roman"/>
        <family val="1"/>
      </rPr>
      <t xml:space="preserve">         </t>
    </r>
    <r>
      <rPr>
        <b/>
        <u/>
        <sz val="11"/>
        <color rgb="FFFF0000"/>
        <rFont val="Arial Narrow"/>
        <family val="2"/>
      </rPr>
      <t>Additional features added to meet project specifications (APSa):</t>
    </r>
  </si>
  <si>
    <r>
      <t>·</t>
    </r>
    <r>
      <rPr>
        <sz val="7"/>
        <color rgb="FFFF0000"/>
        <rFont val="Times New Roman"/>
        <family val="1"/>
      </rPr>
      <t xml:space="preserve">         </t>
    </r>
    <r>
      <rPr>
        <sz val="11"/>
        <color rgb="FFFF0000"/>
        <rFont val="Arial Narrow"/>
        <family val="2"/>
      </rPr>
      <t>Wire mesh guard around the condenser coils.</t>
    </r>
  </si>
  <si>
    <r>
      <t>·</t>
    </r>
    <r>
      <rPr>
        <sz val="7"/>
        <color rgb="FFFF0000"/>
        <rFont val="Times New Roman"/>
        <family val="1"/>
      </rPr>
      <t xml:space="preserve">         </t>
    </r>
    <r>
      <rPr>
        <sz val="11"/>
        <color rgb="FFFF0000"/>
        <rFont val="Arial Narrow"/>
        <family val="2"/>
      </rPr>
      <t>Units are provided with water-to-water heat exchanger with circulation pumps (One duty &amp; one standby).</t>
    </r>
  </si>
  <si>
    <r>
      <t>·</t>
    </r>
    <r>
      <rPr>
        <sz val="7"/>
        <color rgb="FFFF0000"/>
        <rFont val="Times New Roman"/>
        <family val="1"/>
      </rPr>
      <t xml:space="preserve">         </t>
    </r>
    <r>
      <rPr>
        <sz val="11"/>
        <color rgb="FFFF0000"/>
        <rFont val="Arial Narrow"/>
        <family val="2"/>
      </rPr>
      <t>Copper tubes &amp; aluminum fins condenser coils.</t>
    </r>
  </si>
  <si>
    <r>
      <t>·</t>
    </r>
    <r>
      <rPr>
        <sz val="7"/>
        <color rgb="FFFF0000"/>
        <rFont val="Times New Roman"/>
        <family val="1"/>
      </rPr>
      <t xml:space="preserve">         </t>
    </r>
    <r>
      <rPr>
        <sz val="11"/>
        <color rgb="FFFF0000"/>
        <rFont val="Arial Narrow"/>
        <family val="2"/>
      </rPr>
      <t>Copper tubes &amp; copper fins condenser coils.</t>
    </r>
  </si>
  <si>
    <r>
      <t>·</t>
    </r>
    <r>
      <rPr>
        <sz val="7"/>
        <color rgb="FFFF0000"/>
        <rFont val="Times New Roman"/>
        <family val="1"/>
      </rPr>
      <t xml:space="preserve">         </t>
    </r>
    <r>
      <rPr>
        <sz val="11"/>
        <color rgb="FFFF0000"/>
        <rFont val="Arial Narrow"/>
        <family val="2"/>
      </rPr>
      <t>BACnet card for BMS interface.</t>
    </r>
  </si>
  <si>
    <r>
      <t>·</t>
    </r>
    <r>
      <rPr>
        <sz val="7"/>
        <color rgb="FFFF0000"/>
        <rFont val="Times New Roman"/>
        <family val="1"/>
      </rPr>
      <t xml:space="preserve">         </t>
    </r>
    <r>
      <rPr>
        <sz val="11"/>
        <color rgb="FFFF0000"/>
        <rFont val="Arial Narrow"/>
        <family val="2"/>
      </rPr>
      <t>Electric tape heater around cooler.</t>
    </r>
  </si>
  <si>
    <r>
      <t>·</t>
    </r>
    <r>
      <rPr>
        <sz val="7"/>
        <color theme="1"/>
        <rFont val="Times New Roman"/>
        <family val="1"/>
      </rPr>
      <t xml:space="preserve">         </t>
    </r>
    <r>
      <rPr>
        <sz val="11"/>
        <color theme="1"/>
        <rFont val="Arial Narrow"/>
        <family val="2"/>
      </rPr>
      <t xml:space="preserve">Units were selected at </t>
    </r>
    <r>
      <rPr>
        <b/>
        <sz val="11"/>
        <color theme="1"/>
        <rFont val="Arial Narrow"/>
        <family val="2"/>
      </rPr>
      <t>115°F</t>
    </r>
    <r>
      <rPr>
        <sz val="11"/>
        <color theme="1"/>
        <rFont val="Arial Narrow"/>
        <family val="2"/>
      </rPr>
      <t xml:space="preserve"> ambient temperature </t>
    </r>
    <r>
      <rPr>
        <sz val="11"/>
        <color rgb="FFEE0000"/>
        <rFont val="Arial Narrow"/>
        <family val="2"/>
      </rPr>
      <t xml:space="preserve">and altitude 2084 meter. </t>
    </r>
  </si>
  <si>
    <r>
      <t>·</t>
    </r>
    <r>
      <rPr>
        <sz val="7"/>
        <color rgb="FFEE0000"/>
        <rFont val="Times New Roman"/>
        <family val="1"/>
      </rPr>
      <t xml:space="preserve">         </t>
    </r>
    <r>
      <rPr>
        <sz val="11"/>
        <color rgb="FFEE0000"/>
        <rFont val="Arial Narrow"/>
        <family val="2"/>
      </rPr>
      <t xml:space="preserve">15% ethylene glycol </t>
    </r>
  </si>
  <si>
    <r>
      <t>·</t>
    </r>
    <r>
      <rPr>
        <sz val="7"/>
        <color theme="1"/>
        <rFont val="Times New Roman"/>
        <family val="1"/>
      </rPr>
      <t xml:space="preserve">         </t>
    </r>
    <r>
      <rPr>
        <sz val="11"/>
        <color theme="1"/>
        <rFont val="Arial Narrow"/>
        <family val="2"/>
      </rPr>
      <t xml:space="preserve">Hermetic compressors running on R-410a / R-407c. </t>
    </r>
  </si>
  <si>
    <r>
      <t>·</t>
    </r>
    <r>
      <rPr>
        <sz val="7"/>
        <color theme="1"/>
        <rFont val="Times New Roman"/>
        <family val="1"/>
      </rPr>
      <t xml:space="preserve">         </t>
    </r>
    <r>
      <rPr>
        <sz val="11"/>
        <color theme="1"/>
        <rFont val="Arial Narrow"/>
        <family val="2"/>
      </rPr>
      <t xml:space="preserve">For more technical details, please refer to our </t>
    </r>
    <r>
      <rPr>
        <b/>
        <i/>
        <u/>
        <sz val="11"/>
        <color theme="1"/>
        <rFont val="Arial Narrow"/>
        <family val="2"/>
      </rPr>
      <t>PSC</t>
    </r>
    <r>
      <rPr>
        <sz val="11"/>
        <color theme="1"/>
        <rFont val="Arial Narrow"/>
        <family val="2"/>
      </rPr>
      <t xml:space="preserve"> catalogue.</t>
    </r>
  </si>
  <si>
    <r>
      <t>·</t>
    </r>
    <r>
      <rPr>
        <sz val="7"/>
        <color rgb="FFFF0000"/>
        <rFont val="Times New Roman"/>
        <family val="1"/>
      </rPr>
      <t xml:space="preserve">         </t>
    </r>
    <r>
      <rPr>
        <b/>
        <u/>
        <sz val="11"/>
        <color rgb="FFFF0000"/>
        <rFont val="Arial Narrow"/>
        <family val="2"/>
      </rPr>
      <t>Additional features added to meet project specifications (PSC):</t>
    </r>
  </si>
  <si>
    <r>
      <t>·</t>
    </r>
    <r>
      <rPr>
        <sz val="7"/>
        <color rgb="FFFF0000"/>
        <rFont val="Times New Roman"/>
        <family val="1"/>
      </rPr>
      <t xml:space="preserve">         </t>
    </r>
    <r>
      <rPr>
        <sz val="11"/>
        <color rgb="FFFF0000"/>
        <rFont val="Arial Narrow"/>
        <family val="2"/>
      </rPr>
      <t>Wire mesh guard around condenser coils.</t>
    </r>
  </si>
  <si>
    <r>
      <t>·</t>
    </r>
    <r>
      <rPr>
        <sz val="7"/>
        <color rgb="FFFF0000"/>
        <rFont val="Times New Roman"/>
        <family val="1"/>
      </rPr>
      <t xml:space="preserve">         </t>
    </r>
    <r>
      <rPr>
        <sz val="11"/>
        <color rgb="FFFF0000"/>
        <rFont val="Arial Narrow"/>
        <family val="2"/>
      </rPr>
      <t>Short circuit protection for each compressor.</t>
    </r>
  </si>
  <si>
    <r>
      <t>·</t>
    </r>
    <r>
      <rPr>
        <sz val="7"/>
        <color rgb="FFFF0000"/>
        <rFont val="Times New Roman"/>
        <family val="1"/>
      </rPr>
      <t xml:space="preserve">         </t>
    </r>
    <r>
      <rPr>
        <sz val="11"/>
        <color rgb="FFFF0000"/>
        <rFont val="Arial Narrow"/>
        <family val="2"/>
      </rPr>
      <t xml:space="preserve">Non-fused disconnect switch with door handle. </t>
    </r>
  </si>
  <si>
    <r>
      <t>·</t>
    </r>
    <r>
      <rPr>
        <sz val="7"/>
        <color rgb="FFFF0000"/>
        <rFont val="Times New Roman"/>
        <family val="1"/>
      </rPr>
      <t xml:space="preserve">         </t>
    </r>
    <r>
      <rPr>
        <sz val="11"/>
        <color rgb="FFFF0000"/>
        <rFont val="Arial Narrow"/>
        <family val="2"/>
      </rPr>
      <t xml:space="preserve">Electric tape heater around cooler. </t>
    </r>
  </si>
  <si>
    <r>
      <t>·</t>
    </r>
    <r>
      <rPr>
        <sz val="7"/>
        <color rgb="FFFF0000"/>
        <rFont val="Times New Roman"/>
        <family val="1"/>
      </rPr>
      <t xml:space="preserve">         </t>
    </r>
    <r>
      <rPr>
        <b/>
        <u/>
        <sz val="11"/>
        <color rgb="FFFF0000"/>
        <rFont val="Arial Narrow"/>
        <family val="2"/>
      </rPr>
      <t>Additional features added to meet project specifications (RWC):</t>
    </r>
  </si>
  <si>
    <r>
      <t>-</t>
    </r>
    <r>
      <rPr>
        <sz val="7"/>
        <color theme="1"/>
        <rFont val="Times New Roman"/>
        <family val="1"/>
      </rPr>
      <t xml:space="preserve">          </t>
    </r>
    <r>
      <rPr>
        <b/>
        <u/>
        <sz val="11"/>
        <color theme="1"/>
        <rFont val="Arial Narrow"/>
        <family val="2"/>
      </rPr>
      <t>Selection Parameters</t>
    </r>
  </si>
  <si>
    <r>
      <t>·</t>
    </r>
    <r>
      <rPr>
        <sz val="7"/>
        <color theme="1"/>
        <rFont val="Times New Roman"/>
        <family val="1"/>
      </rPr>
      <t xml:space="preserve">         </t>
    </r>
    <r>
      <rPr>
        <sz val="11"/>
        <color theme="1"/>
        <rFont val="Arial Narrow"/>
        <family val="2"/>
      </rPr>
      <t xml:space="preserve">Units were selected at 45/55 °F entering / leaving water temperature </t>
    </r>
  </si>
  <si>
    <r>
      <t>·</t>
    </r>
    <r>
      <rPr>
        <sz val="7"/>
        <color theme="1"/>
        <rFont val="Times New Roman"/>
        <family val="1"/>
      </rPr>
      <t xml:space="preserve">         </t>
    </r>
    <r>
      <rPr>
        <sz val="11"/>
        <color theme="1"/>
        <rFont val="Arial Narrow"/>
        <family val="2"/>
      </rPr>
      <t>Air on coil as per your schedule /// 80/67 °F DB/WB</t>
    </r>
  </si>
  <si>
    <r>
      <t>-</t>
    </r>
    <r>
      <rPr>
        <sz val="7"/>
        <color theme="1"/>
        <rFont val="Times New Roman"/>
        <family val="1"/>
      </rPr>
      <t xml:space="preserve">          </t>
    </r>
    <r>
      <rPr>
        <b/>
        <u/>
        <sz val="11"/>
        <color theme="1"/>
        <rFont val="Arial Narrow"/>
        <family val="2"/>
      </rPr>
      <t>Air Handling Unit [PAH] specifications:</t>
    </r>
  </si>
  <si>
    <r>
      <t>·</t>
    </r>
    <r>
      <rPr>
        <sz val="7"/>
        <color theme="1"/>
        <rFont val="Times New Roman"/>
        <family val="1"/>
      </rPr>
      <t xml:space="preserve">         </t>
    </r>
    <r>
      <rPr>
        <sz val="11"/>
        <color theme="1"/>
        <rFont val="Arial Narrow"/>
        <family val="2"/>
      </rPr>
      <t xml:space="preserve">Double skin with </t>
    </r>
    <r>
      <rPr>
        <b/>
        <sz val="11"/>
        <color theme="1"/>
        <rFont val="Arial Narrow"/>
        <family val="2"/>
      </rPr>
      <t>2.0”</t>
    </r>
    <r>
      <rPr>
        <sz val="11"/>
        <color theme="1"/>
        <rFont val="Arial Narrow"/>
        <family val="2"/>
      </rPr>
      <t xml:space="preserve"> thick injected foam insulation. </t>
    </r>
  </si>
  <si>
    <r>
      <t>·</t>
    </r>
    <r>
      <rPr>
        <sz val="7"/>
        <color theme="1"/>
        <rFont val="Times New Roman"/>
        <family val="1"/>
      </rPr>
      <t xml:space="preserve">         </t>
    </r>
    <r>
      <rPr>
        <sz val="11"/>
        <color theme="1"/>
        <rFont val="Arial Narrow"/>
        <family val="2"/>
      </rPr>
      <t xml:space="preserve">Zinc coated galvanized steel panels, </t>
    </r>
    <r>
      <rPr>
        <b/>
        <sz val="11"/>
        <color theme="1"/>
        <rFont val="Arial Narrow"/>
        <family val="2"/>
      </rPr>
      <t>1.00/0.70</t>
    </r>
    <r>
      <rPr>
        <sz val="11"/>
        <color theme="1"/>
        <rFont val="Arial Narrow"/>
        <family val="2"/>
      </rPr>
      <t xml:space="preserve"> mm external/internal panel thickness.</t>
    </r>
  </si>
  <si>
    <r>
      <t>·</t>
    </r>
    <r>
      <rPr>
        <sz val="7"/>
        <color theme="1"/>
        <rFont val="Times New Roman"/>
        <family val="1"/>
      </rPr>
      <t xml:space="preserve">         </t>
    </r>
    <r>
      <rPr>
        <sz val="11"/>
        <color theme="1"/>
        <rFont val="Arial Narrow"/>
        <family val="2"/>
      </rPr>
      <t>Centrifugal fans with rubber pad isolator under fan/motor assembly.</t>
    </r>
  </si>
  <si>
    <r>
      <t>·</t>
    </r>
    <r>
      <rPr>
        <sz val="7"/>
        <color rgb="FFEE0000"/>
        <rFont val="Times New Roman"/>
        <family val="1"/>
      </rPr>
      <t xml:space="preserve">         </t>
    </r>
    <r>
      <rPr>
        <sz val="11"/>
        <color rgb="FFEE0000"/>
        <rFont val="Arial Narrow"/>
        <family val="2"/>
      </rPr>
      <t>Finned tube element electric heater with automatic cutout and contactor.</t>
    </r>
  </si>
  <si>
    <r>
      <t>·</t>
    </r>
    <r>
      <rPr>
        <sz val="7"/>
        <color theme="1"/>
        <rFont val="Times New Roman"/>
        <family val="1"/>
      </rPr>
      <t xml:space="preserve">         </t>
    </r>
    <r>
      <rPr>
        <sz val="11"/>
        <color theme="1"/>
        <rFont val="Arial Narrow"/>
        <family val="2"/>
      </rPr>
      <t xml:space="preserve">Units are suitable for </t>
    </r>
    <r>
      <rPr>
        <b/>
        <u/>
        <sz val="11"/>
        <color theme="1"/>
        <rFont val="Arial Narrow"/>
        <family val="2"/>
      </rPr>
      <t>outdoor</t>
    </r>
    <r>
      <rPr>
        <sz val="11"/>
        <color theme="1"/>
        <rFont val="Arial Narrow"/>
        <family val="2"/>
      </rPr>
      <t xml:space="preserve"> installation.</t>
    </r>
  </si>
  <si>
    <r>
      <t>·</t>
    </r>
    <r>
      <rPr>
        <sz val="7"/>
        <color theme="1"/>
        <rFont val="Times New Roman"/>
        <family val="1"/>
      </rPr>
      <t xml:space="preserve">         </t>
    </r>
    <r>
      <rPr>
        <sz val="11"/>
        <color theme="1"/>
        <rFont val="Arial Narrow"/>
        <family val="2"/>
      </rPr>
      <t xml:space="preserve">For more technical details, please refer to our </t>
    </r>
    <r>
      <rPr>
        <b/>
        <sz val="11"/>
        <color theme="1"/>
        <rFont val="Arial Narrow"/>
        <family val="2"/>
      </rPr>
      <t>PAH catalogue.</t>
    </r>
  </si>
  <si>
    <r>
      <t>-</t>
    </r>
    <r>
      <rPr>
        <sz val="7"/>
        <color theme="1"/>
        <rFont val="Times New Roman"/>
        <family val="1"/>
      </rPr>
      <t xml:space="preserve">          </t>
    </r>
    <r>
      <rPr>
        <b/>
        <u/>
        <sz val="11"/>
        <color theme="1"/>
        <rFont val="Arial Narrow"/>
        <family val="2"/>
      </rPr>
      <t>Sections Included:</t>
    </r>
  </si>
  <si>
    <r>
      <t>·</t>
    </r>
    <r>
      <rPr>
        <sz val="7"/>
        <color theme="1"/>
        <rFont val="Times New Roman"/>
        <family val="1"/>
      </rPr>
      <t xml:space="preserve">         </t>
    </r>
    <r>
      <rPr>
        <sz val="11"/>
        <color theme="1"/>
        <rFont val="Arial Narrow"/>
        <family val="2"/>
      </rPr>
      <t>CHW-cooling coil.</t>
    </r>
  </si>
  <si>
    <r>
      <t>·</t>
    </r>
    <r>
      <rPr>
        <sz val="7"/>
        <color theme="1"/>
        <rFont val="Times New Roman"/>
        <family val="1"/>
      </rPr>
      <t xml:space="preserve">         </t>
    </r>
    <r>
      <rPr>
        <sz val="11"/>
        <color theme="1"/>
        <rFont val="Arial Narrow"/>
        <family val="2"/>
      </rPr>
      <t>Finned tube element electric heater with automatic cutout and contactor.</t>
    </r>
  </si>
  <si>
    <r>
      <t>·</t>
    </r>
    <r>
      <rPr>
        <sz val="7"/>
        <color rgb="FFFF0000"/>
        <rFont val="Times New Roman"/>
        <family val="1"/>
      </rPr>
      <t xml:space="preserve">         </t>
    </r>
    <r>
      <rPr>
        <b/>
        <u/>
        <sz val="11"/>
        <color rgb="FFFF0000"/>
        <rFont val="Arial Narrow"/>
        <family val="2"/>
      </rPr>
      <t>Additional features added to meet project specifications (PAH):</t>
    </r>
  </si>
  <si>
    <r>
      <t>·</t>
    </r>
    <r>
      <rPr>
        <sz val="7"/>
        <color rgb="FFFF0000"/>
        <rFont val="Times New Roman"/>
        <family val="1"/>
      </rPr>
      <t xml:space="preserve">         </t>
    </r>
    <r>
      <rPr>
        <sz val="11"/>
        <color rgb="FFFF0000"/>
        <rFont val="Arial Narrow"/>
        <family val="2"/>
      </rPr>
      <t>The unit floor with 4” thick (Injected Foam+ Fiber Glass)</t>
    </r>
  </si>
  <si>
    <r>
      <t>·</t>
    </r>
    <r>
      <rPr>
        <sz val="7"/>
        <color rgb="FFFF0000"/>
        <rFont val="Times New Roman"/>
        <family val="1"/>
      </rPr>
      <t xml:space="preserve">         </t>
    </r>
    <r>
      <rPr>
        <sz val="11"/>
        <color rgb="FFFF0000"/>
        <rFont val="Arial Narrow"/>
        <family val="2"/>
      </rPr>
      <t>Mixing box with manual F.A. &amp; R.A. dampers (Motorized, Actuator by others).</t>
    </r>
  </si>
  <si>
    <r>
      <t>·</t>
    </r>
    <r>
      <rPr>
        <sz val="7"/>
        <color rgb="FFFF0000"/>
        <rFont val="Times New Roman"/>
        <family val="1"/>
      </rPr>
      <t xml:space="preserve">         </t>
    </r>
    <r>
      <rPr>
        <sz val="11"/>
        <color rgb="FFFF0000"/>
        <rFont val="Arial Narrow"/>
        <family val="2"/>
      </rPr>
      <t>Pre filter 2".</t>
    </r>
  </si>
  <si>
    <r>
      <t>·</t>
    </r>
    <r>
      <rPr>
        <sz val="7"/>
        <color rgb="FFFF0000"/>
        <rFont val="Times New Roman"/>
        <family val="1"/>
      </rPr>
      <t xml:space="preserve">         </t>
    </r>
    <r>
      <rPr>
        <sz val="11"/>
        <color rgb="FFFF0000"/>
        <rFont val="Arial Narrow"/>
        <family val="2"/>
      </rPr>
      <t>Bag Filter.</t>
    </r>
  </si>
  <si>
    <r>
      <t>·</t>
    </r>
    <r>
      <rPr>
        <sz val="7"/>
        <color rgb="FFFF0000"/>
        <rFont val="Times New Roman"/>
        <family val="1"/>
      </rPr>
      <t xml:space="preserve">         </t>
    </r>
    <r>
      <rPr>
        <sz val="11"/>
        <color rgb="FFFF0000"/>
        <rFont val="Arial Narrow"/>
        <family val="2"/>
      </rPr>
      <t>Double wall stainless steel 316L drain pan with threaded connection 1-1/4”</t>
    </r>
  </si>
  <si>
    <r>
      <t>·</t>
    </r>
    <r>
      <rPr>
        <sz val="7"/>
        <color rgb="FFFF0000"/>
        <rFont val="Times New Roman"/>
        <family val="1"/>
      </rPr>
      <t xml:space="preserve">         </t>
    </r>
    <r>
      <rPr>
        <sz val="11"/>
        <color rgb="FFFF0000"/>
        <rFont val="Arial Narrow"/>
        <family val="2"/>
      </rPr>
      <t>Spring isolator under fan/motor assembly.</t>
    </r>
  </si>
  <si>
    <r>
      <t>·</t>
    </r>
    <r>
      <rPr>
        <sz val="7"/>
        <color rgb="FFFF0000"/>
        <rFont val="Times New Roman"/>
        <family val="1"/>
      </rPr>
      <t xml:space="preserve">         </t>
    </r>
    <r>
      <rPr>
        <sz val="11"/>
        <color rgb="FFFF0000"/>
        <rFont val="Arial Narrow"/>
        <family val="2"/>
      </rPr>
      <t>Hinged access doors filter &amp; fan section.</t>
    </r>
  </si>
  <si>
    <r>
      <t>·</t>
    </r>
    <r>
      <rPr>
        <sz val="7"/>
        <color rgb="FFFF0000"/>
        <rFont val="Times New Roman"/>
        <family val="1"/>
      </rPr>
      <t xml:space="preserve">         </t>
    </r>
    <r>
      <rPr>
        <sz val="11"/>
        <color rgb="FFFF0000"/>
        <rFont val="Arial Narrow"/>
        <family val="2"/>
      </rPr>
      <t>Stainless steel screws and bolts.</t>
    </r>
  </si>
  <si>
    <r>
      <t>·</t>
    </r>
    <r>
      <rPr>
        <sz val="7"/>
        <color rgb="FFFF0000"/>
        <rFont val="Times New Roman"/>
        <family val="1"/>
      </rPr>
      <t xml:space="preserve">         </t>
    </r>
    <r>
      <rPr>
        <sz val="11"/>
        <color rgb="FFFF0000"/>
        <rFont val="Arial Narrow"/>
        <family val="2"/>
      </rPr>
      <t>Short circuit protection for each evaporator fan motor.</t>
    </r>
  </si>
  <si>
    <r>
      <t>·</t>
    </r>
    <r>
      <rPr>
        <sz val="7"/>
        <color rgb="FFFF0000"/>
        <rFont val="Times New Roman"/>
        <family val="1"/>
      </rPr>
      <t xml:space="preserve">         </t>
    </r>
    <r>
      <rPr>
        <sz val="11"/>
        <color rgb="FFFF0000"/>
        <rFont val="Arial Narrow"/>
        <family val="2"/>
      </rPr>
      <t>Overload protection for each evaporator fan motor.</t>
    </r>
  </si>
  <si>
    <r>
      <t>·</t>
    </r>
    <r>
      <rPr>
        <sz val="7"/>
        <color rgb="FFFF0000"/>
        <rFont val="Times New Roman"/>
        <family val="1"/>
      </rPr>
      <t xml:space="preserve">         </t>
    </r>
    <r>
      <rPr>
        <sz val="11"/>
        <color rgb="FFFF0000"/>
        <rFont val="Arial Narrow"/>
        <family val="2"/>
      </rPr>
      <t>Earth boss for model PAH 50 and above.</t>
    </r>
  </si>
  <si>
    <r>
      <t>·</t>
    </r>
    <r>
      <rPr>
        <sz val="7"/>
        <color rgb="FFFF0000"/>
        <rFont val="Times New Roman"/>
        <family val="1"/>
      </rPr>
      <t xml:space="preserve">         </t>
    </r>
    <r>
      <rPr>
        <sz val="11"/>
        <color rgb="FFFF0000"/>
        <rFont val="Arial Narrow"/>
        <family val="2"/>
      </rPr>
      <t>Variable frequency drive (VFD) for supply fan motor.</t>
    </r>
  </si>
  <si>
    <r>
      <t>·</t>
    </r>
    <r>
      <rPr>
        <sz val="7"/>
        <color rgb="FFFF0000"/>
        <rFont val="Times New Roman"/>
        <family val="1"/>
      </rPr>
      <t xml:space="preserve">         </t>
    </r>
    <r>
      <rPr>
        <sz val="11"/>
        <color rgb="FFFF0000"/>
        <rFont val="Arial Narrow"/>
        <family val="2"/>
      </rPr>
      <t>SCR for electrical heater.</t>
    </r>
  </si>
  <si>
    <r>
      <t>·</t>
    </r>
    <r>
      <rPr>
        <sz val="7"/>
        <color rgb="FFFF0000"/>
        <rFont val="Times New Roman"/>
        <family val="1"/>
      </rPr>
      <t xml:space="preserve">         </t>
    </r>
    <r>
      <rPr>
        <sz val="11"/>
        <color rgb="FFFF0000"/>
        <rFont val="Arial Narrow"/>
        <family val="2"/>
      </rPr>
      <t>Air flow switch.</t>
    </r>
  </si>
  <si>
    <r>
      <t>·</t>
    </r>
    <r>
      <rPr>
        <sz val="7"/>
        <color rgb="FFFF0000"/>
        <rFont val="Times New Roman"/>
        <family val="1"/>
      </rPr>
      <t xml:space="preserve">         </t>
    </r>
    <r>
      <rPr>
        <sz val="11"/>
        <color rgb="FFFF0000"/>
        <rFont val="Arial Narrow"/>
        <family val="2"/>
      </rPr>
      <t>HOA Switch.</t>
    </r>
  </si>
  <si>
    <r>
      <t>·</t>
    </r>
    <r>
      <rPr>
        <sz val="7"/>
        <color rgb="FFFF0000"/>
        <rFont val="Times New Roman"/>
        <family val="1"/>
      </rPr>
      <t xml:space="preserve">         </t>
    </r>
    <r>
      <rPr>
        <sz val="11"/>
        <color rgb="FFFF0000"/>
        <rFont val="Arial Narrow"/>
        <family val="2"/>
      </rPr>
      <t>Bulkhead light for fan &amp; filter section</t>
    </r>
  </si>
  <si>
    <r>
      <t>·</t>
    </r>
    <r>
      <rPr>
        <sz val="7"/>
        <color rgb="FFFF0000"/>
        <rFont val="Times New Roman"/>
        <family val="1"/>
      </rPr>
      <t xml:space="preserve">         </t>
    </r>
    <r>
      <rPr>
        <sz val="11"/>
        <color rgb="FFFF0000"/>
        <rFont val="Arial Narrow"/>
        <family val="2"/>
      </rPr>
      <t>Inspection windows for fan &amp; filter section</t>
    </r>
  </si>
  <si>
    <r>
      <t>·</t>
    </r>
    <r>
      <rPr>
        <sz val="7"/>
        <color rgb="FFFF0000"/>
        <rFont val="Times New Roman"/>
        <family val="1"/>
      </rPr>
      <t xml:space="preserve">         </t>
    </r>
    <r>
      <rPr>
        <sz val="11"/>
        <color rgb="FFFF0000"/>
        <rFont val="Arial Narrow"/>
        <family val="2"/>
      </rPr>
      <t>Filter differential pressure switch.</t>
    </r>
  </si>
  <si>
    <r>
      <t>·</t>
    </r>
    <r>
      <rPr>
        <sz val="7"/>
        <color rgb="FFFF0000"/>
        <rFont val="Times New Roman"/>
        <family val="1"/>
      </rPr>
      <t xml:space="preserve">         </t>
    </r>
    <r>
      <rPr>
        <sz val="11"/>
        <color rgb="FFFF0000"/>
        <rFont val="Arial Narrow"/>
        <family val="2"/>
      </rPr>
      <t>Dial manometer for filter.</t>
    </r>
  </si>
  <si>
    <r>
      <t>·</t>
    </r>
    <r>
      <rPr>
        <sz val="7"/>
        <color rgb="FFFF0000"/>
        <rFont val="Times New Roman"/>
        <family val="1"/>
      </rPr>
      <t xml:space="preserve">         </t>
    </r>
    <r>
      <rPr>
        <sz val="11"/>
        <color rgb="FFFF0000"/>
        <rFont val="Arial Narrow"/>
        <family val="2"/>
      </rPr>
      <t>Belt guard for supply fan.</t>
    </r>
  </si>
  <si>
    <r>
      <t>·</t>
    </r>
    <r>
      <rPr>
        <sz val="7"/>
        <color rgb="FFFF0000"/>
        <rFont val="Times New Roman"/>
        <family val="1"/>
      </rPr>
      <t xml:space="preserve">         </t>
    </r>
    <r>
      <rPr>
        <sz val="11"/>
        <color rgb="FFFF0000"/>
        <rFont val="Arial Narrow"/>
        <family val="2"/>
      </rPr>
      <t>Extended lubricant line</t>
    </r>
  </si>
  <si>
    <r>
      <t>·</t>
    </r>
    <r>
      <rPr>
        <sz val="7"/>
        <color theme="1"/>
        <rFont val="Times New Roman"/>
        <family val="1"/>
      </rPr>
      <t xml:space="preserve">         </t>
    </r>
    <r>
      <rPr>
        <b/>
        <i/>
        <u/>
        <sz val="11"/>
        <color theme="1"/>
        <rFont val="Arial Narrow"/>
        <family val="2"/>
      </rPr>
      <t>Plenum fans</t>
    </r>
    <r>
      <rPr>
        <sz val="11"/>
        <color theme="1"/>
        <rFont val="Arial Narrow"/>
        <family val="2"/>
      </rPr>
      <t xml:space="preserve"> with rubber pad isolators under fan/motor assembly </t>
    </r>
  </si>
  <si>
    <r>
      <t>·</t>
    </r>
    <r>
      <rPr>
        <sz val="7"/>
        <color theme="1"/>
        <rFont val="Times New Roman"/>
        <family val="1"/>
      </rPr>
      <t xml:space="preserve">         </t>
    </r>
    <r>
      <rPr>
        <sz val="11"/>
        <color theme="1"/>
        <rFont val="Arial Narrow"/>
        <family val="2"/>
      </rPr>
      <t>Units are without control. (By contractor)</t>
    </r>
  </si>
  <si>
    <r>
      <t>·</t>
    </r>
    <r>
      <rPr>
        <sz val="7"/>
        <color theme="1"/>
        <rFont val="Times New Roman"/>
        <family val="1"/>
      </rPr>
      <t xml:space="preserve">         </t>
    </r>
    <r>
      <rPr>
        <sz val="11"/>
        <color theme="1"/>
        <rFont val="Arial Narrow"/>
        <family val="2"/>
      </rPr>
      <t xml:space="preserve">Units are suitable for </t>
    </r>
    <r>
      <rPr>
        <b/>
        <u/>
        <sz val="11"/>
        <color theme="1"/>
        <rFont val="Arial Narrow"/>
        <family val="2"/>
      </rPr>
      <t>Outdoor</t>
    </r>
    <r>
      <rPr>
        <sz val="11"/>
        <color theme="1"/>
        <rFont val="Arial Narrow"/>
        <family val="2"/>
      </rPr>
      <t xml:space="preserve"> installation.</t>
    </r>
  </si>
  <si>
    <r>
      <t>·</t>
    </r>
    <r>
      <rPr>
        <sz val="7"/>
        <color theme="1"/>
        <rFont val="Times New Roman"/>
        <family val="1"/>
      </rPr>
      <t xml:space="preserve">         </t>
    </r>
    <r>
      <rPr>
        <sz val="11"/>
        <color theme="1"/>
        <rFont val="Arial Narrow"/>
        <family val="2"/>
      </rPr>
      <t xml:space="preserve">Units are suitable for </t>
    </r>
    <r>
      <rPr>
        <b/>
        <u/>
        <sz val="11"/>
        <color theme="1"/>
        <rFont val="Arial Narrow"/>
        <family val="2"/>
      </rPr>
      <t>380V/3Ph/60Hz / 400V/3Ph/60Hz</t>
    </r>
    <r>
      <rPr>
        <sz val="11"/>
        <color theme="1"/>
        <rFont val="Arial Narrow"/>
        <family val="2"/>
      </rPr>
      <t xml:space="preserve"> power supply.</t>
    </r>
  </si>
  <si>
    <r>
      <t>·</t>
    </r>
    <r>
      <rPr>
        <sz val="7"/>
        <color theme="1"/>
        <rFont val="Times New Roman"/>
        <family val="1"/>
      </rPr>
      <t xml:space="preserve">         </t>
    </r>
    <r>
      <rPr>
        <sz val="11"/>
        <color theme="1"/>
        <rFont val="Arial Narrow"/>
        <family val="2"/>
      </rPr>
      <t>Electrostatic precipitator without Auto wash.</t>
    </r>
  </si>
  <si>
    <r>
      <t>·</t>
    </r>
    <r>
      <rPr>
        <sz val="7"/>
        <color theme="1"/>
        <rFont val="Times New Roman"/>
        <family val="1"/>
      </rPr>
      <t xml:space="preserve">         </t>
    </r>
    <r>
      <rPr>
        <sz val="11"/>
        <color theme="1"/>
        <rFont val="Arial Narrow"/>
        <family val="2"/>
      </rPr>
      <t>Flat filter (Aluminum 2.0” thick, EU-2).</t>
    </r>
  </si>
  <si>
    <r>
      <t>·</t>
    </r>
    <r>
      <rPr>
        <sz val="7"/>
        <color theme="1"/>
        <rFont val="Times New Roman"/>
        <family val="1"/>
      </rPr>
      <t xml:space="preserve">         </t>
    </r>
    <r>
      <rPr>
        <sz val="11"/>
        <color theme="1"/>
        <rFont val="Arial Narrow"/>
        <family val="2"/>
      </rPr>
      <t>Bag filter (90-95% efficiency, EU-8, F8).</t>
    </r>
  </si>
  <si>
    <r>
      <t>·</t>
    </r>
    <r>
      <rPr>
        <sz val="7"/>
        <color theme="1"/>
        <rFont val="Times New Roman"/>
        <family val="1"/>
      </rPr>
      <t xml:space="preserve">         </t>
    </r>
    <r>
      <rPr>
        <sz val="11"/>
        <color theme="1"/>
        <rFont val="Arial Narrow"/>
        <family val="2"/>
      </rPr>
      <t>Carbon Filter.</t>
    </r>
  </si>
  <si>
    <r>
      <t>·</t>
    </r>
    <r>
      <rPr>
        <sz val="7"/>
        <color rgb="FFFF0000"/>
        <rFont val="Times New Roman"/>
        <family val="1"/>
      </rPr>
      <t xml:space="preserve">         </t>
    </r>
    <r>
      <rPr>
        <b/>
        <u/>
        <sz val="11"/>
        <color rgb="FFFF0000"/>
        <rFont val="Arial Narrow"/>
        <family val="2"/>
      </rPr>
      <t>Additional features added to meet project specifications (PEU):</t>
    </r>
  </si>
  <si>
    <r>
      <t>·</t>
    </r>
    <r>
      <rPr>
        <sz val="7"/>
        <color rgb="FFFF0000"/>
        <rFont val="Times New Roman"/>
        <family val="1"/>
      </rPr>
      <t xml:space="preserve">         </t>
    </r>
    <r>
      <rPr>
        <sz val="11"/>
        <color rgb="FFFF0000"/>
        <rFont val="Arial Narrow"/>
        <family val="2"/>
      </rPr>
      <t>Electrostatic precipitator without Auto wash.</t>
    </r>
  </si>
  <si>
    <r>
      <t>·</t>
    </r>
    <r>
      <rPr>
        <sz val="7"/>
        <color rgb="FFFF0000"/>
        <rFont val="Times New Roman"/>
        <family val="1"/>
      </rPr>
      <t xml:space="preserve">         </t>
    </r>
    <r>
      <rPr>
        <sz val="11"/>
        <color rgb="FFFF0000"/>
        <rFont val="Arial Narrow"/>
        <family val="2"/>
      </rPr>
      <t>Carbon filter.</t>
    </r>
  </si>
  <si>
    <r>
      <t>·</t>
    </r>
    <r>
      <rPr>
        <sz val="7"/>
        <color rgb="FFFF0000"/>
        <rFont val="Times New Roman"/>
        <family val="1"/>
      </rPr>
      <t xml:space="preserve">         </t>
    </r>
    <r>
      <rPr>
        <sz val="11"/>
        <color rgb="FFFF0000"/>
        <rFont val="Arial Narrow"/>
        <family val="2"/>
      </rPr>
      <t>Duty &amp; standby fans.</t>
    </r>
  </si>
  <si>
    <r>
      <t>·</t>
    </r>
    <r>
      <rPr>
        <sz val="7"/>
        <color rgb="FFFF0000"/>
        <rFont val="Times New Roman"/>
        <family val="1"/>
      </rPr>
      <t xml:space="preserve">         </t>
    </r>
    <r>
      <rPr>
        <sz val="11"/>
        <color rgb="FFFF0000"/>
        <rFont val="Arial Narrow"/>
        <family val="2"/>
      </rPr>
      <t>HOA Switch</t>
    </r>
  </si>
  <si>
    <r>
      <t>·</t>
    </r>
    <r>
      <rPr>
        <sz val="7"/>
        <color theme="1"/>
        <rFont val="Times New Roman"/>
        <family val="1"/>
      </rPr>
      <t xml:space="preserve">         </t>
    </r>
    <r>
      <rPr>
        <b/>
        <u/>
        <sz val="11"/>
        <color theme="1"/>
        <rFont val="Arial Narrow"/>
        <family val="2"/>
      </rPr>
      <t>Specifications:</t>
    </r>
  </si>
  <si>
    <r>
      <t>·</t>
    </r>
    <r>
      <rPr>
        <sz val="7"/>
        <color theme="1"/>
        <rFont val="Times New Roman"/>
        <family val="1"/>
      </rPr>
      <t xml:space="preserve">         </t>
    </r>
    <r>
      <rPr>
        <sz val="11"/>
        <color theme="1"/>
        <rFont val="Arial Narrow"/>
        <family val="2"/>
      </rPr>
      <t>Double skin with 2.0” thick injected foam insulation.</t>
    </r>
  </si>
  <si>
    <r>
      <t>·</t>
    </r>
    <r>
      <rPr>
        <sz val="7"/>
        <color theme="1"/>
        <rFont val="Times New Roman"/>
        <family val="1"/>
      </rPr>
      <t xml:space="preserve">         </t>
    </r>
    <r>
      <rPr>
        <sz val="11"/>
        <color theme="1"/>
        <rFont val="Arial Narrow"/>
        <family val="2"/>
      </rPr>
      <t>Steel panels with electrostatic powder paint for external panel, 1.00/0.70 mm external/internal panel thickness</t>
    </r>
  </si>
  <si>
    <r>
      <t>·</t>
    </r>
    <r>
      <rPr>
        <sz val="7"/>
        <color theme="1"/>
        <rFont val="Times New Roman"/>
        <family val="1"/>
      </rPr>
      <t xml:space="preserve">         </t>
    </r>
    <r>
      <rPr>
        <sz val="11"/>
        <color theme="1"/>
        <rFont val="Arial Narrow"/>
        <family val="2"/>
      </rPr>
      <t>DWDI centrifugal fans with rubber pad under fan/motor assembly.</t>
    </r>
  </si>
  <si>
    <r>
      <t>·</t>
    </r>
    <r>
      <rPr>
        <sz val="7"/>
        <color theme="1"/>
        <rFont val="Times New Roman"/>
        <family val="1"/>
      </rPr>
      <t xml:space="preserve">         </t>
    </r>
    <r>
      <rPr>
        <sz val="11"/>
        <color theme="1"/>
        <rFont val="Arial Narrow"/>
        <family val="2"/>
      </rPr>
      <t xml:space="preserve">Units are suitable for </t>
    </r>
    <r>
      <rPr>
        <b/>
        <i/>
        <u/>
        <sz val="11"/>
        <color theme="1"/>
        <rFont val="Arial Narrow"/>
        <family val="2"/>
      </rPr>
      <t>Outdoor</t>
    </r>
    <r>
      <rPr>
        <sz val="11"/>
        <color theme="1"/>
        <rFont val="Arial Narrow"/>
        <family val="2"/>
      </rPr>
      <t xml:space="preserve"> installation.</t>
    </r>
  </si>
  <si>
    <r>
      <t>·</t>
    </r>
    <r>
      <rPr>
        <sz val="7"/>
        <color theme="1"/>
        <rFont val="Times New Roman"/>
        <family val="1"/>
      </rPr>
      <t xml:space="preserve">         </t>
    </r>
    <r>
      <rPr>
        <sz val="11"/>
        <color theme="1"/>
        <rFont val="Arial Narrow"/>
        <family val="2"/>
      </rPr>
      <t xml:space="preserve">Units are suitable for </t>
    </r>
    <r>
      <rPr>
        <b/>
        <i/>
        <u/>
        <sz val="11"/>
        <color theme="1"/>
        <rFont val="Arial Narrow"/>
        <family val="2"/>
      </rPr>
      <t>460V/3Ph/60Hz / 380V/3Ph/60Hz</t>
    </r>
    <r>
      <rPr>
        <sz val="11"/>
        <color theme="1"/>
        <rFont val="Arial Narrow"/>
        <family val="2"/>
      </rPr>
      <t xml:space="preserve"> power supply.</t>
    </r>
  </si>
  <si>
    <r>
      <t>·</t>
    </r>
    <r>
      <rPr>
        <sz val="7"/>
        <color theme="1"/>
        <rFont val="Times New Roman"/>
        <family val="1"/>
      </rPr>
      <t xml:space="preserve">         </t>
    </r>
    <r>
      <rPr>
        <sz val="11"/>
        <color theme="1"/>
        <rFont val="Arial Narrow"/>
        <family val="2"/>
      </rPr>
      <t>For more technical details, please refer to our PAH catalogue.</t>
    </r>
  </si>
  <si>
    <r>
      <t>-</t>
    </r>
    <r>
      <rPr>
        <sz val="7"/>
        <color theme="1"/>
        <rFont val="Times New Roman"/>
        <family val="1"/>
      </rPr>
      <t xml:space="preserve">          </t>
    </r>
    <r>
      <rPr>
        <sz val="11"/>
        <color theme="1"/>
        <rFont val="Arial Narrow"/>
        <family val="2"/>
      </rPr>
      <t>Supply Air Stream:</t>
    </r>
  </si>
  <si>
    <r>
      <t>·</t>
    </r>
    <r>
      <rPr>
        <sz val="7"/>
        <color theme="1"/>
        <rFont val="Times New Roman"/>
        <family val="1"/>
      </rPr>
      <t xml:space="preserve">         </t>
    </r>
    <r>
      <rPr>
        <sz val="11"/>
        <color theme="1"/>
        <rFont val="Arial Narrow"/>
        <family val="2"/>
      </rPr>
      <t>Bag filter (90-95% efficiency, EU-8).</t>
    </r>
  </si>
  <si>
    <r>
      <t>·</t>
    </r>
    <r>
      <rPr>
        <sz val="7"/>
        <color theme="1"/>
        <rFont val="Times New Roman"/>
        <family val="1"/>
      </rPr>
      <t xml:space="preserve">         </t>
    </r>
    <r>
      <rPr>
        <sz val="11"/>
        <color theme="1"/>
        <rFont val="Arial Narrow"/>
        <family val="2"/>
      </rPr>
      <t>Chemical filter (2 stage)</t>
    </r>
  </si>
  <si>
    <r>
      <t>·</t>
    </r>
    <r>
      <rPr>
        <sz val="7"/>
        <color theme="1"/>
        <rFont val="Times New Roman"/>
        <family val="1"/>
      </rPr>
      <t xml:space="preserve">         </t>
    </r>
    <r>
      <rPr>
        <sz val="11"/>
        <color theme="1"/>
        <rFont val="Arial Narrow"/>
        <family val="2"/>
      </rPr>
      <t xml:space="preserve">Supply fan &amp; motor section. </t>
    </r>
  </si>
  <si>
    <r>
      <t>·</t>
    </r>
    <r>
      <rPr>
        <sz val="7"/>
        <color rgb="FFFF0000"/>
        <rFont val="Times New Roman"/>
        <family val="1"/>
      </rPr>
      <t xml:space="preserve">         </t>
    </r>
    <r>
      <rPr>
        <b/>
        <u/>
        <sz val="11"/>
        <color rgb="FFFF0000"/>
        <rFont val="Arial Narrow"/>
        <family val="2"/>
      </rPr>
      <t>Additional features added to meet project specifications (CFU):</t>
    </r>
  </si>
  <si>
    <r>
      <t>·</t>
    </r>
    <r>
      <rPr>
        <sz val="7"/>
        <color theme="1"/>
        <rFont val="Times New Roman"/>
        <family val="1"/>
      </rPr>
      <t xml:space="preserve">         </t>
    </r>
    <r>
      <rPr>
        <sz val="11"/>
        <color theme="1"/>
        <rFont val="Arial Narrow"/>
        <family val="2"/>
      </rPr>
      <t>Units were selected at 44/54 °F entering / leaving water temperature.</t>
    </r>
  </si>
  <si>
    <r>
      <t>·</t>
    </r>
    <r>
      <rPr>
        <sz val="7"/>
        <color theme="1"/>
        <rFont val="Times New Roman"/>
        <family val="1"/>
      </rPr>
      <t xml:space="preserve">         </t>
    </r>
    <r>
      <rPr>
        <sz val="11"/>
        <color theme="1"/>
        <rFont val="Arial Narrow"/>
        <family val="2"/>
      </rPr>
      <t>Air on coil as per your schedule /// 80/67 °F DB/WB.</t>
    </r>
  </si>
  <si>
    <r>
      <t>·</t>
    </r>
    <r>
      <rPr>
        <sz val="7"/>
        <color theme="1"/>
        <rFont val="Times New Roman"/>
        <family val="1"/>
      </rPr>
      <t xml:space="preserve">         </t>
    </r>
    <r>
      <rPr>
        <sz val="11"/>
        <color theme="1"/>
        <rFont val="Arial Narrow"/>
        <family val="2"/>
      </rPr>
      <t>Single skin with 1.0” thick fiberglass insulation or equivalent</t>
    </r>
  </si>
  <si>
    <r>
      <t>·</t>
    </r>
    <r>
      <rPr>
        <sz val="7"/>
        <color theme="1"/>
        <rFont val="Times New Roman"/>
        <family val="1"/>
      </rPr>
      <t xml:space="preserve">         </t>
    </r>
    <r>
      <rPr>
        <sz val="11"/>
        <color theme="1"/>
        <rFont val="Arial Narrow"/>
        <family val="2"/>
      </rPr>
      <t>Zinc coated galvanized steel panels without paint</t>
    </r>
  </si>
  <si>
    <r>
      <t>·</t>
    </r>
    <r>
      <rPr>
        <sz val="7"/>
        <color theme="1"/>
        <rFont val="Times New Roman"/>
        <family val="1"/>
      </rPr>
      <t xml:space="preserve">         </t>
    </r>
    <r>
      <rPr>
        <sz val="11"/>
        <color theme="1"/>
        <rFont val="Arial Narrow"/>
        <family val="2"/>
      </rPr>
      <t>DWDI centrifugal fans with rubber pads isolators under fan/motor assembly</t>
    </r>
  </si>
  <si>
    <r>
      <t>·</t>
    </r>
    <r>
      <rPr>
        <sz val="7"/>
        <color theme="1"/>
        <rFont val="Times New Roman"/>
        <family val="1"/>
      </rPr>
      <t xml:space="preserve">         </t>
    </r>
    <r>
      <rPr>
        <sz val="11"/>
        <color theme="1"/>
        <rFont val="Arial Narrow"/>
        <family val="2"/>
      </rPr>
      <t>Copper tubes with aluminum fins cooling coils</t>
    </r>
  </si>
  <si>
    <r>
      <t>·</t>
    </r>
    <r>
      <rPr>
        <sz val="7"/>
        <color theme="1"/>
        <rFont val="Times New Roman"/>
        <family val="1"/>
      </rPr>
      <t xml:space="preserve">         </t>
    </r>
    <r>
      <rPr>
        <sz val="11"/>
        <color theme="1"/>
        <rFont val="Arial Narrow"/>
        <family val="2"/>
      </rPr>
      <t>Units are without control and without valves</t>
    </r>
  </si>
  <si>
    <r>
      <t>·</t>
    </r>
    <r>
      <rPr>
        <sz val="7"/>
        <color theme="1"/>
        <rFont val="Times New Roman"/>
        <family val="1"/>
      </rPr>
      <t xml:space="preserve">         </t>
    </r>
    <r>
      <rPr>
        <sz val="11"/>
        <color theme="1"/>
        <rFont val="Arial Narrow"/>
        <family val="2"/>
      </rPr>
      <t>Units are suitable for indoor installation</t>
    </r>
  </si>
  <si>
    <r>
      <t>·</t>
    </r>
    <r>
      <rPr>
        <sz val="7"/>
        <color theme="1"/>
        <rFont val="Times New Roman"/>
        <family val="1"/>
      </rPr>
      <t xml:space="preserve">         </t>
    </r>
    <r>
      <rPr>
        <sz val="11"/>
        <color theme="1"/>
        <rFont val="Arial Narrow"/>
        <family val="2"/>
      </rPr>
      <t xml:space="preserve">Units are suitable for </t>
    </r>
    <r>
      <rPr>
        <b/>
        <u/>
        <sz val="11"/>
        <color theme="1"/>
        <rFont val="Arial Narrow"/>
        <family val="2"/>
      </rPr>
      <t>480V/3Ph/60Hz</t>
    </r>
    <r>
      <rPr>
        <sz val="11"/>
        <color theme="1"/>
        <rFont val="Arial Narrow"/>
        <family val="2"/>
      </rPr>
      <t xml:space="preserve"> power supply</t>
    </r>
  </si>
  <si>
    <r>
      <t>·</t>
    </r>
    <r>
      <rPr>
        <sz val="7"/>
        <color theme="1"/>
        <rFont val="Times New Roman"/>
        <family val="1"/>
      </rPr>
      <t xml:space="preserve">         </t>
    </r>
    <r>
      <rPr>
        <sz val="11"/>
        <color theme="1"/>
        <rFont val="Arial Narrow"/>
        <family val="2"/>
      </rPr>
      <t>Flat filter (Aluminum 1.0” thick, EU-2)</t>
    </r>
  </si>
  <si>
    <r>
      <t>·</t>
    </r>
    <r>
      <rPr>
        <sz val="7"/>
        <color theme="1"/>
        <rFont val="Times New Roman"/>
        <family val="1"/>
      </rPr>
      <t xml:space="preserve">         </t>
    </r>
    <r>
      <rPr>
        <sz val="11"/>
        <color theme="1"/>
        <rFont val="Arial Narrow"/>
        <family val="2"/>
      </rPr>
      <t>CHW-cooling coil</t>
    </r>
  </si>
  <si>
    <r>
      <t>·</t>
    </r>
    <r>
      <rPr>
        <sz val="7"/>
        <color theme="1"/>
        <rFont val="Times New Roman"/>
        <family val="1"/>
      </rPr>
      <t xml:space="preserve">         </t>
    </r>
    <r>
      <rPr>
        <sz val="11"/>
        <color theme="1"/>
        <rFont val="Arial Narrow"/>
        <family val="2"/>
      </rPr>
      <t>Supply fan &amp; motor section</t>
    </r>
  </si>
  <si>
    <r>
      <t>·</t>
    </r>
    <r>
      <rPr>
        <sz val="7"/>
        <color rgb="FFFF0000"/>
        <rFont val="Times New Roman"/>
        <family val="1"/>
      </rPr>
      <t xml:space="preserve">         </t>
    </r>
    <r>
      <rPr>
        <b/>
        <u/>
        <sz val="11"/>
        <color rgb="FFFF0000"/>
        <rFont val="Arial Narrow"/>
        <family val="2"/>
      </rPr>
      <t>Additional features added to meet project specifications (CM) for above 5000 CFM units:</t>
    </r>
  </si>
  <si>
    <r>
      <t>·</t>
    </r>
    <r>
      <rPr>
        <sz val="7"/>
        <color rgb="FFFF0000"/>
        <rFont val="Times New Roman"/>
        <family val="1"/>
      </rPr>
      <t xml:space="preserve">         </t>
    </r>
    <r>
      <rPr>
        <sz val="11"/>
        <color rgb="FFFF0000"/>
        <rFont val="Arial Narrow"/>
        <family val="2"/>
      </rPr>
      <t xml:space="preserve">Double skin with </t>
    </r>
    <r>
      <rPr>
        <b/>
        <sz val="11"/>
        <color rgb="FFFF0000"/>
        <rFont val="Arial Narrow"/>
        <family val="2"/>
      </rPr>
      <t>1.0”</t>
    </r>
    <r>
      <rPr>
        <sz val="11"/>
        <color rgb="FFFF0000"/>
        <rFont val="Arial Narrow"/>
        <family val="2"/>
      </rPr>
      <t xml:space="preserve"> thick injected foam insulation. </t>
    </r>
  </si>
  <si>
    <r>
      <t>·</t>
    </r>
    <r>
      <rPr>
        <sz val="7"/>
        <color rgb="FFFF0000"/>
        <rFont val="Times New Roman"/>
        <family val="1"/>
      </rPr>
      <t xml:space="preserve">         </t>
    </r>
    <r>
      <rPr>
        <sz val="11"/>
        <color rgb="FFFF0000"/>
        <rFont val="Arial Narrow"/>
        <family val="2"/>
      </rPr>
      <t xml:space="preserve">Zinc coated galvanized steel panels, </t>
    </r>
    <r>
      <rPr>
        <b/>
        <sz val="11"/>
        <color rgb="FFFF0000"/>
        <rFont val="Arial Narrow"/>
        <family val="2"/>
      </rPr>
      <t>1.25/1.25</t>
    </r>
    <r>
      <rPr>
        <sz val="11"/>
        <color rgb="FFFF0000"/>
        <rFont val="Arial Narrow"/>
        <family val="2"/>
      </rPr>
      <t xml:space="preserve"> mm external/internal panel thickness with electrostatic powder paint for external panels.</t>
    </r>
  </si>
  <si>
    <r>
      <t>·</t>
    </r>
    <r>
      <rPr>
        <sz val="7"/>
        <color rgb="FFFF0000"/>
        <rFont val="Times New Roman"/>
        <family val="1"/>
      </rPr>
      <t xml:space="preserve">         </t>
    </r>
    <r>
      <rPr>
        <sz val="11"/>
        <color rgb="FFFF0000"/>
        <rFont val="Arial Narrow"/>
        <family val="2"/>
      </rPr>
      <t>Earth boss for model CM 60 and above.</t>
    </r>
  </si>
  <si>
    <r>
      <t>-</t>
    </r>
    <r>
      <rPr>
        <sz val="7"/>
        <color theme="1"/>
        <rFont val="Times New Roman"/>
        <family val="1"/>
      </rPr>
      <t xml:space="preserve">          </t>
    </r>
    <r>
      <rPr>
        <b/>
        <u/>
        <sz val="11"/>
        <color theme="1"/>
        <rFont val="Arial Narrow"/>
        <family val="2"/>
      </rPr>
      <t>Model Nomenclature:</t>
    </r>
  </si>
  <si>
    <r>
      <t>·</t>
    </r>
    <r>
      <rPr>
        <sz val="7"/>
        <color theme="1"/>
        <rFont val="Times New Roman"/>
        <family val="1"/>
      </rPr>
      <t xml:space="preserve">         </t>
    </r>
    <r>
      <rPr>
        <sz val="11"/>
        <color theme="1"/>
        <rFont val="Arial Narrow"/>
        <family val="2"/>
      </rPr>
      <t>RAC CBP            Ducted concealed ceiling with return air plenum</t>
    </r>
  </si>
  <si>
    <r>
      <t>·</t>
    </r>
    <r>
      <rPr>
        <sz val="7"/>
        <color theme="1"/>
        <rFont val="Times New Roman"/>
        <family val="1"/>
      </rPr>
      <t xml:space="preserve">         </t>
    </r>
    <r>
      <rPr>
        <sz val="11"/>
        <color theme="1"/>
        <rFont val="Arial Narrow"/>
        <family val="2"/>
      </rPr>
      <t>RAC CC              Exposed ceiling cabinet</t>
    </r>
  </si>
  <si>
    <r>
      <t>·</t>
    </r>
    <r>
      <rPr>
        <sz val="7"/>
        <color theme="1"/>
        <rFont val="Times New Roman"/>
        <family val="1"/>
      </rPr>
      <t xml:space="preserve">         </t>
    </r>
    <r>
      <rPr>
        <sz val="11"/>
        <color theme="1"/>
        <rFont val="Arial Narrow"/>
        <family val="2"/>
      </rPr>
      <t>RAC FC               Exposed floor cabinet</t>
    </r>
  </si>
  <si>
    <r>
      <t>·</t>
    </r>
    <r>
      <rPr>
        <sz val="7"/>
        <color theme="1"/>
        <rFont val="Times New Roman"/>
        <family val="1"/>
      </rPr>
      <t xml:space="preserve">         </t>
    </r>
    <r>
      <rPr>
        <sz val="11"/>
        <color theme="1"/>
        <rFont val="Arial Narrow"/>
        <family val="2"/>
      </rPr>
      <t>RAC FB               Floor basic</t>
    </r>
  </si>
  <si>
    <r>
      <t>·</t>
    </r>
    <r>
      <rPr>
        <sz val="7"/>
        <color theme="1"/>
        <rFont val="Times New Roman"/>
        <family val="1"/>
      </rPr>
      <t xml:space="preserve">         </t>
    </r>
    <r>
      <rPr>
        <sz val="11"/>
        <color theme="1"/>
        <rFont val="Arial Narrow"/>
        <family val="2"/>
      </rPr>
      <t>DCB                    Ducted concealed basic</t>
    </r>
  </si>
  <si>
    <r>
      <t>·</t>
    </r>
    <r>
      <rPr>
        <sz val="7"/>
        <color theme="1"/>
        <rFont val="Times New Roman"/>
        <family val="1"/>
      </rPr>
      <t xml:space="preserve">         </t>
    </r>
    <r>
      <rPr>
        <sz val="11"/>
        <color theme="1"/>
        <rFont val="Arial Narrow"/>
        <family val="2"/>
      </rPr>
      <t>DCP                    Ducted concealed ceiling with return air plenum</t>
    </r>
  </si>
  <si>
    <r>
      <t>·</t>
    </r>
    <r>
      <rPr>
        <sz val="7"/>
        <color theme="1"/>
        <rFont val="Times New Roman"/>
        <family val="1"/>
      </rPr>
      <t xml:space="preserve">         </t>
    </r>
    <r>
      <rPr>
        <sz val="11"/>
        <color theme="1"/>
        <rFont val="Arial Narrow"/>
        <family val="2"/>
      </rPr>
      <t>DCC                    Ceiling cabinet</t>
    </r>
  </si>
  <si>
    <r>
      <t>·</t>
    </r>
    <r>
      <rPr>
        <sz val="7"/>
        <color theme="1"/>
        <rFont val="Times New Roman"/>
        <family val="1"/>
      </rPr>
      <t xml:space="preserve">         </t>
    </r>
    <r>
      <rPr>
        <sz val="11"/>
        <color theme="1"/>
        <rFont val="Arial Narrow"/>
        <family val="2"/>
      </rPr>
      <t>DCV                    Vertical Cabinet</t>
    </r>
  </si>
  <si>
    <r>
      <t>-</t>
    </r>
    <r>
      <rPr>
        <sz val="7"/>
        <color theme="1"/>
        <rFont val="Times New Roman"/>
        <family val="1"/>
      </rPr>
      <t xml:space="preserve">          </t>
    </r>
    <r>
      <rPr>
        <b/>
        <u/>
        <sz val="11"/>
        <color theme="1"/>
        <rFont val="Arial Narrow"/>
        <family val="2"/>
      </rPr>
      <t>Units Specifications: (RAC CBP, RAC CC, DCP &amp; DCC)</t>
    </r>
  </si>
  <si>
    <r>
      <t>·</t>
    </r>
    <r>
      <rPr>
        <sz val="7"/>
        <color theme="1"/>
        <rFont val="Times New Roman"/>
        <family val="1"/>
      </rPr>
      <t xml:space="preserve">         </t>
    </r>
    <r>
      <rPr>
        <b/>
        <i/>
        <u/>
        <sz val="11"/>
        <color theme="1"/>
        <rFont val="Arial Narrow"/>
        <family val="2"/>
      </rPr>
      <t>Finned tube element electric heater with automatic cutout and contactor.</t>
    </r>
  </si>
  <si>
    <r>
      <t>-</t>
    </r>
    <r>
      <rPr>
        <sz val="7"/>
        <color theme="1"/>
        <rFont val="Times New Roman"/>
        <family val="1"/>
      </rPr>
      <t xml:space="preserve">          </t>
    </r>
    <r>
      <rPr>
        <b/>
        <u/>
        <sz val="11"/>
        <color theme="1"/>
        <rFont val="Arial Narrow"/>
        <family val="2"/>
      </rPr>
      <t>Units Specifications: (RAC PCC &amp; PWC)</t>
    </r>
  </si>
  <si>
    <r>
      <t>·</t>
    </r>
    <r>
      <rPr>
        <sz val="7"/>
        <color rgb="FFFF0000"/>
        <rFont val="Times New Roman"/>
        <family val="1"/>
      </rPr>
      <t xml:space="preserve">         </t>
    </r>
    <r>
      <rPr>
        <b/>
        <u/>
        <sz val="11"/>
        <color rgb="FFFF0000"/>
        <rFont val="Arial Narrow"/>
        <family val="2"/>
      </rPr>
      <t>Additional features added to meet project specifications (FCU):</t>
    </r>
  </si>
  <si>
    <r>
      <t>·</t>
    </r>
    <r>
      <rPr>
        <sz val="7"/>
        <color rgb="FFFF0000"/>
        <rFont val="Times New Roman"/>
        <family val="1"/>
      </rPr>
      <t xml:space="preserve">         </t>
    </r>
    <r>
      <rPr>
        <sz val="11"/>
        <color rgb="FFFF0000"/>
        <rFont val="Arial Narrow"/>
        <family val="2"/>
      </rPr>
      <t>Zinc coated galvanized steel casing 1.20 mm.</t>
    </r>
  </si>
  <si>
    <r>
      <t>·</t>
    </r>
    <r>
      <rPr>
        <sz val="7"/>
        <color rgb="FFFF0000"/>
        <rFont val="Times New Roman"/>
        <family val="1"/>
      </rPr>
      <t xml:space="preserve">         </t>
    </r>
    <r>
      <rPr>
        <sz val="11"/>
        <color rgb="FFFF0000"/>
        <rFont val="Arial Narrow"/>
        <family val="2"/>
      </rPr>
      <t>Copper tubes &amp; copper fins cooling coils.</t>
    </r>
  </si>
  <si>
    <r>
      <t>·</t>
    </r>
    <r>
      <rPr>
        <sz val="7"/>
        <color rgb="FFFF0000"/>
        <rFont val="Times New Roman"/>
        <family val="1"/>
      </rPr>
      <t xml:space="preserve">         </t>
    </r>
    <r>
      <rPr>
        <sz val="11"/>
        <color rgb="FFFF0000"/>
        <rFont val="Arial Narrow"/>
        <family val="2"/>
      </rPr>
      <t>Duct collar.</t>
    </r>
  </si>
  <si>
    <r>
      <t>·</t>
    </r>
    <r>
      <rPr>
        <sz val="7"/>
        <color rgb="FFFF0000"/>
        <rFont val="Times New Roman"/>
        <family val="1"/>
      </rPr>
      <t xml:space="preserve">         </t>
    </r>
    <r>
      <rPr>
        <sz val="11"/>
        <color rgb="FFFF0000"/>
        <rFont val="Arial Narrow"/>
        <family val="2"/>
      </rPr>
      <t>Stainless steel drain pan. (SS 304).</t>
    </r>
  </si>
  <si>
    <r>
      <t>·</t>
    </r>
    <r>
      <rPr>
        <sz val="7"/>
        <color rgb="FFFF0000"/>
        <rFont val="Times New Roman"/>
        <family val="1"/>
      </rPr>
      <t xml:space="preserve">         </t>
    </r>
    <r>
      <rPr>
        <sz val="11"/>
        <color rgb="FFFF0000"/>
        <rFont val="Arial Narrow"/>
        <family val="2"/>
      </rPr>
      <t>Short circuit protection for fan motor.</t>
    </r>
  </si>
  <si>
    <r>
      <t>·</t>
    </r>
    <r>
      <rPr>
        <sz val="7"/>
        <color rgb="FFFF0000"/>
        <rFont val="Times New Roman"/>
        <family val="1"/>
      </rPr>
      <t xml:space="preserve">         </t>
    </r>
    <r>
      <rPr>
        <sz val="11"/>
        <color rgb="FFFF0000"/>
        <rFont val="Arial Narrow"/>
        <family val="2"/>
      </rPr>
      <t>Overload protection for fan motor.</t>
    </r>
  </si>
  <si>
    <r>
      <t>·</t>
    </r>
    <r>
      <rPr>
        <sz val="7"/>
        <color rgb="FFFF0000"/>
        <rFont val="Times New Roman"/>
        <family val="1"/>
      </rPr>
      <t xml:space="preserve">         </t>
    </r>
    <r>
      <rPr>
        <sz val="11"/>
        <color rgb="FFFF0000"/>
        <rFont val="Arial Narrow"/>
        <family val="2"/>
      </rPr>
      <t>Digital thermostat.</t>
    </r>
  </si>
  <si>
    <r>
      <t>·</t>
    </r>
    <r>
      <rPr>
        <sz val="7"/>
        <color rgb="FFFF0000"/>
        <rFont val="Times New Roman"/>
        <family val="1"/>
      </rPr>
      <t xml:space="preserve">         </t>
    </r>
    <r>
      <rPr>
        <sz val="11"/>
        <color rgb="FFFF0000"/>
        <rFont val="Arial Narrow"/>
        <family val="2"/>
      </rPr>
      <t>EC-motor.</t>
    </r>
  </si>
  <si>
    <r>
      <t>·</t>
    </r>
    <r>
      <rPr>
        <sz val="7"/>
        <color theme="1"/>
        <rFont val="Times New Roman"/>
        <family val="1"/>
      </rPr>
      <t xml:space="preserve">         </t>
    </r>
    <r>
      <rPr>
        <sz val="11"/>
        <color theme="1"/>
        <rFont val="Arial Narrow"/>
        <family val="2"/>
      </rPr>
      <t xml:space="preserve">Units were selected at </t>
    </r>
    <r>
      <rPr>
        <b/>
        <sz val="11"/>
        <color theme="1"/>
        <rFont val="Arial Narrow"/>
        <family val="2"/>
      </rPr>
      <t>115°F</t>
    </r>
    <r>
      <rPr>
        <sz val="11"/>
        <color theme="1"/>
        <rFont val="Arial Narrow"/>
        <family val="2"/>
      </rPr>
      <t xml:space="preserve"> ambient</t>
    </r>
  </si>
  <si>
    <r>
      <t>·</t>
    </r>
    <r>
      <rPr>
        <sz val="7"/>
        <color theme="1"/>
        <rFont val="Times New Roman"/>
        <family val="1"/>
      </rPr>
      <t xml:space="preserve">         </t>
    </r>
    <r>
      <rPr>
        <sz val="11"/>
        <color theme="1"/>
        <rFont val="Arial Narrow"/>
        <family val="2"/>
      </rPr>
      <t xml:space="preserve">Air on coil as per your schedules /// </t>
    </r>
    <r>
      <rPr>
        <b/>
        <sz val="11"/>
        <color theme="1"/>
        <rFont val="Arial Narrow"/>
        <family val="2"/>
      </rPr>
      <t>80/67°F.</t>
    </r>
  </si>
  <si>
    <r>
      <t>·</t>
    </r>
    <r>
      <rPr>
        <sz val="7"/>
        <color theme="1"/>
        <rFont val="Times New Roman"/>
        <family val="1"/>
      </rPr>
      <t xml:space="preserve">         </t>
    </r>
    <r>
      <rPr>
        <sz val="11"/>
        <color theme="1"/>
        <rFont val="Arial Narrow"/>
        <family val="2"/>
      </rPr>
      <t>Control circuit barker.</t>
    </r>
  </si>
  <si>
    <r>
      <t>·</t>
    </r>
    <r>
      <rPr>
        <sz val="7"/>
        <color theme="1"/>
        <rFont val="Times New Roman"/>
        <family val="1"/>
      </rPr>
      <t xml:space="preserve">         </t>
    </r>
    <r>
      <rPr>
        <sz val="11"/>
        <color theme="1"/>
        <rFont val="Arial Narrow"/>
        <family val="2"/>
      </rPr>
      <t xml:space="preserve">Liquid line solenoid valve </t>
    </r>
    <r>
      <rPr>
        <b/>
        <sz val="11"/>
        <color theme="1"/>
        <rFont val="Arial Narrow"/>
        <family val="2"/>
      </rPr>
      <t>(for compressors above 5HP).</t>
    </r>
  </si>
  <si>
    <r>
      <t>·</t>
    </r>
    <r>
      <rPr>
        <sz val="7"/>
        <color theme="1"/>
        <rFont val="Times New Roman"/>
        <family val="1"/>
      </rPr>
      <t xml:space="preserve">         </t>
    </r>
    <r>
      <rPr>
        <sz val="11"/>
        <color theme="1"/>
        <rFont val="Arial Narrow"/>
        <family val="2"/>
      </rPr>
      <t xml:space="preserve">Liquid line shut off valve </t>
    </r>
    <r>
      <rPr>
        <b/>
        <sz val="11"/>
        <color theme="1"/>
        <rFont val="Arial Narrow"/>
        <family val="2"/>
      </rPr>
      <t>(for compressors above 5HP).</t>
    </r>
  </si>
  <si>
    <r>
      <t>·</t>
    </r>
    <r>
      <rPr>
        <sz val="7"/>
        <color theme="1"/>
        <rFont val="Times New Roman"/>
        <family val="1"/>
      </rPr>
      <t xml:space="preserve">         </t>
    </r>
    <r>
      <rPr>
        <sz val="11"/>
        <color theme="1"/>
        <rFont val="Arial Narrow"/>
        <family val="2"/>
      </rPr>
      <t>Low ambient control.</t>
    </r>
  </si>
  <si>
    <r>
      <t>·</t>
    </r>
    <r>
      <rPr>
        <sz val="7"/>
        <color rgb="FFEE0000"/>
        <rFont val="Times New Roman"/>
        <family val="1"/>
      </rPr>
      <t xml:space="preserve">         </t>
    </r>
    <r>
      <rPr>
        <sz val="11"/>
        <color rgb="FFEE0000"/>
        <rFont val="Arial Narrow"/>
        <family val="2"/>
      </rPr>
      <t>Finned tube element electric heater with automatic cutout and contactor</t>
    </r>
  </si>
  <si>
    <r>
      <t>·</t>
    </r>
    <r>
      <rPr>
        <sz val="7"/>
        <color rgb="FFFF0000"/>
        <rFont val="Times New Roman"/>
        <family val="1"/>
      </rPr>
      <t xml:space="preserve">         </t>
    </r>
    <r>
      <rPr>
        <b/>
        <u/>
        <sz val="11"/>
        <color rgb="FFFF0000"/>
        <rFont val="Arial Narrow"/>
        <family val="2"/>
      </rPr>
      <t>Additional features added to meet project specifications (PPH):</t>
    </r>
  </si>
  <si>
    <r>
      <t>·</t>
    </r>
    <r>
      <rPr>
        <sz val="7"/>
        <color rgb="FFFF0000"/>
        <rFont val="Times New Roman"/>
        <family val="1"/>
      </rPr>
      <t xml:space="preserve">         </t>
    </r>
    <r>
      <rPr>
        <sz val="11"/>
        <color rgb="FFFF0000"/>
        <rFont val="Arial Narrow"/>
        <family val="2"/>
      </rPr>
      <t>Double skin 1.25/1.25 mm external/internal zinc coated galvanized steel panels painted with electrostatic powder paint for external panels with 2” insulation (for 5000 CFM and above).</t>
    </r>
  </si>
  <si>
    <r>
      <t>·</t>
    </r>
    <r>
      <rPr>
        <sz val="7"/>
        <color rgb="FFFF0000"/>
        <rFont val="Times New Roman"/>
        <family val="1"/>
      </rPr>
      <t xml:space="preserve">         </t>
    </r>
    <r>
      <rPr>
        <sz val="11"/>
        <color rgb="FFFF0000"/>
        <rFont val="Arial Narrow"/>
        <family val="2"/>
      </rPr>
      <t>Mixing box with manual F.A. &amp; R.A. dampers (Motorized, Actuator by others)</t>
    </r>
  </si>
  <si>
    <r>
      <t>·</t>
    </r>
    <r>
      <rPr>
        <sz val="7"/>
        <color rgb="FFFF0000"/>
        <rFont val="Times New Roman"/>
        <family val="1"/>
      </rPr>
      <t xml:space="preserve">         </t>
    </r>
    <r>
      <rPr>
        <sz val="11"/>
        <color rgb="FFFF0000"/>
        <rFont val="Arial Narrow"/>
        <family val="2"/>
      </rPr>
      <t>Short circuit protection for each condenser fan motor.</t>
    </r>
  </si>
  <si>
    <r>
      <t>·</t>
    </r>
    <r>
      <rPr>
        <sz val="7"/>
        <color rgb="FFFF0000"/>
        <rFont val="Times New Roman"/>
        <family val="1"/>
      </rPr>
      <t xml:space="preserve">         </t>
    </r>
    <r>
      <rPr>
        <sz val="11"/>
        <color rgb="FFFF0000"/>
        <rFont val="Arial Narrow"/>
        <family val="2"/>
      </rPr>
      <t>Earth boss PPH 60 and above.</t>
    </r>
  </si>
  <si>
    <r>
      <t>·</t>
    </r>
    <r>
      <rPr>
        <sz val="7"/>
        <color rgb="FFFF0000"/>
        <rFont val="Times New Roman"/>
        <family val="1"/>
      </rPr>
      <t xml:space="preserve">         </t>
    </r>
    <r>
      <rPr>
        <sz val="11"/>
        <color rgb="FFFF0000"/>
        <rFont val="Arial Narrow"/>
        <family val="2"/>
      </rPr>
      <t>Extended key pad.</t>
    </r>
  </si>
  <si>
    <r>
      <t>·</t>
    </r>
    <r>
      <rPr>
        <sz val="7"/>
        <color rgb="FFFF0000"/>
        <rFont val="Times New Roman"/>
        <family val="1"/>
      </rPr>
      <t xml:space="preserve">         </t>
    </r>
    <r>
      <rPr>
        <sz val="11"/>
        <color rgb="FFFF0000"/>
        <rFont val="Arial Narrow"/>
        <family val="2"/>
      </rPr>
      <t>High/Low pressure gauges.</t>
    </r>
  </si>
  <si>
    <r>
      <t>·</t>
    </r>
    <r>
      <rPr>
        <sz val="7"/>
        <color rgb="FFFF0000"/>
        <rFont val="Times New Roman"/>
        <family val="1"/>
      </rPr>
      <t xml:space="preserve">         </t>
    </r>
    <r>
      <rPr>
        <sz val="11"/>
        <color rgb="FFFF0000"/>
        <rFont val="Arial Narrow"/>
        <family val="2"/>
      </rPr>
      <t>Replaceable core filter drier (for compressors above 5HP).</t>
    </r>
  </si>
  <si>
    <r>
      <t>·</t>
    </r>
    <r>
      <rPr>
        <sz val="7"/>
        <color rgb="FFFF0000"/>
        <rFont val="Times New Roman"/>
        <family val="1"/>
      </rPr>
      <t xml:space="preserve">         </t>
    </r>
    <r>
      <rPr>
        <sz val="11"/>
        <color rgb="FFFF0000"/>
        <rFont val="Arial Narrow"/>
        <family val="2"/>
      </rPr>
      <t>Isolating valves before and after filter drier (for Compressors above 5 HP)</t>
    </r>
  </si>
  <si>
    <r>
      <t>·</t>
    </r>
    <r>
      <rPr>
        <sz val="7"/>
        <color rgb="FFFF0000"/>
        <rFont val="Times New Roman"/>
        <family val="1"/>
      </rPr>
      <t xml:space="preserve">         </t>
    </r>
    <r>
      <rPr>
        <sz val="11"/>
        <color rgb="FFFF0000"/>
        <rFont val="Arial Narrow"/>
        <family val="2"/>
      </rPr>
      <t>Sight glass (Moisture monitor).</t>
    </r>
  </si>
  <si>
    <r>
      <t>·</t>
    </r>
    <r>
      <rPr>
        <sz val="7"/>
        <color rgb="FFFF0000"/>
        <rFont val="Times New Roman"/>
        <family val="1"/>
      </rPr>
      <t xml:space="preserve">         </t>
    </r>
    <r>
      <rPr>
        <sz val="11"/>
        <color rgb="FFFF0000"/>
        <rFont val="Arial Narrow"/>
        <family val="2"/>
      </rPr>
      <t>Compressor suction &amp; discharge shutoff valve.</t>
    </r>
  </si>
  <si>
    <r>
      <t>·</t>
    </r>
    <r>
      <rPr>
        <sz val="7"/>
        <color rgb="FFFF0000"/>
        <rFont val="Times New Roman"/>
        <family val="1"/>
      </rPr>
      <t xml:space="preserve">         </t>
    </r>
    <r>
      <rPr>
        <sz val="11"/>
        <color rgb="FFFF0000"/>
        <rFont val="Arial Narrow"/>
        <family val="2"/>
      </rPr>
      <t>Extended lubricant line.</t>
    </r>
  </si>
  <si>
    <r>
      <t>·</t>
    </r>
    <r>
      <rPr>
        <sz val="7"/>
        <color theme="1"/>
        <rFont val="Times New Roman"/>
        <family val="1"/>
      </rPr>
      <t xml:space="preserve">         </t>
    </r>
    <r>
      <rPr>
        <sz val="11"/>
        <color theme="1"/>
        <rFont val="Arial Narrow"/>
        <family val="2"/>
      </rPr>
      <t xml:space="preserve">Units were selected at </t>
    </r>
    <r>
      <rPr>
        <b/>
        <sz val="11"/>
        <color theme="1"/>
        <rFont val="Arial Narrow"/>
        <family val="2"/>
      </rPr>
      <t>115 °F</t>
    </r>
    <r>
      <rPr>
        <sz val="11"/>
        <color theme="1"/>
        <rFont val="Arial Narrow"/>
        <family val="2"/>
      </rPr>
      <t xml:space="preserve"> ambient</t>
    </r>
  </si>
  <si>
    <r>
      <t>·</t>
    </r>
    <r>
      <rPr>
        <sz val="7"/>
        <color theme="1"/>
        <rFont val="Times New Roman"/>
        <family val="1"/>
      </rPr>
      <t xml:space="preserve">         </t>
    </r>
    <r>
      <rPr>
        <sz val="11"/>
        <color theme="1"/>
        <rFont val="Arial Narrow"/>
        <family val="2"/>
      </rPr>
      <t>Air on coil as per your schedules /// 75/62.5 °F DB/WB</t>
    </r>
  </si>
  <si>
    <r>
      <t>·</t>
    </r>
    <r>
      <rPr>
        <sz val="7"/>
        <color theme="1"/>
        <rFont val="Times New Roman"/>
        <family val="1"/>
      </rPr>
      <t xml:space="preserve">         </t>
    </r>
    <r>
      <rPr>
        <sz val="11"/>
        <color theme="1"/>
        <rFont val="Arial Narrow"/>
        <family val="2"/>
      </rPr>
      <t xml:space="preserve">Hermetic compressors running on </t>
    </r>
    <r>
      <rPr>
        <b/>
        <u/>
        <sz val="11"/>
        <color theme="1"/>
        <rFont val="Arial Narrow"/>
        <family val="2"/>
      </rPr>
      <t>R-410a</t>
    </r>
  </si>
  <si>
    <r>
      <t>·</t>
    </r>
    <r>
      <rPr>
        <sz val="7"/>
        <color theme="1"/>
        <rFont val="Times New Roman"/>
        <family val="1"/>
      </rPr>
      <t xml:space="preserve">         </t>
    </r>
    <r>
      <rPr>
        <sz val="11"/>
        <color theme="1"/>
        <rFont val="Arial Narrow"/>
        <family val="2"/>
      </rPr>
      <t>Zinc coated galvanized steel casing painted with electrostatic powder paint</t>
    </r>
  </si>
  <si>
    <r>
      <t>·</t>
    </r>
    <r>
      <rPr>
        <sz val="7"/>
        <color theme="1"/>
        <rFont val="Times New Roman"/>
        <family val="1"/>
      </rPr>
      <t xml:space="preserve">         </t>
    </r>
    <r>
      <rPr>
        <sz val="11"/>
        <color theme="1"/>
        <rFont val="Arial Narrow"/>
        <family val="2"/>
      </rPr>
      <t>Single skin (1 mm) construction for evaporator section with 1.0” thick insulation.</t>
    </r>
  </si>
  <si>
    <r>
      <t>·</t>
    </r>
    <r>
      <rPr>
        <sz val="7"/>
        <color theme="1"/>
        <rFont val="Times New Roman"/>
        <family val="1"/>
      </rPr>
      <t xml:space="preserve">         </t>
    </r>
    <r>
      <rPr>
        <sz val="11"/>
        <color theme="1"/>
        <rFont val="Arial Narrow"/>
        <family val="2"/>
      </rPr>
      <t>DWDI centrifugal fans.</t>
    </r>
  </si>
  <si>
    <r>
      <t>·</t>
    </r>
    <r>
      <rPr>
        <sz val="7"/>
        <color theme="1"/>
        <rFont val="Times New Roman"/>
        <family val="1"/>
      </rPr>
      <t xml:space="preserve">         </t>
    </r>
    <r>
      <rPr>
        <sz val="11"/>
        <color theme="1"/>
        <rFont val="Arial Narrow"/>
        <family val="2"/>
      </rPr>
      <t xml:space="preserve">Units are suitable for </t>
    </r>
    <r>
      <rPr>
        <b/>
        <u/>
        <sz val="11"/>
        <color theme="1"/>
        <rFont val="Arial Narrow"/>
        <family val="2"/>
      </rPr>
      <t>Package wall mounted</t>
    </r>
  </si>
  <si>
    <r>
      <t>·</t>
    </r>
    <r>
      <rPr>
        <sz val="7"/>
        <color theme="1"/>
        <rFont val="Times New Roman"/>
        <family val="1"/>
      </rPr>
      <t xml:space="preserve">         </t>
    </r>
    <r>
      <rPr>
        <sz val="11"/>
        <color theme="1"/>
        <rFont val="Arial Narrow"/>
        <family val="2"/>
      </rPr>
      <t xml:space="preserve">For more technical details, please refer to our </t>
    </r>
    <r>
      <rPr>
        <b/>
        <u/>
        <sz val="11"/>
        <color theme="1"/>
        <rFont val="Arial Narrow"/>
        <family val="2"/>
      </rPr>
      <t>PWM</t>
    </r>
    <r>
      <rPr>
        <sz val="11"/>
        <color theme="1"/>
        <rFont val="Arial Narrow"/>
        <family val="2"/>
      </rPr>
      <t xml:space="preserve"> catalogue</t>
    </r>
  </si>
  <si>
    <r>
      <t>·</t>
    </r>
    <r>
      <rPr>
        <sz val="7"/>
        <color theme="1"/>
        <rFont val="Times New Roman"/>
        <family val="1"/>
      </rPr>
      <t xml:space="preserve">         </t>
    </r>
    <r>
      <rPr>
        <sz val="11"/>
        <color theme="1"/>
        <rFont val="Arial Narrow"/>
        <family val="2"/>
      </rPr>
      <t>Fresh inlet damper wit Flat filter (Aluminum 1.0” thick, EU-2)</t>
    </r>
  </si>
  <si>
    <r>
      <t>·</t>
    </r>
    <r>
      <rPr>
        <sz val="7"/>
        <color theme="1"/>
        <rFont val="Times New Roman"/>
        <family val="1"/>
      </rPr>
      <t xml:space="preserve">         </t>
    </r>
    <r>
      <rPr>
        <sz val="11"/>
        <color theme="1"/>
        <rFont val="Arial Narrow"/>
        <family val="2"/>
      </rPr>
      <t>Flat filter (Pleated 2.0” thick, EU-2)</t>
    </r>
  </si>
  <si>
    <r>
      <t>·</t>
    </r>
    <r>
      <rPr>
        <sz val="7"/>
        <color theme="1"/>
        <rFont val="Times New Roman"/>
        <family val="1"/>
      </rPr>
      <t xml:space="preserve">         </t>
    </r>
    <r>
      <rPr>
        <sz val="11"/>
        <color theme="1"/>
        <rFont val="Arial Narrow"/>
        <family val="2"/>
      </rPr>
      <t>DX-cooling coil</t>
    </r>
  </si>
  <si>
    <r>
      <t>·</t>
    </r>
    <r>
      <rPr>
        <sz val="7"/>
        <color theme="1"/>
        <rFont val="Times New Roman"/>
        <family val="1"/>
      </rPr>
      <t xml:space="preserve">         </t>
    </r>
    <r>
      <rPr>
        <sz val="11"/>
        <color theme="1"/>
        <rFont val="Arial Narrow"/>
        <family val="2"/>
      </rPr>
      <t xml:space="preserve">Finned tube element electric heater with automatic cutout and contactor. </t>
    </r>
    <r>
      <rPr>
        <b/>
        <i/>
        <u/>
        <sz val="11"/>
        <color theme="1"/>
        <rFont val="Arial Narrow"/>
        <family val="2"/>
      </rPr>
      <t>(… Kw)</t>
    </r>
  </si>
  <si>
    <r>
      <t>·</t>
    </r>
    <r>
      <rPr>
        <sz val="7"/>
        <color theme="1"/>
        <rFont val="Times New Roman"/>
        <family val="1"/>
      </rPr>
      <t xml:space="preserve">         </t>
    </r>
    <r>
      <rPr>
        <sz val="11"/>
        <color rgb="FF000000"/>
        <rFont val="Arial Narrow"/>
        <family val="2"/>
      </rPr>
      <t xml:space="preserve">Steam humidifier </t>
    </r>
    <r>
      <rPr>
        <b/>
        <i/>
        <u/>
        <sz val="11"/>
        <color rgb="FF000000"/>
        <rFont val="Arial Narrow"/>
        <family val="2"/>
      </rPr>
      <t>(… Kg/hr)</t>
    </r>
    <r>
      <rPr>
        <sz val="11"/>
        <color rgb="FF000000"/>
        <rFont val="Arial Narrow"/>
        <family val="2"/>
      </rPr>
      <t xml:space="preserve"> </t>
    </r>
  </si>
  <si>
    <r>
      <t>·</t>
    </r>
    <r>
      <rPr>
        <sz val="7"/>
        <color rgb="FFFF0000"/>
        <rFont val="Times New Roman"/>
        <family val="1"/>
      </rPr>
      <t xml:space="preserve">         </t>
    </r>
    <r>
      <rPr>
        <b/>
        <u/>
        <sz val="11"/>
        <color rgb="FFFF0000"/>
        <rFont val="Arial Narrow"/>
        <family val="2"/>
      </rPr>
      <t>Additional features added to meet project specifications (PPH [PWM]):</t>
    </r>
  </si>
  <si>
    <r>
      <t>·</t>
    </r>
    <r>
      <rPr>
        <sz val="7"/>
        <color rgb="FFFF0000"/>
        <rFont val="Times New Roman"/>
        <family val="1"/>
      </rPr>
      <t xml:space="preserve">         </t>
    </r>
    <r>
      <rPr>
        <sz val="11"/>
        <color rgb="FFFF0000"/>
        <rFont val="Arial Narrow"/>
        <family val="2"/>
      </rPr>
      <t>Double skin 1.25/1.25 mm external/internal zinc coated galvanized steel panels painted with electrostatic powder paint for external panels with 1” insulation (for 5000 CFM and above).</t>
    </r>
  </si>
  <si>
    <r>
      <t>·</t>
    </r>
    <r>
      <rPr>
        <sz val="7"/>
        <color rgb="FFFF0000"/>
        <rFont val="Times New Roman"/>
        <family val="1"/>
      </rPr>
      <t xml:space="preserve">         </t>
    </r>
    <r>
      <rPr>
        <sz val="11"/>
        <color rgb="FFFF0000"/>
        <rFont val="Arial Narrow"/>
        <family val="2"/>
      </rPr>
      <t>Final filter Pleated MERV 13.</t>
    </r>
  </si>
  <si>
    <r>
      <t>·</t>
    </r>
    <r>
      <rPr>
        <sz val="7"/>
        <color rgb="FFFF0000"/>
        <rFont val="Times New Roman"/>
        <family val="1"/>
      </rPr>
      <t xml:space="preserve">         </t>
    </r>
    <r>
      <rPr>
        <sz val="11"/>
        <color rgb="FFFF0000"/>
        <rFont val="Arial Narrow"/>
        <family val="2"/>
      </rPr>
      <t>Insulated stainless steel 316L drain pan with threaded connection 1-1/4”</t>
    </r>
  </si>
  <si>
    <r>
      <t>·</t>
    </r>
    <r>
      <rPr>
        <sz val="7"/>
        <color rgb="FFFF0000"/>
        <rFont val="Times New Roman"/>
        <family val="1"/>
      </rPr>
      <t xml:space="preserve">         </t>
    </r>
    <r>
      <rPr>
        <sz val="11"/>
        <color rgb="FFFF0000"/>
        <rFont val="Arial Narrow"/>
        <family val="2"/>
      </rPr>
      <t>Variable frequency drive [VFD] for supply fan motor.</t>
    </r>
  </si>
  <si>
    <r>
      <t>·</t>
    </r>
    <r>
      <rPr>
        <sz val="7"/>
        <color rgb="FFFF0000"/>
        <rFont val="Times New Roman"/>
        <family val="1"/>
      </rPr>
      <t xml:space="preserve">         </t>
    </r>
    <r>
      <rPr>
        <sz val="11"/>
        <color rgb="FFFF0000"/>
        <rFont val="Arial Narrow"/>
        <family val="2"/>
      </rPr>
      <t>This units are precision type.</t>
    </r>
  </si>
  <si>
    <r>
      <t>·</t>
    </r>
    <r>
      <rPr>
        <sz val="7"/>
        <color rgb="FFFF0000"/>
        <rFont val="Times New Roman"/>
        <family val="1"/>
      </rPr>
      <t xml:space="preserve">         </t>
    </r>
    <r>
      <rPr>
        <sz val="11"/>
        <color rgb="FFFF0000"/>
        <rFont val="Arial Narrow"/>
        <family val="2"/>
      </rPr>
      <t>Steam humidifier supplied with humidity control electronic card &amp; humidistat.</t>
    </r>
  </si>
  <si>
    <r>
      <t>·</t>
    </r>
    <r>
      <rPr>
        <sz val="7"/>
        <color rgb="FFFF0000"/>
        <rFont val="Times New Roman"/>
        <family val="1"/>
      </rPr>
      <t xml:space="preserve">         </t>
    </r>
    <r>
      <rPr>
        <sz val="11"/>
        <color rgb="FFFF0000"/>
        <rFont val="Arial Narrow"/>
        <family val="2"/>
      </rPr>
      <t>Re-heating electrical heater with safety cutouts &amp; contactor.</t>
    </r>
  </si>
  <si>
    <r>
      <t>·</t>
    </r>
    <r>
      <rPr>
        <sz val="7"/>
        <color rgb="FFFF0000"/>
        <rFont val="Times New Roman"/>
        <family val="1"/>
      </rPr>
      <t xml:space="preserve">         </t>
    </r>
    <r>
      <rPr>
        <sz val="11"/>
        <color rgb="FFFF0000"/>
        <rFont val="Arial Narrow"/>
        <family val="2"/>
      </rPr>
      <t>Free terminals for BMS connection include:</t>
    </r>
  </si>
  <si>
    <r>
      <t>-</t>
    </r>
    <r>
      <rPr>
        <sz val="7"/>
        <color rgb="FFFF0000"/>
        <rFont val="Times New Roman"/>
        <family val="1"/>
      </rPr>
      <t xml:space="preserve">          </t>
    </r>
    <r>
      <rPr>
        <sz val="11"/>
        <color rgb="FFFF0000"/>
        <rFont val="Arial Narrow"/>
        <family val="2"/>
      </rPr>
      <t>General alarm.</t>
    </r>
  </si>
  <si>
    <r>
      <t>-</t>
    </r>
    <r>
      <rPr>
        <sz val="7"/>
        <color rgb="FFFF0000"/>
        <rFont val="Times New Roman"/>
        <family val="1"/>
      </rPr>
      <t xml:space="preserve">          </t>
    </r>
    <r>
      <rPr>
        <sz val="11"/>
        <color rgb="FFFF0000"/>
        <rFont val="Arial Narrow"/>
        <family val="2"/>
      </rPr>
      <t>On / off remote switch.</t>
    </r>
  </si>
  <si>
    <r>
      <t>·</t>
    </r>
    <r>
      <rPr>
        <sz val="7"/>
        <color rgb="FFFF0000"/>
        <rFont val="Times New Roman"/>
        <family val="1"/>
      </rPr>
      <t xml:space="preserve">         </t>
    </r>
    <r>
      <rPr>
        <sz val="11"/>
        <color rgb="FFFF0000"/>
        <rFont val="Arial Narrow"/>
        <family val="2"/>
      </rPr>
      <t>Automatic change over function between 1duty/1standby units.</t>
    </r>
  </si>
  <si>
    <r>
      <t>·</t>
    </r>
    <r>
      <rPr>
        <sz val="7"/>
        <color rgb="FFFF0000"/>
        <rFont val="Times New Roman"/>
        <family val="1"/>
      </rPr>
      <t xml:space="preserve">         </t>
    </r>
    <r>
      <rPr>
        <sz val="11"/>
        <color rgb="FFFF0000"/>
        <rFont val="Arial Narrow"/>
        <family val="2"/>
      </rPr>
      <t>The internal air recirculation filters shall have a pre-filter with a minimum of 25% dust spot efficiency (MERV 7) and a final filter with a minimum of 60% dust spot efficiency (MERV 11).</t>
    </r>
  </si>
  <si>
    <r>
      <t>·</t>
    </r>
    <r>
      <rPr>
        <sz val="7"/>
        <color rgb="FFFF0000"/>
        <rFont val="Times New Roman"/>
        <family val="1"/>
      </rPr>
      <t xml:space="preserve">         </t>
    </r>
    <r>
      <rPr>
        <sz val="11"/>
        <color rgb="FFFF0000"/>
        <rFont val="Arial Narrow"/>
        <family val="2"/>
      </rPr>
      <t>SCR (Silicon Controlled Rectifier) for electrical heater.</t>
    </r>
  </si>
  <si>
    <r>
      <t>·</t>
    </r>
    <r>
      <rPr>
        <sz val="7"/>
        <color rgb="FFFF0000"/>
        <rFont val="Times New Roman"/>
        <family val="1"/>
      </rPr>
      <t xml:space="preserve">         </t>
    </r>
    <r>
      <rPr>
        <sz val="11"/>
        <color rgb="FFFF0000"/>
        <rFont val="Arial Narrow"/>
        <family val="2"/>
      </rPr>
      <t>BACnet card capable to be connected to building management system (BMS).</t>
    </r>
  </si>
  <si>
    <r>
      <t>·</t>
    </r>
    <r>
      <rPr>
        <sz val="7"/>
        <color rgb="FFFF0000"/>
        <rFont val="Times New Roman"/>
        <family val="1"/>
      </rPr>
      <t xml:space="preserve">         </t>
    </r>
    <r>
      <rPr>
        <sz val="11"/>
        <color rgb="FFFF0000"/>
        <rFont val="Arial Narrow"/>
        <family val="2"/>
      </rPr>
      <t>Extended lubrication line for fan bearings.</t>
    </r>
  </si>
  <si>
    <r>
      <t>·</t>
    </r>
    <r>
      <rPr>
        <sz val="7"/>
        <color theme="1"/>
        <rFont val="Times New Roman"/>
        <family val="1"/>
      </rPr>
      <t xml:space="preserve">         </t>
    </r>
    <r>
      <rPr>
        <sz val="11"/>
        <color theme="1"/>
        <rFont val="Arial Narrow"/>
        <family val="2"/>
      </rPr>
      <t>Dial manometer for filter</t>
    </r>
  </si>
  <si>
    <r>
      <t>·</t>
    </r>
    <r>
      <rPr>
        <sz val="7"/>
        <color theme="1"/>
        <rFont val="Times New Roman"/>
        <family val="1"/>
      </rPr>
      <t xml:space="preserve">         </t>
    </r>
    <r>
      <rPr>
        <sz val="11"/>
        <color theme="1"/>
        <rFont val="Arial Narrow"/>
        <family val="2"/>
      </rPr>
      <t>Replaceable filter drier (for compressors above 5HP)</t>
    </r>
  </si>
  <si>
    <r>
      <t>·</t>
    </r>
    <r>
      <rPr>
        <sz val="7"/>
        <color theme="1"/>
        <rFont val="Times New Roman"/>
        <family val="1"/>
      </rPr>
      <t xml:space="preserve">         </t>
    </r>
    <r>
      <rPr>
        <sz val="11"/>
        <color theme="1"/>
        <rFont val="Arial Narrow"/>
        <family val="2"/>
      </rPr>
      <t>Isolating valves before and after filter drier (for compressors above 5HP)</t>
    </r>
  </si>
  <si>
    <r>
      <t>·</t>
    </r>
    <r>
      <rPr>
        <sz val="7"/>
        <color theme="1"/>
        <rFont val="Times New Roman"/>
        <family val="1"/>
      </rPr>
      <t xml:space="preserve">         </t>
    </r>
    <r>
      <rPr>
        <sz val="11"/>
        <color theme="1"/>
        <rFont val="Arial Narrow"/>
        <family val="2"/>
      </rPr>
      <t>Access doors</t>
    </r>
  </si>
  <si>
    <r>
      <t>·</t>
    </r>
    <r>
      <rPr>
        <sz val="7"/>
        <color theme="1"/>
        <rFont val="Times New Roman"/>
        <family val="1"/>
      </rPr>
      <t xml:space="preserve">         </t>
    </r>
    <r>
      <rPr>
        <sz val="11"/>
        <color theme="1"/>
        <rFont val="Arial Narrow"/>
        <family val="2"/>
      </rPr>
      <t>Fan Belt guard</t>
    </r>
  </si>
  <si>
    <r>
      <t>·</t>
    </r>
    <r>
      <rPr>
        <sz val="7"/>
        <color theme="1"/>
        <rFont val="Times New Roman"/>
        <family val="1"/>
      </rPr>
      <t xml:space="preserve">         </t>
    </r>
    <r>
      <rPr>
        <sz val="11"/>
        <color theme="1"/>
        <rFont val="Arial Narrow"/>
        <family val="2"/>
      </rPr>
      <t>Bulkhead light for fan section</t>
    </r>
  </si>
  <si>
    <r>
      <t>·</t>
    </r>
    <r>
      <rPr>
        <sz val="7"/>
        <color theme="1"/>
        <rFont val="Times New Roman"/>
        <family val="1"/>
      </rPr>
      <t xml:space="preserve">         </t>
    </r>
    <r>
      <rPr>
        <sz val="11"/>
        <color theme="1"/>
        <rFont val="Arial Narrow"/>
        <family val="2"/>
      </rPr>
      <t>Inspection window on access door</t>
    </r>
  </si>
  <si>
    <r>
      <t>-</t>
    </r>
    <r>
      <rPr>
        <sz val="7"/>
        <color theme="1"/>
        <rFont val="Times New Roman"/>
        <family val="1"/>
      </rPr>
      <t xml:space="preserve">          </t>
    </r>
    <r>
      <rPr>
        <b/>
        <i/>
        <u/>
        <sz val="11"/>
        <color theme="1"/>
        <rFont val="Arial Narrow"/>
        <family val="2"/>
      </rPr>
      <t>Air Cooled Condensing Unit [DSP]:</t>
    </r>
  </si>
  <si>
    <r>
      <t>·</t>
    </r>
    <r>
      <rPr>
        <sz val="7"/>
        <color theme="1"/>
        <rFont val="Times New Roman"/>
        <family val="1"/>
      </rPr>
      <t xml:space="preserve">         </t>
    </r>
    <r>
      <rPr>
        <sz val="11"/>
        <color theme="1"/>
        <rFont val="Arial Narrow"/>
        <family val="2"/>
      </rPr>
      <t xml:space="preserve">Hermetic compressors suitable for </t>
    </r>
    <r>
      <rPr>
        <b/>
        <sz val="11"/>
        <color theme="1"/>
        <rFont val="Arial Narrow"/>
        <family val="2"/>
      </rPr>
      <t>R410a.</t>
    </r>
  </si>
  <si>
    <r>
      <t>·</t>
    </r>
    <r>
      <rPr>
        <sz val="7"/>
        <color theme="1"/>
        <rFont val="Times New Roman"/>
        <family val="1"/>
      </rPr>
      <t xml:space="preserve">         </t>
    </r>
    <r>
      <rPr>
        <sz val="11"/>
        <color theme="1"/>
        <rFont val="Arial Narrow"/>
        <family val="2"/>
      </rPr>
      <t>Copper tubes &amp; aluminum fins condenser coil.</t>
    </r>
  </si>
  <si>
    <r>
      <t>·</t>
    </r>
    <r>
      <rPr>
        <sz val="7"/>
        <color theme="1"/>
        <rFont val="Times New Roman"/>
        <family val="1"/>
      </rPr>
      <t xml:space="preserve">         </t>
    </r>
    <r>
      <rPr>
        <sz val="11"/>
        <color theme="1"/>
        <rFont val="Arial Narrow"/>
        <family val="2"/>
      </rPr>
      <t xml:space="preserve">Units are suitable for </t>
    </r>
    <r>
      <rPr>
        <b/>
        <u/>
        <sz val="11"/>
        <color theme="1"/>
        <rFont val="Arial Narrow"/>
        <family val="2"/>
      </rPr>
      <t>480V/3Ph/60Hz</t>
    </r>
    <r>
      <rPr>
        <sz val="11"/>
        <color theme="1"/>
        <rFont val="Arial Narrow"/>
        <family val="2"/>
      </rPr>
      <t xml:space="preserve"> power supply.</t>
    </r>
  </si>
  <si>
    <r>
      <t>·</t>
    </r>
    <r>
      <rPr>
        <sz val="7"/>
        <color theme="1"/>
        <rFont val="Times New Roman"/>
        <family val="1"/>
      </rPr>
      <t xml:space="preserve">         </t>
    </r>
    <r>
      <rPr>
        <sz val="11"/>
        <color theme="1"/>
        <rFont val="Arial Narrow"/>
        <family val="2"/>
      </rPr>
      <t>The units are nitrogen charged.</t>
    </r>
  </si>
  <si>
    <r>
      <t>·</t>
    </r>
    <r>
      <rPr>
        <sz val="7"/>
        <color theme="1"/>
        <rFont val="Times New Roman"/>
        <family val="1"/>
      </rPr>
      <t xml:space="preserve">         </t>
    </r>
    <r>
      <rPr>
        <sz val="11"/>
        <color theme="1"/>
        <rFont val="Arial Narrow"/>
        <family val="2"/>
      </rPr>
      <t xml:space="preserve">For more technical details, please refer to our </t>
    </r>
    <r>
      <rPr>
        <b/>
        <sz val="11"/>
        <color theme="1"/>
        <rFont val="Arial Narrow"/>
        <family val="2"/>
      </rPr>
      <t xml:space="preserve">DSP4 catalog. </t>
    </r>
  </si>
  <si>
    <r>
      <t>·</t>
    </r>
    <r>
      <rPr>
        <sz val="7"/>
        <color rgb="FFFF0000"/>
        <rFont val="Times New Roman"/>
        <family val="1"/>
      </rPr>
      <t xml:space="preserve">         </t>
    </r>
    <r>
      <rPr>
        <b/>
        <u/>
        <sz val="11"/>
        <color rgb="FFFF0000"/>
        <rFont val="Arial Narrow"/>
        <family val="2"/>
      </rPr>
      <t>Additional features added to meet project specifications (DSP):</t>
    </r>
  </si>
  <si>
    <r>
      <t>·</t>
    </r>
    <r>
      <rPr>
        <sz val="7"/>
        <color rgb="FFFF0000"/>
        <rFont val="Times New Roman"/>
        <family val="1"/>
      </rPr>
      <t xml:space="preserve">         </t>
    </r>
    <r>
      <rPr>
        <sz val="11"/>
        <color rgb="FFFF0000"/>
        <rFont val="Arial Narrow"/>
        <family val="2"/>
      </rPr>
      <t>Earth boss DSP 60 and above.</t>
    </r>
  </si>
  <si>
    <r>
      <t>-</t>
    </r>
    <r>
      <rPr>
        <sz val="7"/>
        <color theme="1"/>
        <rFont val="Times New Roman"/>
        <family val="1"/>
      </rPr>
      <t xml:space="preserve">          </t>
    </r>
    <r>
      <rPr>
        <b/>
        <i/>
        <u/>
        <sz val="11"/>
        <color theme="1"/>
        <rFont val="Arial Narrow"/>
        <family val="2"/>
      </rPr>
      <t>Air Handling Unit [PAH]:</t>
    </r>
  </si>
  <si>
    <r>
      <t>·</t>
    </r>
    <r>
      <rPr>
        <sz val="7"/>
        <color theme="1"/>
        <rFont val="Times New Roman"/>
        <family val="1"/>
      </rPr>
      <t xml:space="preserve">         </t>
    </r>
    <r>
      <rPr>
        <sz val="11"/>
        <color theme="1"/>
        <rFont val="Arial Narrow"/>
        <family val="2"/>
      </rPr>
      <t>Centrifugal fans with rubber pad isolators under fan/motor assembly.</t>
    </r>
  </si>
  <si>
    <r>
      <t>·</t>
    </r>
    <r>
      <rPr>
        <sz val="7"/>
        <color rgb="FFFF0000"/>
        <rFont val="Times New Roman"/>
        <family val="1"/>
      </rPr>
      <t xml:space="preserve">         </t>
    </r>
    <r>
      <rPr>
        <sz val="11"/>
        <color rgb="FFFF0000"/>
        <rFont val="Arial Narrow"/>
        <family val="2"/>
      </rPr>
      <t>Finned tube element electric heater with automatic cutout and contactor</t>
    </r>
  </si>
  <si>
    <r>
      <t>-</t>
    </r>
    <r>
      <rPr>
        <sz val="7"/>
        <color theme="1"/>
        <rFont val="Times New Roman"/>
        <family val="1"/>
      </rPr>
      <t xml:space="preserve">          </t>
    </r>
    <r>
      <rPr>
        <b/>
        <i/>
        <u/>
        <sz val="11"/>
        <color theme="1"/>
        <rFont val="Arial Narrow"/>
        <family val="2"/>
      </rPr>
      <t>Air Handling Unit [CM]:</t>
    </r>
  </si>
  <si>
    <r>
      <t>·</t>
    </r>
    <r>
      <rPr>
        <sz val="7"/>
        <color rgb="FFFF0000"/>
        <rFont val="Times New Roman"/>
        <family val="1"/>
      </rPr>
      <t xml:space="preserve">         </t>
    </r>
    <r>
      <rPr>
        <sz val="11"/>
        <color rgb="FFFF0000"/>
        <rFont val="Arial Narrow"/>
        <family val="2"/>
      </rPr>
      <t>Double wall insulated stainless steel 316L drain pan with threaded connection 1-1/4”</t>
    </r>
  </si>
  <si>
    <r>
      <t>·</t>
    </r>
    <r>
      <rPr>
        <sz val="7"/>
        <color theme="1"/>
        <rFont val="Times New Roman"/>
        <family val="1"/>
      </rPr>
      <t xml:space="preserve">         </t>
    </r>
    <r>
      <rPr>
        <sz val="11"/>
        <color theme="1"/>
        <rFont val="Arial Narrow"/>
        <family val="2"/>
      </rPr>
      <t xml:space="preserve">Double skin construction with 25mm thick fiberglass insulation </t>
    </r>
  </si>
  <si>
    <r>
      <t>·</t>
    </r>
    <r>
      <rPr>
        <sz val="7"/>
        <color theme="1"/>
        <rFont val="Times New Roman"/>
        <family val="1"/>
      </rPr>
      <t xml:space="preserve">         </t>
    </r>
    <r>
      <rPr>
        <sz val="11"/>
        <color theme="1"/>
        <rFont val="Arial Narrow"/>
        <family val="2"/>
      </rPr>
      <t>Cabinet construction (indoor installation)</t>
    </r>
  </si>
  <si>
    <r>
      <t>·</t>
    </r>
    <r>
      <rPr>
        <sz val="7"/>
        <color theme="1"/>
        <rFont val="Times New Roman"/>
        <family val="1"/>
      </rPr>
      <t xml:space="preserve">         </t>
    </r>
    <r>
      <rPr>
        <sz val="11"/>
        <color theme="1"/>
        <rFont val="Arial Narrow"/>
        <family val="2"/>
      </rPr>
      <t>Formed zinc coated galvanized steel (Gauge 20 casing) painted internally and externally with electrostatic powder paint, oven baked</t>
    </r>
  </si>
  <si>
    <r>
      <t>·</t>
    </r>
    <r>
      <rPr>
        <sz val="7"/>
        <color theme="1"/>
        <rFont val="Times New Roman"/>
        <family val="1"/>
      </rPr>
      <t xml:space="preserve">         </t>
    </r>
    <r>
      <rPr>
        <sz val="11"/>
        <color theme="1"/>
        <rFont val="Arial Narrow"/>
        <family val="2"/>
      </rPr>
      <t>Down flow unit (down or side air discharge)</t>
    </r>
  </si>
  <si>
    <r>
      <t>·</t>
    </r>
    <r>
      <rPr>
        <sz val="7"/>
        <color theme="1"/>
        <rFont val="Times New Roman"/>
        <family val="1"/>
      </rPr>
      <t xml:space="preserve">         </t>
    </r>
    <r>
      <rPr>
        <sz val="11"/>
        <color theme="1"/>
        <rFont val="Arial Narrow"/>
        <family val="2"/>
      </rPr>
      <t xml:space="preserve">Hermetic scroll compressors running on </t>
    </r>
    <r>
      <rPr>
        <b/>
        <sz val="11"/>
        <color theme="1"/>
        <rFont val="Arial Narrow"/>
        <family val="2"/>
      </rPr>
      <t>R410a</t>
    </r>
    <r>
      <rPr>
        <sz val="11"/>
        <color theme="1"/>
        <rFont val="Arial Narrow"/>
        <family val="2"/>
      </rPr>
      <t xml:space="preserve"> refrigerant</t>
    </r>
  </si>
  <si>
    <r>
      <t>·</t>
    </r>
    <r>
      <rPr>
        <sz val="7"/>
        <color theme="1"/>
        <rFont val="Times New Roman"/>
        <family val="1"/>
      </rPr>
      <t xml:space="preserve">         </t>
    </r>
    <r>
      <rPr>
        <sz val="11"/>
        <color theme="1"/>
        <rFont val="Arial Narrow"/>
        <family val="2"/>
      </rPr>
      <t>Microprocessor controller with LCD screen for each unit</t>
    </r>
  </si>
  <si>
    <r>
      <t>·</t>
    </r>
    <r>
      <rPr>
        <sz val="7"/>
        <color theme="1"/>
        <rFont val="Times New Roman"/>
        <family val="1"/>
      </rPr>
      <t xml:space="preserve">         </t>
    </r>
    <r>
      <rPr>
        <sz val="11"/>
        <color theme="1"/>
        <rFont val="Arial Narrow"/>
        <family val="2"/>
      </rPr>
      <t xml:space="preserve">Steam humidifier supplied with humidity control electronic card &amp; humidistat </t>
    </r>
  </si>
  <si>
    <r>
      <t>·</t>
    </r>
    <r>
      <rPr>
        <sz val="7"/>
        <color theme="1"/>
        <rFont val="Times New Roman"/>
        <family val="1"/>
      </rPr>
      <t xml:space="preserve">         </t>
    </r>
    <r>
      <rPr>
        <sz val="11"/>
        <color theme="1"/>
        <rFont val="Arial Narrow"/>
        <family val="2"/>
      </rPr>
      <t>Re-heating electrical heater with safety cutouts &amp; contactor</t>
    </r>
  </si>
  <si>
    <r>
      <t>·</t>
    </r>
    <r>
      <rPr>
        <sz val="7"/>
        <color theme="1"/>
        <rFont val="Times New Roman"/>
        <family val="1"/>
      </rPr>
      <t xml:space="preserve">         </t>
    </r>
    <r>
      <rPr>
        <sz val="11"/>
        <color theme="1"/>
        <rFont val="Arial Narrow"/>
        <family val="2"/>
      </rPr>
      <t>Air flow switch</t>
    </r>
  </si>
  <si>
    <r>
      <t>·</t>
    </r>
    <r>
      <rPr>
        <sz val="7"/>
        <color theme="1"/>
        <rFont val="Times New Roman"/>
        <family val="1"/>
      </rPr>
      <t xml:space="preserve">         </t>
    </r>
    <r>
      <rPr>
        <sz val="11"/>
        <color theme="1"/>
        <rFont val="Arial Narrow"/>
        <family val="2"/>
      </rPr>
      <t>Differential pressure switch</t>
    </r>
  </si>
  <si>
    <r>
      <t>·</t>
    </r>
    <r>
      <rPr>
        <sz val="7"/>
        <color theme="1"/>
        <rFont val="Times New Roman"/>
        <family val="1"/>
      </rPr>
      <t xml:space="preserve">         </t>
    </r>
    <r>
      <rPr>
        <sz val="11"/>
        <color theme="1"/>
        <rFont val="Arial Narrow"/>
        <family val="2"/>
      </rPr>
      <t>Copper tubes &amp; aluminum fins evaporator coil</t>
    </r>
  </si>
  <si>
    <r>
      <t>·</t>
    </r>
    <r>
      <rPr>
        <sz val="7"/>
        <color theme="1"/>
        <rFont val="Times New Roman"/>
        <family val="1"/>
      </rPr>
      <t xml:space="preserve">         </t>
    </r>
    <r>
      <rPr>
        <sz val="11"/>
        <color theme="1"/>
        <rFont val="Arial Narrow"/>
        <family val="2"/>
      </rPr>
      <t>Moisture sight glass indicator</t>
    </r>
  </si>
  <si>
    <r>
      <t>·</t>
    </r>
    <r>
      <rPr>
        <sz val="7"/>
        <color theme="1"/>
        <rFont val="Times New Roman"/>
        <family val="1"/>
      </rPr>
      <t xml:space="preserve">         </t>
    </r>
    <r>
      <rPr>
        <sz val="11"/>
        <color theme="1"/>
        <rFont val="Arial Narrow"/>
        <family val="2"/>
      </rPr>
      <t>Liquid line shut off valve &amp; Solenoid valve</t>
    </r>
  </si>
  <si>
    <r>
      <t>·</t>
    </r>
    <r>
      <rPr>
        <sz val="7"/>
        <color theme="1"/>
        <rFont val="Times New Roman"/>
        <family val="1"/>
      </rPr>
      <t xml:space="preserve">         </t>
    </r>
    <r>
      <rPr>
        <sz val="11"/>
        <color theme="1"/>
        <rFont val="Arial Narrow"/>
        <family val="2"/>
      </rPr>
      <t>Low Ambient control</t>
    </r>
  </si>
  <si>
    <r>
      <t>·</t>
    </r>
    <r>
      <rPr>
        <sz val="7"/>
        <color theme="1"/>
        <rFont val="Times New Roman"/>
        <family val="1"/>
      </rPr>
      <t xml:space="preserve">         </t>
    </r>
    <r>
      <rPr>
        <sz val="11"/>
        <color theme="1"/>
        <rFont val="Arial Narrow"/>
        <family val="2"/>
      </rPr>
      <t xml:space="preserve">Insulated stainless steel drain pan </t>
    </r>
  </si>
  <si>
    <r>
      <t>·</t>
    </r>
    <r>
      <rPr>
        <sz val="7"/>
        <color theme="1"/>
        <rFont val="Times New Roman"/>
        <family val="1"/>
      </rPr>
      <t xml:space="preserve">         </t>
    </r>
    <r>
      <rPr>
        <sz val="11"/>
        <color theme="1"/>
        <rFont val="Arial Narrow"/>
        <family val="2"/>
      </rPr>
      <t xml:space="preserve">2.0-Inch-thick </t>
    </r>
    <r>
      <rPr>
        <b/>
        <sz val="11"/>
        <color theme="1"/>
        <rFont val="Arial Narrow"/>
        <family val="2"/>
      </rPr>
      <t>Pleated</t>
    </r>
    <r>
      <rPr>
        <sz val="11"/>
        <color theme="1"/>
        <rFont val="Arial Narrow"/>
        <family val="2"/>
      </rPr>
      <t xml:space="preserve"> flat filter </t>
    </r>
    <r>
      <rPr>
        <b/>
        <sz val="11"/>
        <color theme="1"/>
        <rFont val="Arial Narrow"/>
        <family val="2"/>
      </rPr>
      <t>(MERV-8)</t>
    </r>
    <r>
      <rPr>
        <sz val="11"/>
        <color theme="1"/>
        <rFont val="Arial Narrow"/>
        <family val="2"/>
      </rPr>
      <t xml:space="preserve"> </t>
    </r>
  </si>
  <si>
    <r>
      <t>·</t>
    </r>
    <r>
      <rPr>
        <sz val="7"/>
        <color theme="1"/>
        <rFont val="Times New Roman"/>
        <family val="1"/>
      </rPr>
      <t xml:space="preserve">         </t>
    </r>
    <r>
      <rPr>
        <sz val="11"/>
        <color theme="1"/>
        <rFont val="Arial Narrow"/>
        <family val="2"/>
      </rPr>
      <t xml:space="preserve">Forward curved centrifugal EC evaporator fan with galvanized steel blades </t>
    </r>
  </si>
  <si>
    <r>
      <t>·</t>
    </r>
    <r>
      <rPr>
        <sz val="7"/>
        <color theme="1"/>
        <rFont val="Times New Roman"/>
        <family val="1"/>
      </rPr>
      <t xml:space="preserve">         </t>
    </r>
    <r>
      <rPr>
        <sz val="11"/>
        <color theme="1"/>
        <rFont val="Arial Narrow"/>
        <family val="2"/>
      </rPr>
      <t xml:space="preserve">Power supply: </t>
    </r>
    <r>
      <rPr>
        <b/>
        <u/>
        <sz val="11"/>
        <color theme="1"/>
        <rFont val="Arial Narrow"/>
        <family val="2"/>
      </rPr>
      <t>380V/3Ph/60Hz</t>
    </r>
  </si>
  <si>
    <r>
      <t>·</t>
    </r>
    <r>
      <rPr>
        <sz val="7"/>
        <color theme="1"/>
        <rFont val="Times New Roman"/>
        <family val="1"/>
      </rPr>
      <t xml:space="preserve">         </t>
    </r>
    <r>
      <rPr>
        <sz val="11"/>
        <color theme="1"/>
        <rFont val="Arial Narrow"/>
        <family val="2"/>
      </rPr>
      <t xml:space="preserve">For more technical details, please refer to our </t>
    </r>
    <r>
      <rPr>
        <b/>
        <sz val="11"/>
        <color theme="1"/>
        <rFont val="Arial Narrow"/>
        <family val="2"/>
      </rPr>
      <t>PASC4</t>
    </r>
    <r>
      <rPr>
        <sz val="11"/>
        <color theme="1"/>
        <rFont val="Arial Narrow"/>
        <family val="2"/>
      </rPr>
      <t xml:space="preserve"> catalogue &amp; to our studies department</t>
    </r>
  </si>
  <si>
    <r>
      <t>·</t>
    </r>
    <r>
      <rPr>
        <sz val="7"/>
        <color rgb="FFFF0000"/>
        <rFont val="Times New Roman"/>
        <family val="1"/>
      </rPr>
      <t xml:space="preserve">         </t>
    </r>
    <r>
      <rPr>
        <b/>
        <u/>
        <sz val="11"/>
        <color rgb="FFFF0000"/>
        <rFont val="Arial Narrow"/>
        <family val="2"/>
      </rPr>
      <t>Additional features added to meet project specifications (PASC):</t>
    </r>
  </si>
  <si>
    <r>
      <t>-</t>
    </r>
    <r>
      <rPr>
        <sz val="7"/>
        <color theme="1"/>
        <rFont val="Times New Roman"/>
        <family val="1"/>
      </rPr>
      <t xml:space="preserve">          </t>
    </r>
    <r>
      <rPr>
        <b/>
        <u/>
        <sz val="11"/>
        <color theme="1"/>
        <rFont val="Arial Narrow"/>
        <family val="2"/>
      </rPr>
      <t>Unit Specifications:</t>
    </r>
  </si>
  <si>
    <r>
      <t>·</t>
    </r>
    <r>
      <rPr>
        <sz val="7"/>
        <color rgb="FFFF0000"/>
        <rFont val="Times New Roman"/>
        <family val="1"/>
      </rPr>
      <t xml:space="preserve">         </t>
    </r>
    <r>
      <rPr>
        <b/>
        <u/>
        <sz val="11"/>
        <color rgb="FFFF0000"/>
        <rFont val="Arial Narrow"/>
        <family val="2"/>
      </rPr>
      <t>Additional features added to meet project specifications (CRAH):</t>
    </r>
  </si>
  <si>
    <r>
      <t>·</t>
    </r>
    <r>
      <rPr>
        <sz val="7"/>
        <color theme="1"/>
        <rFont val="Times New Roman"/>
        <family val="1"/>
      </rPr>
      <t xml:space="preserve">         </t>
    </r>
    <r>
      <rPr>
        <sz val="11"/>
        <color theme="1"/>
        <rFont val="Arial Narrow"/>
        <family val="2"/>
      </rPr>
      <t>Enough charge for condensing unit and evaporating unit with 5 meters pipe kit.</t>
    </r>
  </si>
  <si>
    <r>
      <t>·</t>
    </r>
    <r>
      <rPr>
        <sz val="7"/>
        <color theme="1"/>
        <rFont val="Times New Roman"/>
        <family val="1"/>
      </rPr>
      <t xml:space="preserve">         </t>
    </r>
    <r>
      <rPr>
        <sz val="11"/>
        <color theme="1"/>
        <rFont val="Arial Narrow"/>
        <family val="2"/>
      </rPr>
      <t>Units are supplied with enough refrigerant and oil to charge the condensing unit, evaporating unit, and 5 meters of pipe.</t>
    </r>
  </si>
  <si>
    <r>
      <t>·</t>
    </r>
    <r>
      <rPr>
        <sz val="7"/>
        <color theme="1"/>
        <rFont val="Times New Roman"/>
        <family val="1"/>
      </rPr>
      <t xml:space="preserve">         </t>
    </r>
    <r>
      <rPr>
        <sz val="11"/>
        <color theme="1"/>
        <rFont val="Arial Narrow"/>
        <family val="2"/>
      </rPr>
      <t>The pipe kit is not included in the offer.</t>
    </r>
  </si>
  <si>
    <r>
      <t>·</t>
    </r>
    <r>
      <rPr>
        <sz val="7"/>
        <color theme="1"/>
        <rFont val="Times New Roman"/>
        <family val="1"/>
      </rPr>
      <t xml:space="preserve">         </t>
    </r>
    <r>
      <rPr>
        <sz val="11"/>
        <color theme="1"/>
        <rFont val="Arial Narrow"/>
        <family val="2"/>
      </rPr>
      <t>Any additional refrigerant and/or oil charges required for longer pipe kits will be quoted separately</t>
    </r>
  </si>
  <si>
    <r>
      <t>·</t>
    </r>
    <r>
      <rPr>
        <sz val="7"/>
        <color theme="1"/>
        <rFont val="Times New Roman"/>
        <family val="1"/>
      </rPr>
      <t xml:space="preserve">         </t>
    </r>
    <r>
      <rPr>
        <sz val="11"/>
        <color theme="1"/>
        <rFont val="Arial Narrow"/>
        <family val="2"/>
      </rPr>
      <t xml:space="preserve">For more technical details, please refer to our </t>
    </r>
    <r>
      <rPr>
        <b/>
        <sz val="11"/>
        <color theme="1"/>
        <rFont val="Arial Narrow"/>
        <family val="2"/>
      </rPr>
      <t xml:space="preserve">Ducted Split Unit </t>
    </r>
    <r>
      <rPr>
        <sz val="11"/>
        <color theme="1"/>
        <rFont val="Arial Narrow"/>
        <family val="2"/>
      </rPr>
      <t>catalogue.</t>
    </r>
    <r>
      <rPr>
        <b/>
        <sz val="11"/>
        <color theme="1"/>
        <rFont val="Arial Narrow"/>
        <family val="2"/>
      </rPr>
      <t xml:space="preserve"> </t>
    </r>
  </si>
  <si>
    <r>
      <t>·</t>
    </r>
    <r>
      <rPr>
        <sz val="7"/>
        <color theme="1"/>
        <rFont val="Times New Roman"/>
        <family val="1"/>
      </rPr>
      <t xml:space="preserve">         </t>
    </r>
    <r>
      <rPr>
        <sz val="11"/>
        <color theme="1"/>
        <rFont val="Arial Narrow"/>
        <family val="2"/>
      </rPr>
      <t xml:space="preserve">Finned tube element electric heater with automatic cutout and contactor for each stage. </t>
    </r>
  </si>
  <si>
    <r>
      <t>·</t>
    </r>
    <r>
      <rPr>
        <sz val="7"/>
        <color rgb="FFFF0000"/>
        <rFont val="Times New Roman"/>
        <family val="1"/>
      </rPr>
      <t xml:space="preserve">         </t>
    </r>
    <r>
      <rPr>
        <b/>
        <u/>
        <sz val="11"/>
        <color rgb="FFFF0000"/>
        <rFont val="Arial Narrow"/>
        <family val="2"/>
      </rPr>
      <t>Additional features added to meet project specifications (PETRA + PDU):</t>
    </r>
  </si>
  <si>
    <r>
      <t>·</t>
    </r>
    <r>
      <rPr>
        <sz val="7"/>
        <color rgb="FFFF0000"/>
        <rFont val="Times New Roman"/>
        <family val="1"/>
      </rPr>
      <t xml:space="preserve">         </t>
    </r>
    <r>
      <rPr>
        <sz val="11"/>
        <color rgb="FFFF0000"/>
        <rFont val="Arial Narrow"/>
        <family val="2"/>
      </rPr>
      <t>Copper tubes &amp; aluminum fins condenser coil.</t>
    </r>
  </si>
  <si>
    <t>AIR COOLED SCREW CHILLER</t>
  </si>
  <si>
    <t xml:space="preserve">Project: </t>
  </si>
  <si>
    <t>Schnieder - DC 250 MW project in KSA -Chillers</t>
  </si>
  <si>
    <t>Technical Summary Sheet</t>
  </si>
  <si>
    <t xml:space="preserve">Date: </t>
  </si>
  <si>
    <t>AIR COOLED SCREW CHILLER SUMMARY SHEET</t>
  </si>
  <si>
    <t>Technical Selection Sheet</t>
  </si>
  <si>
    <t>220-3-60</t>
  </si>
  <si>
    <t xml:space="preserve">Ref: </t>
  </si>
  <si>
    <t>Chiller-1</t>
  </si>
  <si>
    <t>Model :</t>
  </si>
  <si>
    <t xml:space="preserve">Qty  : </t>
  </si>
  <si>
    <t>Input Data:</t>
  </si>
  <si>
    <t>Compressor Data:</t>
  </si>
  <si>
    <t>Cir 1</t>
  </si>
  <si>
    <t>Cir 2</t>
  </si>
  <si>
    <t>Cir 3</t>
  </si>
  <si>
    <t>Power Supply:</t>
  </si>
  <si>
    <t>380-3-60</t>
  </si>
  <si>
    <t>[V-PH-Hz]</t>
  </si>
  <si>
    <t>Compressor Type:</t>
  </si>
  <si>
    <t>Semi Hermetic Twin Screw</t>
  </si>
  <si>
    <t>Refrigerant:</t>
  </si>
  <si>
    <t>R-1234ze</t>
  </si>
  <si>
    <t>Compressor(s) Quantity:</t>
  </si>
  <si>
    <t>Fluid:</t>
  </si>
  <si>
    <t>Compressor(s) HP:</t>
  </si>
  <si>
    <t>[HP]</t>
  </si>
  <si>
    <t>Elevation:</t>
  </si>
  <si>
    <t>[m]</t>
  </si>
  <si>
    <t>Comp. Cooling Capacity / Cir:</t>
  </si>
  <si>
    <t>[Kw]</t>
  </si>
  <si>
    <t>Ambient Temp.:</t>
  </si>
  <si>
    <t>[°C]</t>
  </si>
  <si>
    <t>Comp Absorbed Power / Cir:</t>
  </si>
  <si>
    <t>Cooler W/In:</t>
  </si>
  <si>
    <t>Comp. Absorbed Current / Cir:</t>
  </si>
  <si>
    <t>[A]</t>
  </si>
  <si>
    <t>Cooler W/Out:</t>
  </si>
  <si>
    <t>Comp. Full Load Current / Cir:</t>
  </si>
  <si>
    <t>Fouling Factor:</t>
  </si>
  <si>
    <t>[m²°C/W]</t>
  </si>
  <si>
    <t>Superheating/Subcooling:</t>
  </si>
  <si>
    <t>Relative Humidity:</t>
  </si>
  <si>
    <t>[%]</t>
  </si>
  <si>
    <t>Compressor(s) COP:</t>
  </si>
  <si>
    <t>[Kw/Kw]</t>
  </si>
  <si>
    <t>Output Data:</t>
  </si>
  <si>
    <t>Condenser Data:</t>
  </si>
  <si>
    <t>Cooler W.P.D:</t>
  </si>
  <si>
    <t>[ kpa ]</t>
  </si>
  <si>
    <t>&gt;&gt; Coil(s):</t>
  </si>
  <si>
    <t>Water Flow Rate:</t>
  </si>
  <si>
    <t>[ L/s ]</t>
  </si>
  <si>
    <t xml:space="preserve">     Material:</t>
  </si>
  <si>
    <t>MicroChannel</t>
  </si>
  <si>
    <t>Calculated capacity:</t>
  </si>
  <si>
    <t xml:space="preserve">     All Condenser Coils Area:</t>
  </si>
  <si>
    <t>[m²]</t>
  </si>
  <si>
    <t>Max Calculated capacity:</t>
  </si>
  <si>
    <t xml:space="preserve">     NO.of Active Cond. Coils / Cir:</t>
  </si>
  <si>
    <t>&gt;&gt; Fan(s):</t>
  </si>
  <si>
    <t>Operating Conditions:</t>
  </si>
  <si>
    <t xml:space="preserve">     Condenser Fans Type:</t>
  </si>
  <si>
    <t>EC Propeller (Axial)</t>
  </si>
  <si>
    <t>Compressor Power Input:</t>
  </si>
  <si>
    <t xml:space="preserve">     Type of Drive:</t>
  </si>
  <si>
    <t>Direct Driven</t>
  </si>
  <si>
    <t>Total Power Input:</t>
  </si>
  <si>
    <t xml:space="preserve">     No. of Active Fans  / Cir:</t>
  </si>
  <si>
    <t>EER:</t>
  </si>
  <si>
    <t xml:space="preserve">     Power Input / Fan:</t>
  </si>
  <si>
    <t xml:space="preserve">     FLA / Fan:</t>
  </si>
  <si>
    <t xml:space="preserve">     Fan(s) Absorbed Power / Cir:</t>
  </si>
  <si>
    <t>Total Power:</t>
  </si>
  <si>
    <t xml:space="preserve">     Fan(s) Absorbed Current / Cir:</t>
  </si>
  <si>
    <t>FLA:</t>
  </si>
  <si>
    <t xml:space="preserve">     Fan(s) Air Flow Rate / Cir:</t>
  </si>
  <si>
    <t>[L/s]</t>
  </si>
  <si>
    <t>MCA:</t>
  </si>
  <si>
    <t xml:space="preserve">     Fan(s) Speed / Cir (%):</t>
  </si>
  <si>
    <t>MOP:</t>
  </si>
  <si>
    <t xml:space="preserve">     Fan(s) Speed / Cir (RPM):</t>
  </si>
  <si>
    <t>[RPM]</t>
  </si>
  <si>
    <t>Physical Data:</t>
  </si>
  <si>
    <t xml:space="preserve">     External Static pressure:</t>
  </si>
  <si>
    <t>[Pa]</t>
  </si>
  <si>
    <t>Length:</t>
  </si>
  <si>
    <t>[mm]</t>
  </si>
  <si>
    <t>Width:</t>
  </si>
  <si>
    <t>Hydrolic Kit:</t>
  </si>
  <si>
    <t>Height:</t>
  </si>
  <si>
    <t>2xButterfly valve</t>
  </si>
  <si>
    <t>2x check valve</t>
  </si>
  <si>
    <t>2x Drain Valve</t>
  </si>
  <si>
    <t>Weight:</t>
  </si>
  <si>
    <t>[Kg]</t>
  </si>
  <si>
    <t>2xFlexible connections</t>
  </si>
  <si>
    <t>1x Strainer</t>
  </si>
  <si>
    <t>Sound Data (dBA):</t>
  </si>
  <si>
    <t xml:space="preserve">Frequency </t>
  </si>
  <si>
    <t>[Hz]</t>
  </si>
  <si>
    <t>1k</t>
  </si>
  <si>
    <t>2k</t>
  </si>
  <si>
    <t>4k</t>
  </si>
  <si>
    <t>8k</t>
  </si>
  <si>
    <t>Total  (dBA)±2</t>
  </si>
  <si>
    <t>Sound Power</t>
  </si>
  <si>
    <t>[SWL]</t>
  </si>
  <si>
    <t>Sound Pressure @ 1 m</t>
  </si>
  <si>
    <t>[SPL]</t>
  </si>
  <si>
    <t>Pump Data:</t>
  </si>
  <si>
    <t>Free Cooling:</t>
  </si>
  <si>
    <t>Water Flow:</t>
  </si>
  <si>
    <t>&gt;&gt;Input Data  :</t>
  </si>
  <si>
    <t>&gt;&gt;Output Data:</t>
  </si>
  <si>
    <t>External Head:</t>
  </si>
  <si>
    <t xml:space="preserve">   Fluid:</t>
  </si>
  <si>
    <t xml:space="preserve">   Coil W.P.D.:</t>
  </si>
  <si>
    <t>[Kpa]</t>
  </si>
  <si>
    <t>Total Head:</t>
  </si>
  <si>
    <t xml:space="preserve">   Ambient:</t>
  </si>
  <si>
    <t xml:space="preserve">   Water Flow Rate:</t>
  </si>
  <si>
    <t>Motor Size:</t>
  </si>
  <si>
    <t xml:space="preserve">   Water In Temp.:</t>
  </si>
  <si>
    <t xml:space="preserve">   Calculated capacity:</t>
  </si>
  <si>
    <t>Power Absorbed:</t>
  </si>
  <si>
    <t xml:space="preserve">   Water Out Temp.:</t>
  </si>
  <si>
    <t xml:space="preserve">&gt;&gt;Free Cooling Coil Data: </t>
  </si>
  <si>
    <t xml:space="preserve">   Material:</t>
  </si>
  <si>
    <t xml:space="preserve">   No. of coils:</t>
  </si>
  <si>
    <t>* Separate power entry for pump</t>
  </si>
  <si>
    <t>AIR COOLED SCREW CHILLER SELECTION SHEET</t>
  </si>
  <si>
    <t>Input Data</t>
  </si>
  <si>
    <t>Porject Data:</t>
  </si>
  <si>
    <t>Porject Name:</t>
  </si>
  <si>
    <t>Unit Ref.</t>
  </si>
  <si>
    <t>Compressors Data</t>
  </si>
  <si>
    <t>Comp1 HP:</t>
  </si>
  <si>
    <t>Comp2 HP:</t>
  </si>
  <si>
    <t>Comp3 HP:</t>
  </si>
  <si>
    <t>Condenser Data</t>
  </si>
  <si>
    <t>No. of cond. Coils/Fans:</t>
  </si>
  <si>
    <t>Cond. Material:</t>
  </si>
  <si>
    <t>Cooler Data</t>
  </si>
  <si>
    <t>Additional Data:</t>
  </si>
  <si>
    <t>System with Pump:</t>
  </si>
  <si>
    <t>Yes</t>
  </si>
  <si>
    <t>System with Freecooling</t>
  </si>
  <si>
    <t>No. of cond. Coils For CIR1:</t>
  </si>
  <si>
    <t>No. of cond. Coils For CIR2:</t>
  </si>
  <si>
    <t>No. of cond. Coils For CIR3:</t>
  </si>
  <si>
    <t>Cooler Model</t>
  </si>
  <si>
    <t>SSE 41.209.2900</t>
  </si>
  <si>
    <t>Fan RPM</t>
  </si>
  <si>
    <t>Calculated Data Above</t>
  </si>
  <si>
    <t>Free Cooling Data</t>
  </si>
  <si>
    <t>Additional Features:</t>
  </si>
  <si>
    <t>VFD for Compressors + Harmonic</t>
  </si>
  <si>
    <t>EC Condenser Fans</t>
  </si>
  <si>
    <t>Fluid Type</t>
  </si>
  <si>
    <t>Power Fator</t>
  </si>
  <si>
    <t>Version No.</t>
  </si>
  <si>
    <t>Yes/No</t>
  </si>
  <si>
    <t>Material</t>
  </si>
  <si>
    <t>Coil Dim</t>
  </si>
  <si>
    <t>FLA (Amp)</t>
  </si>
  <si>
    <t>Air cooled Screw Chillers</t>
  </si>
  <si>
    <t> Petra Name</t>
  </si>
  <si>
    <t>APSA 200+1V</t>
  </si>
  <si>
    <t>APSA 220+1V</t>
  </si>
  <si>
    <t>APSA 275+2V</t>
  </si>
  <si>
    <t>APSA 315+2V</t>
  </si>
  <si>
    <t xml:space="preserve">APSA </t>
  </si>
  <si>
    <t>APSA 360+2V</t>
  </si>
  <si>
    <t>380-3-50</t>
  </si>
  <si>
    <t>400-3-50</t>
  </si>
  <si>
    <t>415-3-50</t>
  </si>
  <si>
    <t>460-3-60</t>
  </si>
  <si>
    <t>208-3-60</t>
  </si>
  <si>
    <t>Copper Tube Aluminum Fins</t>
  </si>
  <si>
    <t>350+3V</t>
  </si>
  <si>
    <t>EBM 900</t>
  </si>
  <si>
    <t>Copper Tube Copper Fins</t>
  </si>
  <si>
    <t>Schneider Electric Name</t>
  </si>
  <si>
    <r>
      <t>XREC0200</t>
    </r>
    <r>
      <rPr>
        <b/>
        <sz val="12"/>
        <color rgb="FF000000"/>
        <rFont val="Aptos Narrow"/>
        <family val="2"/>
      </rPr>
      <t>P</t>
    </r>
  </si>
  <si>
    <r>
      <t>XREC0220</t>
    </r>
    <r>
      <rPr>
        <b/>
        <sz val="12"/>
        <color rgb="FF000000"/>
        <rFont val="Aptos Narrow"/>
        <family val="2"/>
      </rPr>
      <t>P</t>
    </r>
  </si>
  <si>
    <r>
      <t>XREC0275</t>
    </r>
    <r>
      <rPr>
        <b/>
        <sz val="12"/>
        <color rgb="FF000000"/>
        <rFont val="Aptos Narrow"/>
        <family val="2"/>
      </rPr>
      <t>P</t>
    </r>
  </si>
  <si>
    <r>
      <t>XREC0315</t>
    </r>
    <r>
      <rPr>
        <b/>
        <sz val="12"/>
        <color rgb="FF000000"/>
        <rFont val="Aptos Narrow"/>
        <family val="2"/>
      </rPr>
      <t>P</t>
    </r>
  </si>
  <si>
    <r>
      <t>XREC0350</t>
    </r>
    <r>
      <rPr>
        <b/>
        <sz val="12"/>
        <color rgb="FF000000"/>
        <rFont val="Aptos Narrow"/>
        <family val="2"/>
      </rPr>
      <t>P</t>
    </r>
  </si>
  <si>
    <r>
      <t>XREC0360</t>
    </r>
    <r>
      <rPr>
        <b/>
        <sz val="12"/>
        <color rgb="FF000000"/>
        <rFont val="Aptos Narrow"/>
        <family val="2"/>
      </rPr>
      <t>P</t>
    </r>
  </si>
  <si>
    <t>EBM 630</t>
  </si>
  <si>
    <t>Capacity Cooling at 50C</t>
  </si>
  <si>
    <t>944,5</t>
  </si>
  <si>
    <t>1045,2</t>
  </si>
  <si>
    <t>1268,8</t>
  </si>
  <si>
    <t>1786,3</t>
  </si>
  <si>
    <t>Ziehl 900</t>
  </si>
  <si>
    <t>Chiller</t>
  </si>
  <si>
    <t>With OUT free cooling</t>
  </si>
  <si>
    <t>With Free Cooling</t>
  </si>
  <si>
    <t>With Pump (with free cooling)</t>
  </si>
  <si>
    <t>With Pump (with OUT free cooling)</t>
  </si>
  <si>
    <t>Capacity Cooling at 50C (ZERO Tolerance)</t>
  </si>
  <si>
    <t>Ziehl 630</t>
  </si>
  <si>
    <t>Micro-Channel</t>
  </si>
  <si>
    <t>V: 1160 mm per V</t>
  </si>
  <si>
    <t>V: 1380 mm per V</t>
  </si>
  <si>
    <t>No Change</t>
  </si>
  <si>
    <t>Add 2230 mm</t>
  </si>
  <si>
    <t>Ends: 680+680 mm</t>
  </si>
  <si>
    <t>Ends: 790+790 mm</t>
  </si>
  <si>
    <t>E.Panel: 400 mm</t>
  </si>
  <si>
    <t>input power (KW)</t>
  </si>
  <si>
    <t>VFD Box: 640 mm</t>
  </si>
  <si>
    <t>Height : 2200</t>
  </si>
  <si>
    <r>
      <t xml:space="preserve">Height : </t>
    </r>
    <r>
      <rPr>
        <b/>
        <sz val="11"/>
        <color theme="1"/>
        <rFont val="Aptos"/>
        <family val="2"/>
      </rPr>
      <t>2700</t>
    </r>
  </si>
  <si>
    <t>Copper tube</t>
  </si>
  <si>
    <t>V: 1280 mm per V</t>
  </si>
  <si>
    <t>Not Applicable</t>
  </si>
  <si>
    <t>Ends: 740+740 mm</t>
  </si>
  <si>
    <t>Cooler Type</t>
  </si>
  <si>
    <t>Weight (Kg)</t>
  </si>
  <si>
    <t>Water (Kg)</t>
  </si>
  <si>
    <t>EC fan weight (KG)</t>
  </si>
  <si>
    <t>Coils Type</t>
  </si>
  <si>
    <t>Coil Weight</t>
  </si>
  <si>
    <t>MPE 335</t>
  </si>
  <si>
    <t>MPE 460</t>
  </si>
  <si>
    <t>Aluimnum Fins</t>
  </si>
  <si>
    <t>MPE 570</t>
  </si>
  <si>
    <t>MPE 650</t>
  </si>
  <si>
    <t>MPE 750</t>
  </si>
  <si>
    <t>V Sheet Metal</t>
  </si>
  <si>
    <t>Weight</t>
  </si>
  <si>
    <t>Electrical Panel</t>
  </si>
  <si>
    <t>Microchannel "V"</t>
  </si>
  <si>
    <t>Microchannel Ends</t>
  </si>
  <si>
    <t>Copper Al fins "V"</t>
  </si>
  <si>
    <t>Copper Al fins Ends</t>
  </si>
  <si>
    <t>Copper Al fins</t>
  </si>
  <si>
    <t>W</t>
  </si>
  <si>
    <t>Copper Al fins H</t>
  </si>
  <si>
    <t>Microchannel fins H</t>
  </si>
  <si>
    <t>MPE 880</t>
  </si>
  <si>
    <t>Sheet Metal V1</t>
  </si>
  <si>
    <t>SSE 36.204.3500-2S</t>
  </si>
  <si>
    <t>Sheet Metal V2</t>
  </si>
  <si>
    <t>Sheet Metal V3</t>
  </si>
  <si>
    <t>SSE 46.303.3900</t>
  </si>
  <si>
    <t>Sheet Metal V4</t>
  </si>
  <si>
    <t>SSE 46.202.4100-N</t>
  </si>
  <si>
    <t>Sheet Metal V5</t>
  </si>
  <si>
    <t>SSE 46.303.4400-2S</t>
  </si>
  <si>
    <t>Sheet Metal V6</t>
  </si>
  <si>
    <t>SSE 51.301.4100-2S</t>
  </si>
  <si>
    <t>Sheet Metal V7</t>
  </si>
  <si>
    <t>Sheet Metal V8</t>
  </si>
  <si>
    <t>Sheet Metal V9</t>
  </si>
  <si>
    <t>Sheet Metal V10</t>
  </si>
  <si>
    <t>1600</t>
  </si>
  <si>
    <r>
      <t xml:space="preserve">Take </t>
    </r>
    <r>
      <rPr>
        <b/>
        <sz val="9"/>
        <rFont val="Arial"/>
        <family val="2"/>
      </rPr>
      <t>Higher</t>
    </r>
    <r>
      <rPr>
        <sz val="9"/>
        <rFont val="Arial"/>
        <family val="2"/>
      </rPr>
      <t xml:space="preserve"> Step</t>
    </r>
  </si>
  <si>
    <t>MCA = Largest one x1.25 + remaing FLA</t>
  </si>
  <si>
    <t>MOP = Largest one x2.25 + remaing FLA</t>
  </si>
  <si>
    <t>Micro</t>
  </si>
  <si>
    <t>Aliu fins</t>
  </si>
  <si>
    <t>MDS = 1.15 (Summation all FLA)</t>
  </si>
  <si>
    <t>Electric Heater Amp = watt (Total) / (1.732 * Power Supply)</t>
  </si>
  <si>
    <t>Steam Humidifier KW = Amp X 1.732 * Power Supply / (1000)</t>
  </si>
  <si>
    <t>mm per V</t>
  </si>
  <si>
    <t>6 V</t>
  </si>
  <si>
    <t>If H= 2200</t>
  </si>
  <si>
    <t>Below 6V</t>
  </si>
  <si>
    <t>Comp 190 to 250 HP</t>
  </si>
  <si>
    <t>If H= 2600</t>
  </si>
  <si>
    <t>Water flow</t>
  </si>
  <si>
    <t>Pump Model</t>
  </si>
  <si>
    <t>Head Pressure</t>
  </si>
  <si>
    <t>Power Input</t>
  </si>
  <si>
    <t>Motor Size</t>
  </si>
  <si>
    <t>Motor FLA</t>
  </si>
  <si>
    <t>Model Shfited Down</t>
  </si>
  <si>
    <t>Meter</t>
  </si>
  <si>
    <t>AMP</t>
  </si>
  <si>
    <t>Kg</t>
  </si>
  <si>
    <t>ETCL080-065-200</t>
  </si>
  <si>
    <t>ETCL100-080-200</t>
  </si>
  <si>
    <r>
      <t xml:space="preserve">Take </t>
    </r>
    <r>
      <rPr>
        <b/>
        <sz val="10"/>
        <rFont val="Arial"/>
        <family val="2"/>
      </rPr>
      <t>Lower</t>
    </r>
    <r>
      <rPr>
        <sz val="10"/>
        <rFont val="Arial"/>
        <family val="2"/>
      </rPr>
      <t xml:space="preserve"> Step</t>
    </r>
  </si>
  <si>
    <t>Etanorm RG 125-500.2</t>
  </si>
  <si>
    <t>Shift Up</t>
  </si>
  <si>
    <t>R-134a From Porg Suction 17 C &amp; Condinsing 66 C</t>
  </si>
  <si>
    <t>Compressor HP</t>
  </si>
  <si>
    <t>400-3-60</t>
  </si>
  <si>
    <t>Weight Kg</t>
  </si>
  <si>
    <t>RC2-200</t>
  </si>
  <si>
    <t>RC2-260</t>
  </si>
  <si>
    <t>RC2-300</t>
  </si>
  <si>
    <t>RC2-340</t>
  </si>
  <si>
    <t>RC2-370</t>
  </si>
  <si>
    <t>Motor Size / Power</t>
  </si>
  <si>
    <t>RC2-410</t>
  </si>
  <si>
    <t>RC2-470</t>
  </si>
  <si>
    <t>RC2-510</t>
  </si>
  <si>
    <t>RC2-550</t>
  </si>
  <si>
    <t>RC2-580</t>
  </si>
  <si>
    <t>RC2-710</t>
  </si>
  <si>
    <t>Ghafour</t>
  </si>
  <si>
    <t>RC2-790</t>
  </si>
  <si>
    <t>RC2-930</t>
  </si>
  <si>
    <t>???</t>
  </si>
  <si>
    <t>R-1234ze From Porg Suction 17 C &amp; Condinsing 66 C</t>
  </si>
  <si>
    <t>APSA 315-3</t>
  </si>
  <si>
    <t>Hydrolic Kit</t>
  </si>
  <si>
    <t>dBA</t>
  </si>
  <si>
    <t>None</t>
  </si>
  <si>
    <t xml:space="preserve">Total </t>
  </si>
  <si>
    <t>dB</t>
  </si>
  <si>
    <t>Unit Dimensions</t>
  </si>
  <si>
    <t>Width (m)</t>
  </si>
  <si>
    <t>Height (m)</t>
  </si>
  <si>
    <t>Length (m)</t>
  </si>
  <si>
    <t>Distance (m)</t>
  </si>
  <si>
    <t>Condenser Fans</t>
  </si>
  <si>
    <t>w = A *1.732* V*0.95 // 0.89</t>
  </si>
  <si>
    <t>Euro Fan 900-1100</t>
  </si>
  <si>
    <t>Comp1 Model:</t>
  </si>
  <si>
    <t>Comp2 Model:</t>
  </si>
  <si>
    <t>Comp3 Model:</t>
  </si>
  <si>
    <t>Case Radiated Sound Power (dB)</t>
  </si>
  <si>
    <r>
      <t xml:space="preserve">Case Radiated Sound Pressure @ </t>
    </r>
    <r>
      <rPr>
        <b/>
        <sz val="12"/>
        <color indexed="10"/>
        <rFont val="Cambria"/>
        <family val="1"/>
      </rPr>
      <t>1</t>
    </r>
    <r>
      <rPr>
        <b/>
        <sz val="12"/>
        <color indexed="8"/>
        <rFont val="Cambria"/>
        <family val="1"/>
      </rPr>
      <t>-m (dB)</t>
    </r>
  </si>
  <si>
    <t>Power Type:</t>
  </si>
  <si>
    <t>Max AMP:</t>
  </si>
  <si>
    <t>Condenser Amb Per Fan</t>
  </si>
  <si>
    <t>Condenser Kw Per Fan</t>
  </si>
  <si>
    <t>Condenser Fans QTY</t>
  </si>
  <si>
    <t>MOP Calculated</t>
  </si>
  <si>
    <t>MOP Selected</t>
  </si>
  <si>
    <t>Coils Material</t>
  </si>
  <si>
    <t>Free Cooling Material</t>
  </si>
  <si>
    <t>Comp1 Weight:</t>
  </si>
  <si>
    <t>Comp2 Weight:</t>
  </si>
  <si>
    <t>Comp3 Weight:</t>
  </si>
  <si>
    <t>EC cond Fans</t>
  </si>
  <si>
    <t>Cooler Weight</t>
  </si>
  <si>
    <t>Coils Weight</t>
  </si>
  <si>
    <t>Free Cooling Weight</t>
  </si>
  <si>
    <t>Refrigerant Component</t>
  </si>
  <si>
    <t>Sheet Metal</t>
  </si>
  <si>
    <t>Electrical Weight</t>
  </si>
  <si>
    <t xml:space="preserve">One Pump and motor </t>
  </si>
  <si>
    <t>Water Weight</t>
  </si>
  <si>
    <t>pipes and water</t>
  </si>
  <si>
    <t>VFD + Harmonic with Box</t>
  </si>
  <si>
    <t>Refrigerant weight</t>
  </si>
  <si>
    <t>Power Factor Weight</t>
  </si>
  <si>
    <t>Total Weight</t>
  </si>
  <si>
    <t>V length</t>
  </si>
  <si>
    <t>Ends</t>
  </si>
  <si>
    <t>Pump</t>
  </si>
  <si>
    <t>Compressors 1 Above 160</t>
  </si>
  <si>
    <t>Compressors 2 Above 160</t>
  </si>
  <si>
    <t>Compressors 3 Above 160</t>
  </si>
  <si>
    <t>VFD + Harmonic</t>
  </si>
  <si>
    <t>Total Length</t>
  </si>
  <si>
    <t>Power Absorbed</t>
  </si>
  <si>
    <t>Comp1 W:</t>
  </si>
  <si>
    <t>Comp2 W:</t>
  </si>
  <si>
    <t>Comp3 W:</t>
  </si>
  <si>
    <t>Power Factor (@FL) WO PF Corrections</t>
  </si>
  <si>
    <t xml:space="preserve"> Hz\Model  </t>
  </si>
  <si>
    <t>RC2-100</t>
  </si>
  <si>
    <t>RC2-140</t>
  </si>
  <si>
    <t>RC2-170</t>
  </si>
  <si>
    <t>RC2-180</t>
  </si>
  <si>
    <t>RC2-230</t>
  </si>
  <si>
    <t>RC2-310</t>
  </si>
  <si>
    <t>RC2-320</t>
  </si>
  <si>
    <t>RC2-610</t>
  </si>
  <si>
    <t>RC2-620</t>
  </si>
  <si>
    <t>RC2-830</t>
  </si>
  <si>
    <t>RC2-1090</t>
  </si>
  <si>
    <t>RC2-1280</t>
  </si>
  <si>
    <t>RC2-1520</t>
  </si>
  <si>
    <t>ZR22K3E-PFJ</t>
  </si>
  <si>
    <t>220-240</t>
  </si>
  <si>
    <t>R407C</t>
  </si>
  <si>
    <t>ZR22K3E-TFD</t>
  </si>
  <si>
    <t>380-420</t>
  </si>
  <si>
    <t>ZR22K3-PFJ</t>
  </si>
  <si>
    <t>R22</t>
  </si>
  <si>
    <t>ZR22K3-TFD</t>
  </si>
  <si>
    <t>R134a</t>
  </si>
  <si>
    <t>ZR28K3E-PFJ</t>
  </si>
  <si>
    <t>PFJ</t>
  </si>
  <si>
    <t>ZR28K3E-TFD</t>
  </si>
  <si>
    <t>TFD</t>
  </si>
  <si>
    <t>ZR28K3-PFJ</t>
  </si>
  <si>
    <t>ZR28K3-TFD</t>
  </si>
  <si>
    <t>ZR34K3E-PFJ</t>
  </si>
  <si>
    <t>ZR34K3E-TFD</t>
  </si>
  <si>
    <t>ZR34K3-PFJ</t>
  </si>
  <si>
    <t>ZR40K3E-PFJ</t>
  </si>
  <si>
    <t>ZR40K3E-TFD</t>
  </si>
  <si>
    <t>ZR48K3E-PFJ</t>
  </si>
  <si>
    <t>ZR48K3E-TFD</t>
  </si>
  <si>
    <t>ZR48K3-PFJ</t>
  </si>
  <si>
    <t>ZR48K3E-TF5</t>
  </si>
  <si>
    <t>TF5</t>
  </si>
  <si>
    <t>200-220</t>
  </si>
  <si>
    <t>ZR49K3E-TFD</t>
  </si>
  <si>
    <t>ZR61KCE-TFD</t>
  </si>
  <si>
    <t>ZR61KCE-TF5</t>
  </si>
  <si>
    <t>ZR61KC-TF5</t>
  </si>
  <si>
    <t>ZR61KCE-PFZ</t>
  </si>
  <si>
    <t>PFZ</t>
  </si>
  <si>
    <t>ZR72KCE-TFD</t>
  </si>
  <si>
    <t>ZR72KCE-TF5</t>
  </si>
  <si>
    <t>ZR72KC-TFD</t>
  </si>
  <si>
    <t>ZR81KCE-TFD</t>
  </si>
  <si>
    <t>ZR81KCE-TF5</t>
  </si>
  <si>
    <t>ZR81KC-TFD</t>
  </si>
  <si>
    <t>ZR94KCE-TFD</t>
  </si>
  <si>
    <t>ZR108KCE-TFD</t>
  </si>
  <si>
    <t>ZR125KCE-TFD</t>
  </si>
  <si>
    <t>ZR144KCE-TFD</t>
  </si>
  <si>
    <t>ZR160KCE-TFD</t>
  </si>
  <si>
    <t>ZR190KCE-TFD</t>
  </si>
  <si>
    <t>ZR250KCE-TWC</t>
  </si>
  <si>
    <t>ZR250KCE-TWD</t>
  </si>
  <si>
    <t>208-230</t>
  </si>
  <si>
    <t>ZR250KC-TWC</t>
  </si>
  <si>
    <t>ZR250KC-TWD</t>
  </si>
  <si>
    <t>ZR250KCE-TW7</t>
  </si>
  <si>
    <t>ZR250KC-TW7</t>
  </si>
  <si>
    <t>ZR310KCE-TWD</t>
  </si>
  <si>
    <t>ZR380KCE-TWD</t>
  </si>
  <si>
    <t>Fan type</t>
  </si>
  <si>
    <t>FE080-SDA.6DA.6N.2-900</t>
  </si>
  <si>
    <t>FE080-SDA.6DA.6N.2-700</t>
  </si>
  <si>
    <t>FE063-SDA.6DA.6N.2-900</t>
  </si>
  <si>
    <t>Euro Fan 630</t>
  </si>
  <si>
    <t>FE080-SDA.6DA.6N.2-1040</t>
  </si>
  <si>
    <t>FE080-SDA.6DA.6N.2-790</t>
  </si>
  <si>
    <t>FE063-SDA.6DA.6N.2-1040</t>
  </si>
  <si>
    <t>Euro Fan 900-900</t>
  </si>
  <si>
    <t>VIP 900-39-900</t>
  </si>
  <si>
    <t>VIP 900-39-720</t>
  </si>
  <si>
    <t>Old Simple Compartment</t>
  </si>
  <si>
    <t>Old Compressor Compartment</t>
  </si>
  <si>
    <t>USA Jacket</t>
  </si>
  <si>
    <r>
      <t>-</t>
    </r>
    <r>
      <rPr>
        <sz val="7"/>
        <color rgb="FFFF0000"/>
        <rFont val="Times New Roman"/>
        <family val="1"/>
      </rPr>
      <t xml:space="preserve">          </t>
    </r>
    <r>
      <rPr>
        <b/>
        <i/>
        <u/>
        <sz val="11"/>
        <color rgb="FFFF0000"/>
        <rFont val="Arial Narrow"/>
        <family val="2"/>
      </rPr>
      <t>Construction Features:</t>
    </r>
  </si>
  <si>
    <r>
      <t>-</t>
    </r>
    <r>
      <rPr>
        <sz val="7"/>
        <color rgb="FFFF0000"/>
        <rFont val="Times New Roman"/>
        <family val="1"/>
      </rPr>
      <t xml:space="preserve">          </t>
    </r>
    <r>
      <rPr>
        <b/>
        <i/>
        <u/>
        <sz val="11"/>
        <color rgb="FFFF0000"/>
        <rFont val="Arial Narrow"/>
        <family val="2"/>
      </rPr>
      <t>Refrigeration Features:</t>
    </r>
  </si>
  <si>
    <r>
      <t>-</t>
    </r>
    <r>
      <rPr>
        <sz val="7"/>
        <color rgb="FFFF0000"/>
        <rFont val="Times New Roman"/>
        <family val="1"/>
      </rPr>
      <t xml:space="preserve">          </t>
    </r>
    <r>
      <rPr>
        <b/>
        <i/>
        <u/>
        <sz val="11"/>
        <color rgb="FFFF0000"/>
        <rFont val="Arial Narrow"/>
        <family val="2"/>
      </rPr>
      <t>Electrical Features:</t>
    </r>
  </si>
  <si>
    <r>
      <t>-</t>
    </r>
    <r>
      <rPr>
        <sz val="7"/>
        <color rgb="FFFF0000"/>
        <rFont val="Times New Roman"/>
        <family val="1"/>
      </rPr>
      <t xml:space="preserve">          </t>
    </r>
    <r>
      <rPr>
        <b/>
        <i/>
        <u/>
        <sz val="11"/>
        <color rgb="FFFF0000"/>
        <rFont val="Arial Narrow"/>
        <family val="2"/>
      </rPr>
      <t>Accessories Features:</t>
    </r>
  </si>
  <si>
    <r>
      <t>-</t>
    </r>
    <r>
      <rPr>
        <sz val="7"/>
        <color rgb="FFFF0000"/>
        <rFont val="Times New Roman"/>
        <family val="1"/>
      </rPr>
      <t xml:space="preserve">          </t>
    </r>
    <r>
      <rPr>
        <b/>
        <i/>
        <u/>
        <sz val="11"/>
        <color rgb="FFFF0000"/>
        <rFont val="Arial Narrow"/>
        <family val="2"/>
      </rPr>
      <t>Precision Type Units Features:</t>
    </r>
  </si>
  <si>
    <t>V2.1</t>
  </si>
  <si>
    <r>
      <t xml:space="preserve">First step: Apply </t>
    </r>
    <r>
      <rPr>
        <b/>
        <sz val="11"/>
        <color indexed="8"/>
        <rFont val="Calibri"/>
        <family val="2"/>
      </rPr>
      <t xml:space="preserve">the below </t>
    </r>
    <r>
      <rPr>
        <b/>
        <sz val="11"/>
        <color indexed="8"/>
        <rFont val="Calibri"/>
        <family val="2"/>
      </rPr>
      <t>on Psychometric chart</t>
    </r>
  </si>
  <si>
    <t>Output data</t>
  </si>
  <si>
    <t>1- On Coil Air Temperature</t>
  </si>
  <si>
    <t>1- Leaving Humidity Ratio</t>
  </si>
  <si>
    <t>2- Off Coil Air Temperature</t>
  </si>
  <si>
    <t>2- Required Evaporation Rate</t>
  </si>
  <si>
    <t>3- Air Flow rate</t>
  </si>
  <si>
    <t>Thick (Inch)</t>
  </si>
  <si>
    <t>LDBT (°F)</t>
  </si>
  <si>
    <t>Second Step: Evaporative Pad Thickness</t>
  </si>
  <si>
    <t>سهلة فقط دخل الي بالاصفر وهو بعطيك حرارة الليفينغ طبعا الايفيشنسي حسب كم السماكة المطلوبة او انت افرضها حسب شو الليفينغ الي بده اياها</t>
  </si>
  <si>
    <t>Efficiency =</t>
  </si>
  <si>
    <r>
      <t>100 x (T</t>
    </r>
    <r>
      <rPr>
        <vertAlign val="subscript"/>
        <sz val="11"/>
        <color indexed="8"/>
        <rFont val="Calibri"/>
        <family val="2"/>
      </rPr>
      <t>indb</t>
    </r>
    <r>
      <rPr>
        <sz val="11"/>
        <color theme="1"/>
        <rFont val="Calibri"/>
        <family val="2"/>
        <scheme val="minor"/>
      </rPr>
      <t xml:space="preserve"> - T</t>
    </r>
    <r>
      <rPr>
        <vertAlign val="subscript"/>
        <sz val="11"/>
        <color indexed="8"/>
        <rFont val="Calibri"/>
        <family val="2"/>
      </rPr>
      <t>outdb</t>
    </r>
    <r>
      <rPr>
        <sz val="11"/>
        <color theme="1"/>
        <rFont val="Calibri"/>
        <family val="2"/>
        <scheme val="minor"/>
      </rPr>
      <t>)</t>
    </r>
  </si>
  <si>
    <t xml:space="preserve">On coil </t>
  </si>
  <si>
    <t>115 F</t>
  </si>
  <si>
    <t>76 F</t>
  </si>
  <si>
    <r>
      <t>(T</t>
    </r>
    <r>
      <rPr>
        <vertAlign val="subscript"/>
        <sz val="11"/>
        <color indexed="8"/>
        <rFont val="Calibri"/>
        <family val="2"/>
      </rPr>
      <t>indb</t>
    </r>
    <r>
      <rPr>
        <sz val="11"/>
        <color theme="1"/>
        <rFont val="Calibri"/>
        <family val="2"/>
        <scheme val="minor"/>
      </rPr>
      <t xml:space="preserve"> - T</t>
    </r>
    <r>
      <rPr>
        <vertAlign val="subscript"/>
        <sz val="11"/>
        <color indexed="8"/>
        <rFont val="Calibri"/>
        <family val="2"/>
      </rPr>
      <t>inwb</t>
    </r>
    <r>
      <rPr>
        <sz val="11"/>
        <color theme="1"/>
        <rFont val="Calibri"/>
        <family val="2"/>
        <scheme val="minor"/>
      </rPr>
      <t>)</t>
    </r>
  </si>
  <si>
    <t>LDB</t>
  </si>
  <si>
    <t>59 F</t>
  </si>
  <si>
    <t>12 (Special)</t>
  </si>
  <si>
    <t>Efficiency</t>
  </si>
  <si>
    <t>INCH</t>
  </si>
  <si>
    <t>Data</t>
  </si>
  <si>
    <t>°C</t>
  </si>
  <si>
    <t>Thickness</t>
  </si>
  <si>
    <t>12 inch</t>
  </si>
  <si>
    <t>Inch</t>
  </si>
  <si>
    <t>%</t>
  </si>
  <si>
    <t>To Select the pump</t>
  </si>
  <si>
    <t>LWB</t>
  </si>
  <si>
    <t>Air L/S</t>
  </si>
  <si>
    <r>
      <t>M</t>
    </r>
    <r>
      <rPr>
        <vertAlign val="subscript"/>
        <sz val="11"/>
        <color indexed="8"/>
        <rFont val="Calibri"/>
        <family val="2"/>
      </rPr>
      <t>3</t>
    </r>
    <r>
      <rPr>
        <sz val="11"/>
        <color theme="1"/>
        <rFont val="Calibri"/>
        <family val="2"/>
        <scheme val="minor"/>
      </rPr>
      <t>/hr (Pump Water)</t>
    </r>
  </si>
  <si>
    <t>L/s</t>
  </si>
  <si>
    <t>4 inch</t>
  </si>
  <si>
    <t>OR</t>
  </si>
  <si>
    <r>
      <t>M</t>
    </r>
    <r>
      <rPr>
        <vertAlign val="subscript"/>
        <sz val="11"/>
        <color indexed="8"/>
        <rFont val="Calibri"/>
        <family val="2"/>
      </rPr>
      <t>3</t>
    </r>
    <r>
      <rPr>
        <sz val="11"/>
        <color theme="1"/>
        <rFont val="Calibri"/>
        <family val="2"/>
        <scheme val="minor"/>
      </rPr>
      <t xml:space="preserve">/hr </t>
    </r>
    <r>
      <rPr>
        <vertAlign val="subscript"/>
        <sz val="11"/>
        <color indexed="8"/>
        <rFont val="Calibri"/>
        <family val="2"/>
      </rPr>
      <t xml:space="preserve">water </t>
    </r>
    <r>
      <rPr>
        <sz val="11"/>
        <color theme="1"/>
        <rFont val="Calibri"/>
        <family val="2"/>
        <scheme val="minor"/>
      </rPr>
      <t>=</t>
    </r>
  </si>
  <si>
    <r>
      <t xml:space="preserve">L/S </t>
    </r>
    <r>
      <rPr>
        <vertAlign val="subscript"/>
        <sz val="11"/>
        <color indexed="8"/>
        <rFont val="Calibri"/>
        <family val="2"/>
      </rPr>
      <t>Air</t>
    </r>
  </si>
  <si>
    <t>.+ 0.686</t>
  </si>
  <si>
    <t xml:space="preserve">Chose the bigger pump from attached Pump Selection </t>
  </si>
  <si>
    <t>Example:</t>
  </si>
  <si>
    <t>Outside Gas Concentraction : H2S: 26 ppb; SO2: 280 ppb</t>
  </si>
  <si>
    <t>Inside Gas Concentraction : H2S: 3 ppb; SO2: 10 ppb</t>
  </si>
  <si>
    <t>Air flow = 6018</t>
  </si>
  <si>
    <t>GAS TYPE</t>
  </si>
  <si>
    <t>H2S</t>
  </si>
  <si>
    <t>SO2</t>
  </si>
  <si>
    <t>NOX as NO2</t>
  </si>
  <si>
    <t>C6H5CH3</t>
  </si>
  <si>
    <t>CL2</t>
  </si>
  <si>
    <t>Input</t>
  </si>
  <si>
    <t>Outdoor gas Challege (PPM)</t>
  </si>
  <si>
    <t>Indoor gas Challege (PPM)</t>
  </si>
  <si>
    <t>Fixed</t>
  </si>
  <si>
    <t xml:space="preserve">Molecular weight (MW) </t>
  </si>
  <si>
    <t>Airflow (CFM)</t>
  </si>
  <si>
    <t>Factor</t>
  </si>
  <si>
    <t>Calculated</t>
  </si>
  <si>
    <t xml:space="preserve">Annual Gas challenge (lbs/Annum) </t>
  </si>
  <si>
    <t>Media Removal efficiency by weight</t>
  </si>
  <si>
    <t>Puracarb media (%)</t>
  </si>
  <si>
    <t>From media data sheet</t>
  </si>
  <si>
    <t>CP</t>
  </si>
  <si>
    <t>CP Blend media (%)</t>
  </si>
  <si>
    <t>CPS</t>
  </si>
  <si>
    <t xml:space="preserve">SP Blend media (%) </t>
  </si>
  <si>
    <t>CPS12</t>
  </si>
  <si>
    <t>From Purafil Qatar not mentioned in media data sheet</t>
  </si>
  <si>
    <t>Annual Media quantity required</t>
  </si>
  <si>
    <t>Puracarb media (lbs/Annum)</t>
  </si>
  <si>
    <t xml:space="preserve">CP Blend media (lbs/Annum) </t>
  </si>
  <si>
    <t xml:space="preserve">SP Blend media (lbs/Annum) </t>
  </si>
  <si>
    <t xml:space="preserve">Media weight per Module (Lbs) </t>
  </si>
  <si>
    <t>PK-18</t>
  </si>
  <si>
    <t>PK-12</t>
  </si>
  <si>
    <t>Puracarb media</t>
  </si>
  <si>
    <t>CP Blend media</t>
  </si>
  <si>
    <t>SP Blend media</t>
  </si>
  <si>
    <t>No. Cells to meet one year operation</t>
  </si>
  <si>
    <t>You need
Minimum
for 365 days
(PK 18)</t>
  </si>
  <si>
    <t>You need
Minimum
for 365 days
(PK 12)</t>
  </si>
  <si>
    <t>RESULTS</t>
  </si>
  <si>
    <t>Nominal Size</t>
  </si>
  <si>
    <t>PK-18: 24" wide x 6" high x 18" deep (610 x 152 x 457mm)</t>
  </si>
  <si>
    <t>PK-12: 24" wide x 12" high x 12" deep (610 x 305 x 
305mm)</t>
  </si>
  <si>
    <t>Media Volume</t>
  </si>
  <si>
    <t>PK-18 contains 0.5 ft3 (0.014 m³)</t>
  </si>
  <si>
    <t>PK-12 contains 1.0 ft3 (0.028 m³)</t>
  </si>
  <si>
    <t>Information</t>
  </si>
  <si>
    <t>ISA-S71.04 Severity Levels for Corrosive Gases</t>
  </si>
  <si>
    <t>Level</t>
  </si>
  <si>
    <t>H2S (ppb)</t>
  </si>
  <si>
    <t>SO2 (ppb)</t>
  </si>
  <si>
    <t>Cl2 (ppb)</t>
  </si>
  <si>
    <t>NO2 (ppb)</t>
  </si>
  <si>
    <t>G1</t>
  </si>
  <si>
    <t>Mild</t>
  </si>
  <si>
    <t>≤ 3</t>
  </si>
  <si>
    <t>≤ 10</t>
  </si>
  <si>
    <t>≤ 1</t>
  </si>
  <si>
    <t>≤ 50</t>
  </si>
  <si>
    <t>G2</t>
  </si>
  <si>
    <t>Moderate</t>
  </si>
  <si>
    <t>≤ 30</t>
  </si>
  <si>
    <t>≤ 2</t>
  </si>
  <si>
    <t>≤ 125</t>
  </si>
  <si>
    <t>G3</t>
  </si>
  <si>
    <t>Harsh</t>
  </si>
  <si>
    <t>≤ 100</t>
  </si>
  <si>
    <t>≤ 4</t>
  </si>
  <si>
    <t>≤ 250</t>
  </si>
  <si>
    <t>GX</t>
  </si>
  <si>
    <t>Severe</t>
  </si>
  <si>
    <t>&gt; 50</t>
  </si>
  <si>
    <t>&gt; 100</t>
  </si>
  <si>
    <t>&gt; 4</t>
  </si>
  <si>
    <t>&gt; 250</t>
  </si>
  <si>
    <t>Chemical Formula</t>
  </si>
  <si>
    <t>Typical Sources</t>
  </si>
  <si>
    <t>Molecular Weight (g/mol)</t>
  </si>
  <si>
    <t>Natural gas, petroleum refining, sewage</t>
  </si>
  <si>
    <t>Hydrogen Sulfide</t>
  </si>
  <si>
    <t>Combustion of sulfur-containing fuels, smelting</t>
  </si>
  <si>
    <t>Sulfur Dioxide</t>
  </si>
  <si>
    <t>NO2</t>
  </si>
  <si>
    <t>Vehicle emissions, industrial processes</t>
  </si>
  <si>
    <t>Nitrogen Dioxide</t>
  </si>
  <si>
    <t>Combustion processes, power plants</t>
  </si>
  <si>
    <t>Nitric Oxide</t>
  </si>
  <si>
    <t>Paints, solvents, chemical manufacturing</t>
  </si>
  <si>
    <t>Toluene (Methylbenzene)</t>
  </si>
  <si>
    <t>Cl2</t>
  </si>
  <si>
    <t>Water treatment, chemical industry</t>
  </si>
  <si>
    <t>Chlorine</t>
  </si>
  <si>
    <t>Electrical Data For Chiller At Full Load:</t>
  </si>
  <si>
    <t>Max Comp1 FLA Amp:</t>
  </si>
  <si>
    <t>Max Comp2 FLA Amp:</t>
  </si>
  <si>
    <t>Max Comp3 FLA Amp:</t>
  </si>
  <si>
    <t>Absorbed Comp1 Amp:</t>
  </si>
  <si>
    <t>Absorbed Comp2 Amp:</t>
  </si>
  <si>
    <t>Absorbed Comp3 Amp:</t>
  </si>
  <si>
    <t>RC2-820</t>
  </si>
  <si>
    <t>Coils Size</t>
  </si>
  <si>
    <t>76X57</t>
  </si>
  <si>
    <t>76X74</t>
  </si>
  <si>
    <t>94X60</t>
  </si>
  <si>
    <t>Glycol + Water</t>
  </si>
  <si>
    <t>R-513A</t>
  </si>
  <si>
    <t>SAU / 00000 / 0 / 0 / 2026</t>
  </si>
  <si>
    <t>Power Supply V/Ph/Hz</t>
  </si>
  <si>
    <t>Water in °C:</t>
  </si>
  <si>
    <t>Chiller Name R134a</t>
  </si>
  <si>
    <t>If the gas is R-1234ze</t>
  </si>
  <si>
    <t>Water Out °C:</t>
  </si>
  <si>
    <r>
      <t>XREC0120</t>
    </r>
    <r>
      <rPr>
        <b/>
        <sz val="12"/>
        <color rgb="FF000000"/>
        <rFont val="Aptos Narrow"/>
        <family val="2"/>
      </rPr>
      <t>P</t>
    </r>
  </si>
  <si>
    <t>add "z"</t>
  </si>
  <si>
    <t>Ambient Temp. °C:</t>
  </si>
  <si>
    <t>Relative Humidity %:</t>
  </si>
  <si>
    <t>Elevation m:</t>
  </si>
  <si>
    <t>Required Capacity Kw:</t>
  </si>
  <si>
    <t>Calculated Capacity Max Kw:</t>
  </si>
  <si>
    <t>RC2-200B</t>
  </si>
  <si>
    <t>RC2-260B</t>
  </si>
  <si>
    <t>RC2-300B</t>
  </si>
  <si>
    <t>Total Power for Comp Kw:</t>
  </si>
  <si>
    <t>RC2-340B</t>
  </si>
  <si>
    <t>RC2-370B</t>
  </si>
  <si>
    <t>RC2-410B</t>
  </si>
  <si>
    <t>RC2-470B</t>
  </si>
  <si>
    <t>RC2-510B</t>
  </si>
  <si>
    <t>RC2-550B</t>
  </si>
  <si>
    <t>Water Pressure Drop KPa</t>
  </si>
  <si>
    <t>RC2-580B</t>
  </si>
  <si>
    <t>Water Flow Rate L/s</t>
  </si>
  <si>
    <t>RC2-710B</t>
  </si>
  <si>
    <t>RC2-790B</t>
  </si>
  <si>
    <t>RC2-820B</t>
  </si>
  <si>
    <t>External Head for Pump (m):</t>
  </si>
  <si>
    <t>RC2-930B</t>
  </si>
  <si>
    <t>XREC0315P</t>
  </si>
  <si>
    <t>Calculated Comp. Power Kw</t>
  </si>
  <si>
    <t>Calculated Water Flow L/s</t>
  </si>
  <si>
    <t>Calculated Pressure Drop KPa</t>
  </si>
  <si>
    <t>Fan Preesure Drop Pa</t>
  </si>
  <si>
    <t>Fan Air Flow Rate (Cir1) L/s</t>
  </si>
  <si>
    <t>Fan Air Flow Rate (Cir2) L/s</t>
  </si>
  <si>
    <t>Fan Air Flow Rate (Cir3) L/s</t>
  </si>
  <si>
    <t>Coil Area m2</t>
  </si>
  <si>
    <t xml:space="preserve">   Ambient (°C):</t>
  </si>
  <si>
    <t xml:space="preserve">   Water In Temp. °C:</t>
  </si>
  <si>
    <t xml:space="preserve">   Water Out Temp. °C:</t>
  </si>
  <si>
    <t xml:space="preserve">   Coil W.P.D. KPa:</t>
  </si>
  <si>
    <t xml:space="preserve">   Water Flow Rate L/s:</t>
  </si>
  <si>
    <t xml:space="preserve">   Calculated capacity (Kw):</t>
  </si>
  <si>
    <t>Coils Size (Inch)</t>
  </si>
  <si>
    <t>Comp 1 MAX Amber</t>
  </si>
  <si>
    <t>Comp 2 MAX Amber</t>
  </si>
  <si>
    <t>Comp 3 MAX Amber</t>
  </si>
  <si>
    <t>Comp 1 Absorb Amber</t>
  </si>
  <si>
    <t>Comp 2 Absorb Amber</t>
  </si>
  <si>
    <t>Comp 3 Absorb Amber</t>
  </si>
  <si>
    <t xml:space="preserve">Date </t>
  </si>
  <si>
    <t>:</t>
  </si>
  <si>
    <t xml:space="preserve">PETRA </t>
  </si>
  <si>
    <t xml:space="preserve">TO </t>
  </si>
  <si>
    <t xml:space="preserve">SELECTION_x000D_
</t>
  </si>
  <si>
    <t xml:space="preserve">name </t>
  </si>
  <si>
    <t xml:space="preserve">King </t>
  </si>
  <si>
    <t xml:space="preserve">Faisal </t>
  </si>
  <si>
    <t xml:space="preserve">University </t>
  </si>
  <si>
    <t xml:space="preserve">Hassa_x000D_
</t>
  </si>
  <si>
    <t>02/</t>
  </si>
  <si>
    <t xml:space="preserve">Study </t>
  </si>
  <si>
    <t xml:space="preserve">Engineer </t>
  </si>
  <si>
    <t xml:space="preserve">Model </t>
  </si>
  <si>
    <t xml:space="preserve">Ref. </t>
  </si>
  <si>
    <t xml:space="preserve">( </t>
  </si>
  <si>
    <t xml:space="preserve">DSP </t>
  </si>
  <si>
    <t xml:space="preserve">+ </t>
  </si>
  <si>
    <t xml:space="preserve">PAH </t>
  </si>
  <si>
    <t xml:space="preserve">) </t>
  </si>
  <si>
    <t xml:space="preserve">Actual </t>
  </si>
  <si>
    <t xml:space="preserve">Qty </t>
  </si>
  <si>
    <t xml:space="preserve">Input </t>
  </si>
  <si>
    <t xml:space="preserve">Data </t>
  </si>
  <si>
    <t xml:space="preserve">Power </t>
  </si>
  <si>
    <t xml:space="preserve">Supply </t>
  </si>
  <si>
    <t>380/</t>
  </si>
  <si>
    <t>3ph/</t>
  </si>
  <si>
    <t xml:space="preserve">60Hz_x000D_
</t>
  </si>
  <si>
    <t xml:space="preserve">capacity </t>
  </si>
  <si>
    <t xml:space="preserve">[ </t>
  </si>
  <si>
    <t xml:space="preserve">] </t>
  </si>
  <si>
    <t xml:space="preserve">kW </t>
  </si>
  <si>
    <t xml:space="preserve">Ambient </t>
  </si>
  <si>
    <t xml:space="preserve">F </t>
  </si>
  <si>
    <t xml:space="preserve">C </t>
  </si>
  <si>
    <t xml:space="preserve">Fan </t>
  </si>
  <si>
    <t xml:space="preserve">CFM </t>
  </si>
  <si>
    <t>L/</t>
  </si>
  <si>
    <t xml:space="preserve">s </t>
  </si>
  <si>
    <t xml:space="preserve">Ent. </t>
  </si>
  <si>
    <t xml:space="preserve">dbt </t>
  </si>
  <si>
    <t xml:space="preserve">wbt </t>
  </si>
  <si>
    <t xml:space="preserve">Output </t>
  </si>
  <si>
    <t xml:space="preserve">enthaply </t>
  </si>
  <si>
    <t xml:space="preserve">lb </t>
  </si>
  <si>
    <t>kJ/</t>
  </si>
  <si>
    <t xml:space="preserve">kg </t>
  </si>
  <si>
    <t xml:space="preserve">enthalpy </t>
  </si>
  <si>
    <t xml:space="preserve">APD </t>
  </si>
  <si>
    <t xml:space="preserve">dry </t>
  </si>
  <si>
    <t xml:space="preserve">inwg </t>
  </si>
  <si>
    <t xml:space="preserve">Pa </t>
  </si>
  <si>
    <t xml:space="preserve">wet </t>
  </si>
  <si>
    <t xml:space="preserve">Calculated </t>
  </si>
  <si>
    <t xml:space="preserve">velocity </t>
  </si>
  <si>
    <t xml:space="preserve">fpm </t>
  </si>
  <si>
    <t>m/</t>
  </si>
  <si>
    <t xml:space="preserve">tubes </t>
  </si>
  <si>
    <t xml:space="preserve">Suction </t>
  </si>
  <si>
    <t xml:space="preserve">temp. </t>
  </si>
  <si>
    <t xml:space="preserve">Condensing </t>
  </si>
  <si>
    <t xml:space="preserve">Temp. </t>
  </si>
  <si>
    <t xml:space="preserve">Compressor </t>
  </si>
  <si>
    <t xml:space="preserve">Refrigeration </t>
  </si>
  <si>
    <t xml:space="preserve">Refrigerant </t>
  </si>
  <si>
    <t xml:space="preserve">R410A_x000D_
</t>
  </si>
  <si>
    <t xml:space="preserve">Evaporator </t>
  </si>
  <si>
    <t xml:space="preserve">&gt;&gt; </t>
  </si>
  <si>
    <t xml:space="preserve">Area </t>
  </si>
  <si>
    <t xml:space="preserve">² </t>
  </si>
  <si>
    <t>m</t>
  </si>
  <si>
    <t xml:space="preserve">Per </t>
  </si>
  <si>
    <t xml:space="preserve">Inch </t>
  </si>
  <si>
    <t xml:space="preserve">Meter </t>
  </si>
  <si>
    <t xml:space="preserve">Condenser </t>
  </si>
  <si>
    <t xml:space="preserve">condensers </t>
  </si>
  <si>
    <t xml:space="preserve">:: </t>
  </si>
  <si>
    <t xml:space="preserve">rows </t>
  </si>
  <si>
    <t xml:space="preserve">area </t>
  </si>
  <si>
    <t xml:space="preserve">Type </t>
  </si>
  <si>
    <t xml:space="preserve">Diameter </t>
  </si>
  <si>
    <t xml:space="preserve">RPM </t>
  </si>
  <si>
    <t xml:space="preserve">Data_x000D_
</t>
  </si>
  <si>
    <t xml:space="preserve">fans </t>
  </si>
  <si>
    <t xml:space="preserve">Euro </t>
  </si>
  <si>
    <t xml:space="preserve">Fans_x000D_
</t>
  </si>
  <si>
    <t xml:space="preserve">Fans </t>
  </si>
  <si>
    <t xml:space="preserve">Propeller </t>
  </si>
  <si>
    <t>(</t>
  </si>
  <si>
    <t xml:space="preserve">Axial)_x000D_
</t>
  </si>
  <si>
    <t xml:space="preserve">Direct </t>
  </si>
  <si>
    <t xml:space="preserve">driven_x000D_
</t>
  </si>
  <si>
    <t xml:space="preserve">Drive </t>
  </si>
  <si>
    <t xml:space="preserve">type </t>
  </si>
  <si>
    <t xml:space="preserve">SCROLL </t>
  </si>
  <si>
    <t xml:space="preserve">COPELAND_x000D_
</t>
  </si>
  <si>
    <t xml:space="preserve">HP </t>
  </si>
  <si>
    <t>V-2.6.2</t>
  </si>
  <si>
    <t>1x check valve</t>
  </si>
  <si>
    <t>1x Drain Valve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</si>
</sst>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164" formatCode="_(* #,##0.00_);_(* \(#,##0.00\);_(* &quot;-&quot;??_);_(@_)"/>
    <numFmt numFmtId="165" formatCode="_-* #,##0.00_-;_-* #,##0.00\-;_-* &quot;-&quot;??_-;_-@_-"/>
    <numFmt numFmtId="166" formatCode="&quot;R-&quot;\ 0"/>
    <numFmt numFmtId="167" formatCode="#,##0.0"/>
    <numFmt numFmtId="168" formatCode="0.0"/>
    <numFmt numFmtId="169" formatCode="_(* #,##0_);_(* \(#,##0\);_(* &quot;-&quot;??_);_(@_)"/>
    <numFmt numFmtId="170" formatCode="[$USD]\ #,##0.0"/>
    <numFmt numFmtId="171" formatCode="[$USD]\ #,##0.00"/>
    <numFmt numFmtId="172" formatCode="_-* #,##0_-;\-* #,##0_-;_-* &quot;-&quot;??_-;_-@_-"/>
    <numFmt numFmtId="173" formatCode="###0.0;###0.0"/>
    <numFmt numFmtId="174" formatCode="###0;###0"/>
    <numFmt numFmtId="175" formatCode="_-* #,##0.0_-;\-* #,##0.0_-;_-* &quot;-&quot;?_-;_-@_-"/>
    <numFmt numFmtId="176" formatCode="[$-409]mmmm\ d\,\ yyyy;@"/>
    <numFmt numFmtId="177" formatCode="#,##0_ ;\-#,##0\ "/>
    <numFmt numFmtId="178" formatCode="#,##0.0_ ;\-#,##0.0\ "/>
    <numFmt numFmtId="179" formatCode="0.000000"/>
    <numFmt numFmtId="180" formatCode="0.0%"/>
    <numFmt numFmtId="181" formatCode="0.000"/>
  </numFmts>
  <fonts count="196">
    <font>
      <sz val="11"/>
      <color theme="1"/>
      <name val="Calibri"/>
      <family val="2"/>
      <scheme val="minor"/>
    </font>
    <font>
      <sz val="11"/>
      <color theme="1"/>
      <name val="Calibri"/>
      <family val="2"/>
      <scheme val="minor"/>
    </font>
    <font>
      <sz val="11"/>
      <color rgb="FF006100"/>
      <name val="Calibri"/>
      <family val="2"/>
      <scheme val="minor"/>
    </font>
    <font>
      <b/>
      <sz val="11"/>
      <color theme="0"/>
      <name val="Calibri"/>
      <family val="2"/>
      <scheme val="minor"/>
    </font>
    <font>
      <sz val="10"/>
      <color theme="1"/>
      <name val="Calibri"/>
      <family val="2"/>
    </font>
    <font>
      <sz val="11"/>
      <color theme="1"/>
      <name val="Times New Roman"/>
      <family val="1"/>
    </font>
    <font>
      <sz val="11"/>
      <name val="Times New Roman"/>
      <family val="1"/>
    </font>
    <font>
      <sz val="11"/>
      <color theme="1"/>
      <name val="Arial Narrow"/>
      <family val="2"/>
    </font>
    <font>
      <sz val="10"/>
      <name val="Arial"/>
      <family val="2"/>
    </font>
    <font>
      <sz val="8"/>
      <name val="Calibri"/>
      <family val="2"/>
      <scheme val="minor"/>
    </font>
    <font>
      <b/>
      <sz val="11"/>
      <color theme="1"/>
      <name val="Arial Narrow"/>
      <family val="2"/>
    </font>
    <font>
      <b/>
      <sz val="14"/>
      <color theme="1"/>
      <name val="Arial Narrow"/>
      <family val="2"/>
    </font>
    <font>
      <b/>
      <sz val="12"/>
      <color theme="1"/>
      <name val="Arial Narrow"/>
      <family val="2"/>
    </font>
    <font>
      <b/>
      <sz val="16"/>
      <color rgb="FF006100"/>
      <name val="Arial Narrow"/>
      <family val="2"/>
    </font>
    <font>
      <b/>
      <sz val="12"/>
      <color theme="0"/>
      <name val="Arial Narrow"/>
      <family val="2"/>
    </font>
    <font>
      <sz val="16"/>
      <color theme="0"/>
      <name val="Arial Narrow"/>
      <family val="2"/>
    </font>
    <font>
      <u/>
      <sz val="11"/>
      <color theme="10"/>
      <name val="Calibri"/>
      <family val="2"/>
      <scheme val="minor"/>
    </font>
    <font>
      <sz val="12"/>
      <color theme="1"/>
      <name val="Arial Narrow"/>
      <family val="2"/>
    </font>
    <font>
      <b/>
      <sz val="14"/>
      <name val="Arial Narrow"/>
      <family val="2"/>
    </font>
    <font>
      <b/>
      <sz val="11"/>
      <name val="Arial Narrow"/>
      <family val="2"/>
    </font>
    <font>
      <b/>
      <u/>
      <sz val="12"/>
      <color rgb="FFFF0000"/>
      <name val="Calibri"/>
      <family val="2"/>
      <scheme val="minor"/>
    </font>
    <font>
      <b/>
      <sz val="14"/>
      <color theme="0"/>
      <name val="Arial Narrow"/>
      <family val="2"/>
    </font>
    <font>
      <b/>
      <sz val="14"/>
      <color theme="0"/>
      <name val="Calibri"/>
      <family val="2"/>
      <scheme val="minor"/>
    </font>
    <font>
      <sz val="11"/>
      <color theme="1"/>
      <name val="Symbol"/>
      <family val="1"/>
      <charset val="2"/>
    </font>
    <font>
      <sz val="7"/>
      <color theme="1"/>
      <name val="Times New Roman"/>
      <family val="1"/>
    </font>
    <font>
      <b/>
      <u/>
      <sz val="11"/>
      <color theme="1"/>
      <name val="Arial Narrow"/>
      <family val="2"/>
    </font>
    <font>
      <b/>
      <i/>
      <u/>
      <sz val="11"/>
      <color theme="1"/>
      <name val="Arial Narrow"/>
      <family val="2"/>
    </font>
    <font>
      <sz val="5"/>
      <color theme="1"/>
      <name val="Arial Narrow"/>
      <family val="2"/>
    </font>
    <font>
      <sz val="9"/>
      <color theme="1"/>
      <name val="Arial Narrow"/>
      <family val="2"/>
    </font>
    <font>
      <u/>
      <sz val="11"/>
      <color theme="1"/>
      <name val="Arial Narrow"/>
      <family val="2"/>
    </font>
    <font>
      <sz val="11"/>
      <color theme="1"/>
      <name val="Courier New"/>
      <family val="3"/>
    </font>
    <font>
      <sz val="11"/>
      <color theme="1"/>
      <name val="Arial"/>
      <family val="2"/>
    </font>
    <font>
      <b/>
      <sz val="12"/>
      <color theme="0"/>
      <name val="Arial Narrow"/>
      <family val="2"/>
      <charset val="178"/>
    </font>
    <font>
      <sz val="11"/>
      <color theme="0"/>
      <name val="Times New Roman"/>
      <family val="1"/>
      <charset val="178"/>
    </font>
    <font>
      <b/>
      <sz val="11"/>
      <color rgb="FF000000"/>
      <name val="Arial Narrow"/>
      <family val="2"/>
    </font>
    <font>
      <sz val="20"/>
      <color theme="1"/>
      <name val="Arial Narrow"/>
      <family val="2"/>
    </font>
    <font>
      <sz val="11"/>
      <color rgb="FF000000"/>
      <name val="Arial Narrow"/>
      <family val="2"/>
    </font>
    <font>
      <b/>
      <sz val="12"/>
      <name val="Times New Roman"/>
      <family val="1"/>
    </font>
    <font>
      <b/>
      <sz val="11"/>
      <color theme="0"/>
      <name val="Times New Roman"/>
      <family val="1"/>
    </font>
    <font>
      <b/>
      <sz val="11"/>
      <color theme="1"/>
      <name val="Calibri"/>
      <family val="2"/>
      <scheme val="minor"/>
    </font>
    <font>
      <b/>
      <sz val="12"/>
      <color theme="1"/>
      <name val="Calibri"/>
      <family val="2"/>
      <scheme val="minor"/>
    </font>
    <font>
      <b/>
      <i/>
      <u/>
      <sz val="14"/>
      <color theme="0"/>
      <name val="Arial Narrow"/>
      <family val="2"/>
    </font>
    <font>
      <sz val="14"/>
      <color theme="1"/>
      <name val="Arial Narrow"/>
      <family val="2"/>
    </font>
    <font>
      <sz val="12"/>
      <name val="Courier New"/>
      <family val="3"/>
    </font>
    <font>
      <b/>
      <sz val="11"/>
      <color rgb="FFFF0000"/>
      <name val="Arial Narrow"/>
      <family val="2"/>
    </font>
    <font>
      <b/>
      <sz val="12"/>
      <name val="Arial Narrow"/>
      <family val="2"/>
    </font>
    <font>
      <b/>
      <i/>
      <sz val="11"/>
      <name val="Arial Narrow"/>
      <family val="2"/>
    </font>
    <font>
      <b/>
      <i/>
      <u/>
      <sz val="11"/>
      <color theme="0"/>
      <name val="Arial Narrow"/>
      <family val="2"/>
    </font>
    <font>
      <b/>
      <sz val="11"/>
      <color rgb="FF993300"/>
      <name val="Arial Narrow"/>
      <family val="2"/>
    </font>
    <font>
      <sz val="11"/>
      <name val="Arial Narrow"/>
      <family val="2"/>
    </font>
    <font>
      <vertAlign val="superscript"/>
      <sz val="11"/>
      <name val="Arial Narrow"/>
      <family val="2"/>
    </font>
    <font>
      <i/>
      <sz val="11"/>
      <name val="Arial Narrow"/>
      <family val="2"/>
    </font>
    <font>
      <b/>
      <vertAlign val="subscript"/>
      <sz val="11"/>
      <name val="Arial Narrow"/>
      <family val="2"/>
    </font>
    <font>
      <b/>
      <sz val="11"/>
      <color theme="1"/>
      <name val="Calibri"/>
      <family val="2"/>
    </font>
    <font>
      <b/>
      <i/>
      <sz val="11"/>
      <color theme="1"/>
      <name val="Calibri"/>
      <family val="2"/>
    </font>
    <font>
      <sz val="11"/>
      <color theme="1"/>
      <name val="Calibri"/>
      <family val="2"/>
    </font>
    <font>
      <sz val="11"/>
      <color rgb="FF000000"/>
      <name val="Calibri"/>
      <family val="2"/>
    </font>
    <font>
      <sz val="10"/>
      <color theme="1"/>
      <name val="Times New Roman"/>
      <family val="1"/>
    </font>
    <font>
      <b/>
      <i/>
      <sz val="11"/>
      <name val="Calibri"/>
      <family val="2"/>
      <scheme val="minor"/>
    </font>
    <font>
      <b/>
      <sz val="11"/>
      <name val="Calibri"/>
      <family val="2"/>
      <scheme val="minor"/>
    </font>
    <font>
      <sz val="11"/>
      <name val="Calibri"/>
      <family val="2"/>
      <scheme val="minor"/>
    </font>
    <font>
      <sz val="11"/>
      <color indexed="8"/>
      <name val="Calibri"/>
      <family val="2"/>
      <scheme val="minor"/>
    </font>
    <font>
      <b/>
      <sz val="12"/>
      <color theme="1"/>
      <name val="Calibri"/>
      <family val="2"/>
    </font>
    <font>
      <b/>
      <sz val="14"/>
      <color theme="1"/>
      <name val="Calibri"/>
      <family val="2"/>
    </font>
    <font>
      <b/>
      <sz val="18"/>
      <color theme="1"/>
      <name val="Arial Narrow"/>
      <family val="2"/>
    </font>
    <font>
      <b/>
      <sz val="11"/>
      <color theme="1"/>
      <name val="Times New Roman"/>
      <family val="1"/>
    </font>
    <font>
      <b/>
      <i/>
      <u/>
      <sz val="16"/>
      <color theme="1"/>
      <name val="Times New Roman"/>
      <family val="1"/>
    </font>
    <font>
      <sz val="11"/>
      <color theme="0"/>
      <name val="Times New Roman"/>
      <family val="1"/>
    </font>
    <font>
      <b/>
      <i/>
      <u/>
      <sz val="18"/>
      <color theme="0"/>
      <name val="Times New Roman"/>
      <family val="1"/>
    </font>
    <font>
      <sz val="11"/>
      <color rgb="FFFF0000"/>
      <name val="Times New Roman"/>
      <family val="1"/>
    </font>
    <font>
      <b/>
      <u/>
      <sz val="14"/>
      <color theme="0"/>
      <name val="Times New Roman"/>
      <family val="1"/>
    </font>
    <font>
      <b/>
      <sz val="12"/>
      <color theme="0"/>
      <name val="Times New Roman"/>
      <family val="1"/>
    </font>
    <font>
      <b/>
      <i/>
      <u/>
      <sz val="12"/>
      <color theme="1"/>
      <name val="Times New Roman"/>
      <family val="1"/>
    </font>
    <font>
      <sz val="12"/>
      <color theme="0"/>
      <name val="Times New Roman"/>
      <family val="1"/>
    </font>
    <font>
      <b/>
      <sz val="12"/>
      <color theme="1"/>
      <name val="Times New Roman"/>
      <family val="1"/>
    </font>
    <font>
      <b/>
      <i/>
      <u/>
      <sz val="14"/>
      <color theme="1"/>
      <name val="Times New Roman"/>
      <family val="1"/>
    </font>
    <font>
      <sz val="12"/>
      <color theme="1"/>
      <name val="Times New Roman"/>
      <family val="1"/>
    </font>
    <font>
      <sz val="10"/>
      <name val="Times New Roman"/>
      <family val="1"/>
    </font>
    <font>
      <sz val="12"/>
      <color rgb="FF000000"/>
      <name val="Arial"/>
      <family val="2"/>
    </font>
    <font>
      <b/>
      <sz val="11"/>
      <color rgb="FFFFFFFF"/>
      <name val="Calibri"/>
      <family val="2"/>
    </font>
    <font>
      <b/>
      <sz val="48"/>
      <color theme="0"/>
      <name val="Arial Narrow"/>
      <family val="2"/>
    </font>
    <font>
      <sz val="12"/>
      <name val="Arial Narrow"/>
      <family val="2"/>
    </font>
    <font>
      <sz val="12"/>
      <color theme="0"/>
      <name val="Arial Narrow"/>
      <family val="2"/>
    </font>
    <font>
      <b/>
      <sz val="10"/>
      <color indexed="56"/>
      <name val="Arial Narrow"/>
      <family val="2"/>
    </font>
    <font>
      <b/>
      <u/>
      <sz val="10"/>
      <color indexed="56"/>
      <name val="Arial Narrow"/>
      <family val="2"/>
    </font>
    <font>
      <sz val="10"/>
      <color indexed="56"/>
      <name val="Arial Narrow"/>
      <family val="2"/>
    </font>
    <font>
      <b/>
      <sz val="10"/>
      <color theme="3"/>
      <name val="Arial Narrow"/>
      <family val="2"/>
    </font>
    <font>
      <b/>
      <sz val="10"/>
      <name val="Arial Narrow"/>
      <family val="2"/>
    </font>
    <font>
      <b/>
      <sz val="10"/>
      <color theme="5" tint="-0.499984740745262"/>
      <name val="Arial Narrow"/>
      <family val="2"/>
    </font>
    <font>
      <sz val="10"/>
      <name val="Arial Narrow"/>
      <family val="2"/>
    </font>
    <font>
      <b/>
      <i/>
      <u/>
      <sz val="14"/>
      <color theme="1"/>
      <name val="Arial Narrow"/>
      <family val="2"/>
    </font>
    <font>
      <b/>
      <sz val="12"/>
      <color rgb="FF000000"/>
      <name val="Arial Narrow"/>
      <family val="2"/>
    </font>
    <font>
      <b/>
      <sz val="22"/>
      <color theme="1"/>
      <name val="Arial Narrow"/>
      <family val="2"/>
    </font>
    <font>
      <sz val="12"/>
      <color rgb="FFFF0000"/>
      <name val="Arial Narrow"/>
      <family val="2"/>
    </font>
    <font>
      <sz val="11"/>
      <color rgb="FFFF0000"/>
      <name val="Arial Narrow"/>
      <family val="2"/>
    </font>
    <font>
      <sz val="12"/>
      <name val="Arial"/>
      <family val="2"/>
    </font>
    <font>
      <b/>
      <sz val="14"/>
      <color rgb="FF000000"/>
      <name val="Arial"/>
      <family val="2"/>
    </font>
    <font>
      <sz val="11"/>
      <color rgb="FFFF0000"/>
      <name val="Symbol"/>
      <family val="1"/>
      <charset val="2"/>
    </font>
    <font>
      <b/>
      <sz val="11"/>
      <color theme="0"/>
      <name val="Arial Narrow"/>
      <family val="2"/>
    </font>
    <font>
      <sz val="10"/>
      <color theme="1"/>
      <name val="Arial Narrow"/>
      <family val="2"/>
    </font>
    <font>
      <sz val="10"/>
      <color theme="0"/>
      <name val="Arial Narrow"/>
      <family val="2"/>
    </font>
    <font>
      <sz val="11"/>
      <color theme="0"/>
      <name val="Arial Narrow"/>
      <family val="2"/>
    </font>
    <font>
      <sz val="14"/>
      <color theme="0"/>
      <name val="Arial Narrow"/>
      <family val="2"/>
    </font>
    <font>
      <b/>
      <sz val="16"/>
      <color theme="0"/>
      <name val="Arial Narrow"/>
      <family val="2"/>
    </font>
    <font>
      <b/>
      <u/>
      <sz val="16"/>
      <color theme="0"/>
      <name val="Arial Narrow"/>
      <family val="2"/>
    </font>
    <font>
      <b/>
      <i/>
      <u/>
      <sz val="16"/>
      <color theme="0"/>
      <name val="Arial Narrow"/>
      <family val="2"/>
    </font>
    <font>
      <b/>
      <i/>
      <sz val="14"/>
      <color theme="0"/>
      <name val="Arial Narrow"/>
      <family val="2"/>
    </font>
    <font>
      <b/>
      <sz val="14"/>
      <color theme="0"/>
      <name val="Calibri"/>
      <family val="2"/>
    </font>
    <font>
      <b/>
      <u/>
      <sz val="18"/>
      <color theme="2"/>
      <name val="Calibri"/>
      <family val="2"/>
      <scheme val="minor"/>
    </font>
    <font>
      <b/>
      <u/>
      <sz val="16"/>
      <color theme="2"/>
      <name val="Arial Narrow"/>
      <family val="2"/>
    </font>
    <font>
      <b/>
      <sz val="18"/>
      <color rgb="FFFF0000"/>
      <name val="Calibri"/>
      <family val="2"/>
      <scheme val="minor"/>
    </font>
    <font>
      <b/>
      <sz val="18"/>
      <color theme="0"/>
      <name val="Calibri"/>
      <family val="2"/>
      <scheme val="minor"/>
    </font>
    <font>
      <b/>
      <sz val="16"/>
      <color theme="2"/>
      <name val="Calibri"/>
      <family val="2"/>
    </font>
    <font>
      <b/>
      <sz val="18"/>
      <color theme="2"/>
      <name val="Calibri"/>
      <family val="2"/>
      <scheme val="minor"/>
    </font>
    <font>
      <b/>
      <sz val="16"/>
      <color theme="2"/>
      <name val="Arial Narrow"/>
      <family val="2"/>
    </font>
    <font>
      <sz val="12"/>
      <name val="Times New Roman"/>
      <family val="1"/>
    </font>
    <font>
      <sz val="13"/>
      <name val="Times New Roman"/>
      <family val="1"/>
    </font>
    <font>
      <b/>
      <sz val="10"/>
      <color indexed="60"/>
      <name val="Arial"/>
      <family val="2"/>
    </font>
    <font>
      <b/>
      <sz val="22"/>
      <color theme="0" tint="-4.9989318521683403E-2"/>
      <name val="Arial Narrow"/>
      <family val="2"/>
    </font>
    <font>
      <b/>
      <i/>
      <u/>
      <sz val="20"/>
      <color theme="0"/>
      <name val="Arial Narrow"/>
      <family val="2"/>
    </font>
    <font>
      <b/>
      <sz val="11"/>
      <name val="Arial"/>
      <family val="2"/>
    </font>
    <font>
      <b/>
      <sz val="11"/>
      <color rgb="FF000000"/>
      <name val="Arial"/>
      <family val="2"/>
    </font>
    <font>
      <sz val="7"/>
      <color rgb="FFFF0000"/>
      <name val="Times New Roman"/>
      <family val="1"/>
    </font>
    <font>
      <b/>
      <u/>
      <sz val="11"/>
      <color rgb="FFFF0000"/>
      <name val="Arial Narrow"/>
      <family val="2"/>
    </font>
    <font>
      <b/>
      <i/>
      <u/>
      <sz val="11"/>
      <color rgb="FFFF0000"/>
      <name val="Arial Narrow"/>
      <family val="2"/>
    </font>
    <font>
      <sz val="9"/>
      <name val="Arial"/>
      <family val="2"/>
    </font>
    <font>
      <b/>
      <sz val="9"/>
      <name val="Arial"/>
      <family val="2"/>
    </font>
    <font>
      <b/>
      <sz val="10"/>
      <name val="Arial"/>
      <family val="2"/>
    </font>
    <font>
      <b/>
      <sz val="10"/>
      <name val="Arial"/>
      <family val="2"/>
      <charset val="178"/>
    </font>
    <font>
      <b/>
      <sz val="8"/>
      <name val="Arial"/>
      <family val="2"/>
      <charset val="178"/>
    </font>
    <font>
      <b/>
      <sz val="9"/>
      <name val="Arial"/>
      <family val="2"/>
      <charset val="178"/>
    </font>
    <font>
      <sz val="11"/>
      <color rgb="FFEE0000"/>
      <name val="Symbol"/>
      <family val="1"/>
      <charset val="2"/>
    </font>
    <font>
      <sz val="7"/>
      <color rgb="FFEE0000"/>
      <name val="Times New Roman"/>
      <family val="1"/>
    </font>
    <font>
      <sz val="11"/>
      <color rgb="FFEE0000"/>
      <name val="Arial Narrow"/>
      <family val="2"/>
    </font>
    <font>
      <b/>
      <sz val="11"/>
      <color rgb="FFEE0000"/>
      <name val="Arial Narrow"/>
      <family val="2"/>
    </font>
    <font>
      <b/>
      <i/>
      <sz val="11"/>
      <color rgb="FFFF0000"/>
      <name val="Arial Narrow"/>
      <family val="2"/>
    </font>
    <font>
      <b/>
      <i/>
      <u/>
      <sz val="11"/>
      <color rgb="FF000000"/>
      <name val="Arial Narrow"/>
      <family val="2"/>
    </font>
    <font>
      <sz val="11"/>
      <color theme="1"/>
      <name val="Univers"/>
      <family val="2"/>
    </font>
    <font>
      <b/>
      <sz val="12"/>
      <color theme="1"/>
      <name val="Univers"/>
      <family val="2"/>
    </font>
    <font>
      <b/>
      <sz val="12"/>
      <color theme="1" tint="0.249977111117893"/>
      <name val="Univers"/>
      <family val="2"/>
    </font>
    <font>
      <sz val="10"/>
      <color theme="1" tint="0.249977111117893"/>
      <name val="Univers"/>
      <family val="2"/>
    </font>
    <font>
      <b/>
      <sz val="9"/>
      <color theme="9" tint="-0.249977111117893"/>
      <name val="Univers"/>
      <family val="2"/>
    </font>
    <font>
      <b/>
      <sz val="11"/>
      <color theme="0" tint="-0.34998626667073579"/>
      <name val="Univers"/>
      <family val="2"/>
    </font>
    <font>
      <b/>
      <sz val="11"/>
      <color rgb="FF00007F"/>
      <name val="Univers"/>
      <family val="2"/>
    </font>
    <font>
      <b/>
      <sz val="10"/>
      <color theme="1"/>
      <name val="Univers"/>
      <family val="2"/>
    </font>
    <font>
      <sz val="10"/>
      <color theme="1"/>
      <name val="Univers"/>
      <family val="2"/>
    </font>
    <font>
      <b/>
      <sz val="14"/>
      <color theme="1"/>
      <name val="Univers"/>
      <family val="2"/>
    </font>
    <font>
      <b/>
      <u/>
      <sz val="12"/>
      <color rgb="FF7F0000"/>
      <name val="Times New Roman"/>
      <family val="1"/>
    </font>
    <font>
      <b/>
      <sz val="11"/>
      <color rgb="FF00007F"/>
      <name val="Times New Roman"/>
      <family val="1"/>
    </font>
    <font>
      <b/>
      <sz val="11"/>
      <color rgb="FFFF0000"/>
      <name val="Times New Roman"/>
      <family val="1"/>
    </font>
    <font>
      <sz val="11"/>
      <name val="Symbol"/>
      <family val="1"/>
      <charset val="2"/>
    </font>
    <font>
      <sz val="11"/>
      <color theme="1"/>
      <name val="Aptos"/>
      <family val="2"/>
    </font>
    <font>
      <b/>
      <sz val="11"/>
      <color rgb="FF007F7F"/>
      <name val="Times New Roman"/>
      <family val="1"/>
    </font>
    <font>
      <b/>
      <sz val="11"/>
      <color rgb="FF7030A0"/>
      <name val="Times New Roman"/>
      <family val="1"/>
    </font>
    <font>
      <b/>
      <sz val="11"/>
      <color theme="9" tint="-0.249977111117893"/>
      <name val="Univers"/>
      <family val="2"/>
    </font>
    <font>
      <b/>
      <sz val="10"/>
      <color theme="1" tint="0.249977111117893"/>
      <name val="Univers"/>
      <family val="2"/>
    </font>
    <font>
      <b/>
      <sz val="11"/>
      <color theme="1" tint="0.249977111117893"/>
      <name val="Univers"/>
      <family val="2"/>
    </font>
    <font>
      <sz val="11"/>
      <color theme="8" tint="-0.249977111117893"/>
      <name val="Univers"/>
      <family val="2"/>
    </font>
    <font>
      <sz val="10"/>
      <color theme="9" tint="-0.249977111117893"/>
      <name val="Univers"/>
      <family val="2"/>
    </font>
    <font>
      <b/>
      <sz val="11"/>
      <color theme="8" tint="-0.249977111117893"/>
      <name val="Univers"/>
      <family val="2"/>
    </font>
    <font>
      <sz val="9"/>
      <name val="Univers"/>
      <family val="2"/>
    </font>
    <font>
      <sz val="9"/>
      <color theme="1"/>
      <name val="Univers"/>
      <family val="2"/>
    </font>
    <font>
      <b/>
      <sz val="11"/>
      <color theme="5" tint="-0.499984740745262"/>
      <name val="Univers"/>
      <family val="2"/>
    </font>
    <font>
      <sz val="9"/>
      <color theme="9" tint="-0.249977111117893"/>
      <name val="Univers"/>
      <family val="2"/>
    </font>
    <font>
      <b/>
      <sz val="11"/>
      <color rgb="FFFF0000"/>
      <name val="Univers"/>
      <family val="2"/>
    </font>
    <font>
      <b/>
      <sz val="11"/>
      <color rgb="FF007F7F"/>
      <name val="Univers"/>
      <family val="2"/>
    </font>
    <font>
      <sz val="11"/>
      <color rgb="FFFF0000"/>
      <name val="Univers"/>
      <family val="2"/>
    </font>
    <font>
      <b/>
      <sz val="11"/>
      <color theme="1"/>
      <name val="Univers"/>
      <family val="2"/>
    </font>
    <font>
      <b/>
      <sz val="9"/>
      <color theme="1"/>
      <name val="Univers"/>
      <family val="2"/>
    </font>
    <font>
      <b/>
      <sz val="14"/>
      <color theme="1"/>
      <name val="Calibri"/>
      <family val="2"/>
      <scheme val="minor"/>
    </font>
    <font>
      <b/>
      <sz val="12"/>
      <color rgb="FFFF0000"/>
      <name val="Calibri"/>
      <family val="2"/>
      <scheme val="minor"/>
    </font>
    <font>
      <sz val="12"/>
      <color rgb="FF000000"/>
      <name val="Aptos Narrow"/>
      <family val="2"/>
    </font>
    <font>
      <b/>
      <sz val="12"/>
      <color rgb="FF000000"/>
      <name val="Aptos Narrow"/>
      <family val="2"/>
    </font>
    <font>
      <b/>
      <sz val="11"/>
      <color rgb="FFFF0000"/>
      <name val="Calibri"/>
      <family val="2"/>
      <scheme val="minor"/>
    </font>
    <font>
      <b/>
      <sz val="11"/>
      <color theme="1"/>
      <name val="Aptos"/>
      <family val="2"/>
    </font>
    <font>
      <b/>
      <sz val="11"/>
      <color rgb="FFEE0000"/>
      <name val="Aptos"/>
      <family val="2"/>
    </font>
    <font>
      <b/>
      <sz val="9"/>
      <color theme="1"/>
      <name val="Arial"/>
      <family val="2"/>
    </font>
    <font>
      <b/>
      <sz val="16"/>
      <color theme="1"/>
      <name val="Calibri"/>
      <family val="2"/>
      <scheme val="minor"/>
    </font>
    <font>
      <sz val="12"/>
      <color theme="1"/>
      <name val="Cambria"/>
      <family val="1"/>
      <scheme val="major"/>
    </font>
    <font>
      <b/>
      <sz val="12"/>
      <color theme="1"/>
      <name val="Cambria"/>
      <family val="1"/>
      <scheme val="major"/>
    </font>
    <font>
      <b/>
      <sz val="14"/>
      <color theme="1"/>
      <name val="Cambria"/>
      <family val="2"/>
      <scheme val="major"/>
    </font>
    <font>
      <b/>
      <sz val="12"/>
      <color indexed="10"/>
      <name val="Cambria"/>
      <family val="1"/>
    </font>
    <font>
      <b/>
      <sz val="12"/>
      <color indexed="8"/>
      <name val="Cambria"/>
      <family val="1"/>
    </font>
    <font>
      <b/>
      <sz val="12"/>
      <name val="Cambria"/>
      <family val="1"/>
      <scheme val="major"/>
    </font>
    <font>
      <sz val="12"/>
      <name val="Cambria"/>
      <family val="1"/>
      <scheme val="major"/>
    </font>
    <font>
      <sz val="11"/>
      <color theme="9" tint="-0.249977111117893"/>
      <name val="Univers"/>
      <family val="2"/>
    </font>
    <font>
      <sz val="8"/>
      <color theme="9" tint="0.39997558519241921"/>
      <name val="Univers"/>
      <family val="2"/>
    </font>
    <font>
      <sz val="9"/>
      <color theme="9" tint="0.39997558519241921"/>
      <name val="Univers"/>
      <family val="2"/>
    </font>
    <font>
      <b/>
      <sz val="11"/>
      <color indexed="8"/>
      <name val="Calibri"/>
      <family val="2"/>
    </font>
    <font>
      <vertAlign val="subscript"/>
      <sz val="11"/>
      <color indexed="8"/>
      <name val="Calibri"/>
      <family val="2"/>
    </font>
    <font>
      <b/>
      <sz val="18"/>
      <color rgb="FF7030A0"/>
      <name val="Calibri"/>
      <family val="2"/>
      <scheme val="minor"/>
    </font>
    <font>
      <b/>
      <sz val="10"/>
      <color rgb="FF000000"/>
      <name val="Arial"/>
      <family val="2"/>
    </font>
    <font>
      <sz val="11"/>
      <color rgb="FFFF0000"/>
      <name val="Calibri"/>
      <family val="2"/>
      <scheme val="minor"/>
    </font>
    <font>
      <b/>
      <sz val="12"/>
      <color rgb="FF000000"/>
      <name val="Calibri"/>
      <family val="2"/>
    </font>
    <font>
      <sz val="11"/>
      <color rgb="FF000000"/>
      <name val="Times New Roman"/>
      <family val="1"/>
    </font>
    <font>
      <b/>
      <sz val="11"/>
      <color theme="0"/>
      <name val="Times New Roman"/>
      <family val="1"/>
    </font>
  </fonts>
  <fills count="89">
    <fill>
      <patternFill patternType="none"/>
    </fill>
    <fill>
      <patternFill patternType="gray125"/>
    </fill>
    <fill>
      <patternFill patternType="solid">
        <fgColor rgb="FFC6EFCE"/>
      </patternFill>
    </fill>
    <fill>
      <patternFill patternType="solid">
        <fgColor rgb="FFA5A5A5"/>
      </patternFill>
    </fill>
    <fill>
      <patternFill patternType="solid">
        <fgColor rgb="FFFFFFCC"/>
      </patternFill>
    </fill>
    <fill>
      <patternFill patternType="solid">
        <fgColor theme="4"/>
        <bgColor theme="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AEAAAA"/>
        <bgColor indexed="64"/>
      </patternFill>
    </fill>
    <fill>
      <patternFill patternType="solid">
        <fgColor indexed="65" tint="-0.249977111117893"/>
        <bgColor indexed="64"/>
      </patternFill>
    </fill>
    <fill>
      <patternFill patternType="solid">
        <fgColor rgb="FFFFFF00"/>
        <bgColor indexed="64"/>
      </patternFill>
    </fill>
    <fill>
      <patternFill patternType="solid">
        <fgColor theme="0" tint="-0.499984740745262"/>
        <bgColor indexed="64"/>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24997711111789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7" tint="-0.499984740745262"/>
        <bgColor indexed="64"/>
      </patternFill>
    </fill>
    <fill>
      <patternFill patternType="solid">
        <fgColor theme="7" tint="-0.249977111117893"/>
        <bgColor indexed="64"/>
      </patternFill>
    </fill>
    <fill>
      <patternFill patternType="solid">
        <fgColor theme="1" tint="0.14999847407452621"/>
        <bgColor indexed="64"/>
      </patternFill>
    </fill>
    <fill>
      <patternFill patternType="solid">
        <fgColor theme="8" tint="-0.499984740745262"/>
        <bgColor indexed="64"/>
      </patternFill>
    </fill>
    <fill>
      <patternFill patternType="solid">
        <fgColor theme="0"/>
        <bgColor indexed="64"/>
      </patternFill>
    </fill>
    <fill>
      <patternFill patternType="solid">
        <fgColor theme="5" tint="0.39997558519241921"/>
        <bgColor indexed="64"/>
      </patternFill>
    </fill>
    <fill>
      <patternFill patternType="solid">
        <fgColor rgb="FFC0C0C0"/>
        <bgColor indexed="64"/>
      </patternFill>
    </fill>
    <fill>
      <patternFill patternType="solid">
        <fgColor rgb="FF00B0F0"/>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FFFF"/>
        <bgColor indexed="64"/>
      </patternFill>
    </fill>
    <fill>
      <patternFill patternType="solid">
        <fgColor theme="6" tint="-0.49998474074526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2" tint="-0.249977111117893"/>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rgb="FFFFFFFF"/>
      </patternFill>
    </fill>
    <fill>
      <patternFill patternType="solid">
        <fgColor rgb="FFDAEDF3"/>
      </patternFill>
    </fill>
    <fill>
      <patternFill patternType="solid">
        <fgColor rgb="FFFCE9D9"/>
      </patternFill>
    </fill>
    <fill>
      <patternFill patternType="solid">
        <fgColor theme="3" tint="0.59999389629810485"/>
        <bgColor indexed="64"/>
      </patternFill>
    </fill>
    <fill>
      <patternFill patternType="solid">
        <fgColor theme="2" tint="-0.749992370372631"/>
        <bgColor indexed="64"/>
      </patternFill>
    </fill>
    <fill>
      <patternFill patternType="solid">
        <fgColor theme="5" tint="-0.499984740745262"/>
        <bgColor indexed="64"/>
      </patternFill>
    </fill>
    <fill>
      <patternFill patternType="solid">
        <fgColor rgb="FF7A7146"/>
        <bgColor indexed="64"/>
      </patternFill>
    </fill>
    <fill>
      <patternFill patternType="solid">
        <fgColor theme="5" tint="-0.249977111117893"/>
        <bgColor indexed="64"/>
      </patternFill>
    </fill>
    <fill>
      <patternFill patternType="solid">
        <fgColor rgb="FFA0AFCE"/>
        <bgColor indexed="64"/>
      </patternFill>
    </fill>
    <fill>
      <patternFill patternType="solid">
        <fgColor rgb="FF4F81BD"/>
        <bgColor rgb="FF4F81BD"/>
      </patternFill>
    </fill>
    <fill>
      <patternFill patternType="solid">
        <fgColor rgb="FF0D0D0D"/>
        <bgColor rgb="FF000000"/>
      </patternFill>
    </fill>
    <fill>
      <patternFill patternType="solid">
        <fgColor rgb="FF000000"/>
        <bgColor rgb="FF000000"/>
      </patternFill>
    </fill>
    <fill>
      <patternFill patternType="solid">
        <fgColor rgb="FFC00000"/>
        <bgColor rgb="FF000000"/>
      </patternFill>
    </fill>
    <fill>
      <patternFill patternType="solid">
        <fgColor rgb="FFDCE6F1"/>
        <bgColor rgb="FFDCE6F1"/>
      </patternFill>
    </fill>
    <fill>
      <patternFill patternType="solid">
        <fgColor rgb="FF002060"/>
        <bgColor indexed="64"/>
      </patternFill>
    </fill>
    <fill>
      <patternFill patternType="solid">
        <fgColor theme="2" tint="-0.89999084444715716"/>
        <bgColor indexed="64"/>
      </patternFill>
    </fill>
    <fill>
      <patternFill patternType="solid">
        <fgColor theme="1" tint="0.249977111117893"/>
        <bgColor indexed="64"/>
      </patternFill>
    </fill>
    <fill>
      <patternFill patternType="solid">
        <fgColor theme="4" tint="-0.249977111117893"/>
        <bgColor theme="4"/>
      </patternFill>
    </fill>
    <fill>
      <patternFill patternType="solid">
        <fgColor indexed="56"/>
        <bgColor indexed="64"/>
      </patternFill>
    </fill>
    <fill>
      <patternFill patternType="solid">
        <fgColor indexed="56"/>
        <bgColor theme="4"/>
      </patternFill>
    </fill>
    <fill>
      <patternFill patternType="solid">
        <fgColor rgb="FFDCE6F1"/>
        <bgColor indexed="64"/>
      </patternFill>
    </fill>
    <fill>
      <patternFill patternType="solid">
        <fgColor rgb="FFD9D9D9"/>
        <bgColor indexed="64"/>
      </patternFill>
    </fill>
    <fill>
      <patternFill patternType="solid">
        <fgColor rgb="FFDDD9C4"/>
        <bgColor indexed="64"/>
      </patternFill>
    </fill>
    <fill>
      <patternFill patternType="solid">
        <fgColor theme="3"/>
        <bgColor indexed="64"/>
      </patternFill>
    </fill>
    <fill>
      <patternFill patternType="solid">
        <fgColor rgb="FF030000"/>
        <bgColor indexed="64"/>
      </patternFill>
    </fill>
    <fill>
      <patternFill patternType="solid">
        <fgColor theme="4" tint="0.39997558519241921"/>
        <bgColor indexed="64"/>
      </patternFill>
    </fill>
    <fill>
      <patternFill patternType="solid">
        <fgColor rgb="FF00518E"/>
        <bgColor indexed="64"/>
      </patternFill>
    </fill>
    <fill>
      <patternFill patternType="solid">
        <fgColor rgb="FF4E3C62"/>
        <bgColor indexed="64"/>
      </patternFill>
    </fill>
    <fill>
      <patternFill patternType="solid">
        <fgColor theme="9" tint="-0.499984740745262"/>
        <bgColor indexed="64"/>
      </patternFill>
    </fill>
    <fill>
      <patternFill patternType="solid">
        <fgColor theme="2" tint="-0.499984740745262"/>
        <bgColor indexed="64"/>
      </patternFill>
    </fill>
    <fill>
      <patternFill patternType="solid">
        <fgColor rgb="FF756D43"/>
        <bgColor indexed="64"/>
      </patternFill>
    </fill>
    <fill>
      <patternFill patternType="solid">
        <fgColor rgb="FF594470"/>
        <bgColor indexed="64"/>
      </patternFill>
    </fill>
    <fill>
      <patternFill patternType="solid">
        <fgColor rgb="FFFFFF00"/>
      </patternFill>
    </fill>
    <fill>
      <patternFill patternType="solid">
        <fgColor indexed="22"/>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rgb="FFDAE9F8"/>
        <bgColor indexed="64"/>
      </patternFill>
    </fill>
    <fill>
      <patternFill patternType="solid">
        <fgColor rgb="FFC5E0B3"/>
        <bgColor indexed="64"/>
      </patternFill>
    </fill>
    <fill>
      <patternFill patternType="solid">
        <fgColor rgb="FF92D050"/>
        <bgColor indexed="64"/>
      </patternFill>
    </fill>
    <fill>
      <patternFill patternType="solid">
        <fgColor rgb="FF0070C0"/>
        <bgColor indexed="64"/>
      </patternFill>
    </fill>
    <fill>
      <patternFill patternType="solid">
        <fgColor rgb="FF4F81BD"/>
        <bgColor indexed="64"/>
      </patternFill>
    </fill>
    <fill>
      <patternFill patternType="solid">
        <fgColor rgb="FFB8CCE4"/>
        <bgColor indexed="64"/>
      </patternFill>
    </fill>
    <fill>
      <patternFill patternType="solid">
        <fgColor rgb="FFC4BD97"/>
        <bgColor indexed="64"/>
      </patternFill>
    </fill>
    <fill>
      <patternFill patternType="solid">
        <fgColor rgb="FF94CDDC"/>
        <bgColor indexed="64"/>
      </patternFill>
    </fill>
  </fills>
  <borders count="15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rgb="FFB2B2B2"/>
      </left>
      <right style="thin">
        <color rgb="FFB2B2B2"/>
      </right>
      <top style="thin">
        <color rgb="FFB2B2B2"/>
      </top>
      <bottom style="thin">
        <color rgb="FFB2B2B2"/>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double">
        <color rgb="FF3F3F3F"/>
      </right>
      <top style="medium">
        <color indexed="64"/>
      </top>
      <bottom style="medium">
        <color indexed="64"/>
      </bottom>
      <diagonal/>
    </border>
    <border>
      <left style="double">
        <color rgb="FF3F3F3F"/>
      </left>
      <right style="double">
        <color rgb="FF3F3F3F"/>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right style="medium">
        <color indexed="64"/>
      </right>
      <top/>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top style="thick">
        <color indexed="64"/>
      </top>
      <bottom/>
      <diagonal/>
    </border>
    <border>
      <left style="thick">
        <color indexed="64"/>
      </left>
      <right/>
      <top/>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double">
        <color rgb="FF3F3F3F"/>
      </left>
      <right/>
      <top style="medium">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thin">
        <color indexed="64"/>
      </left>
      <right style="medium">
        <color indexed="64"/>
      </right>
      <top style="medium">
        <color indexed="64"/>
      </top>
      <bottom/>
      <diagonal/>
    </border>
    <border>
      <left style="thin">
        <color theme="0"/>
      </left>
      <right style="thin">
        <color theme="0"/>
      </right>
      <top style="thin">
        <color theme="0"/>
      </top>
      <bottom style="thin">
        <color theme="0"/>
      </bottom>
      <diagonal/>
    </border>
    <border>
      <left/>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ck">
        <color indexed="64"/>
      </left>
      <right/>
      <top style="medium">
        <color indexed="64"/>
      </top>
      <bottom style="medium">
        <color indexed="64"/>
      </bottom>
      <diagonal/>
    </border>
    <border>
      <left style="thin">
        <color indexed="64"/>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medium">
        <color indexed="64"/>
      </top>
      <bottom style="thin">
        <color theme="4" tint="0.39997558519241921"/>
      </bottom>
      <diagonal/>
    </border>
    <border>
      <left/>
      <right style="thin">
        <color theme="4" tint="0.39997558519241921"/>
      </right>
      <top style="medium">
        <color indexed="64"/>
      </top>
      <bottom style="thin">
        <color theme="4" tint="0.39997558519241921"/>
      </bottom>
      <diagonal/>
    </border>
    <border>
      <left style="medium">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thin">
        <color indexed="64"/>
      </left>
      <right/>
      <top/>
      <bottom style="medium">
        <color indexed="64"/>
      </bottom>
      <diagonal/>
    </border>
    <border>
      <left style="medium">
        <color indexed="64"/>
      </left>
      <right style="double">
        <color indexed="64"/>
      </right>
      <top style="medium">
        <color indexed="64"/>
      </top>
      <bottom style="thin">
        <color indexed="64"/>
      </bottom>
      <diagonal/>
    </border>
    <border>
      <left style="double">
        <color indexed="64"/>
      </left>
      <right style="double">
        <color indexed="64"/>
      </right>
      <top style="medium">
        <color indexed="64"/>
      </top>
      <bottom style="thin">
        <color indexed="64"/>
      </bottom>
      <diagonal/>
    </border>
    <border>
      <left style="double">
        <color indexed="64"/>
      </left>
      <right style="medium">
        <color indexed="64"/>
      </right>
      <top style="medium">
        <color indexed="64"/>
      </top>
      <bottom style="thin">
        <color indexed="64"/>
      </bottom>
      <diagonal/>
    </border>
    <border>
      <left style="medium">
        <color indexed="64"/>
      </left>
      <right style="double">
        <color indexed="64"/>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style="medium">
        <color indexed="64"/>
      </right>
      <top/>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medium">
        <color indexed="64"/>
      </left>
      <right/>
      <top style="thin">
        <color indexed="64"/>
      </top>
      <bottom style="medium">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indexed="64"/>
      </left>
      <right style="thin">
        <color theme="4" tint="0.39997558519241921"/>
      </right>
      <top/>
      <bottom style="thin">
        <color theme="4" tint="0.39997558519241921"/>
      </bottom>
      <diagonal/>
    </border>
    <border>
      <left/>
      <right/>
      <top/>
      <bottom style="thin">
        <color theme="4" tint="0.3999755851924192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style="thin">
        <color rgb="FF000000"/>
      </top>
      <bottom style="thin">
        <color rgb="FF000000"/>
      </bottom>
      <diagonal/>
    </border>
    <border>
      <left/>
      <right/>
      <top/>
      <bottom style="thin">
        <color rgb="FF95B3D7"/>
      </bottom>
      <diagonal/>
    </border>
    <border>
      <left/>
      <right style="medium">
        <color indexed="64"/>
      </right>
      <top/>
      <bottom style="thin">
        <color indexed="64"/>
      </bottom>
      <diagonal/>
    </border>
    <border>
      <left style="thin">
        <color indexed="64"/>
      </left>
      <right style="thin">
        <color indexed="64"/>
      </right>
      <top style="thin">
        <color rgb="FF95B3D7"/>
      </top>
      <bottom style="thin">
        <color indexed="64"/>
      </bottom>
      <diagonal/>
    </border>
    <border>
      <left style="thin">
        <color indexed="64"/>
      </left>
      <right/>
      <top style="thin">
        <color rgb="FF95B3D7"/>
      </top>
      <bottom style="thin">
        <color indexed="64"/>
      </bottom>
      <diagonal/>
    </border>
    <border>
      <left/>
      <right/>
      <top style="thin">
        <color rgb="FF95B3D7"/>
      </top>
      <bottom style="thin">
        <color rgb="FF95B3D7"/>
      </bottom>
      <diagonal/>
    </border>
    <border>
      <left style="thin">
        <color indexed="64"/>
      </left>
      <right style="thin">
        <color indexed="64"/>
      </right>
      <top style="thin">
        <color rgb="FF95B3D7"/>
      </top>
      <bottom/>
      <diagonal/>
    </border>
    <border>
      <left style="thin">
        <color indexed="64"/>
      </left>
      <right/>
      <top style="thin">
        <color rgb="FF95B3D7"/>
      </top>
      <bottom/>
      <diagonal/>
    </border>
    <border>
      <left/>
      <right/>
      <top style="thin">
        <color rgb="FF95B3D7"/>
      </top>
      <bottom/>
      <diagonal/>
    </border>
    <border>
      <left style="thick">
        <color indexed="64"/>
      </left>
      <right/>
      <top style="thick">
        <color indexed="64"/>
      </top>
      <bottom style="thick">
        <color indexed="64"/>
      </bottom>
      <diagonal/>
    </border>
    <border>
      <left style="thin">
        <color theme="4" tint="0.39997558519241921"/>
      </left>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
      <left/>
      <right/>
      <top/>
      <bottom style="thick">
        <color theme="0" tint="-0.24994659260841701"/>
      </bottom>
      <diagonal/>
    </border>
    <border>
      <left/>
      <right/>
      <top style="medium">
        <color theme="0" tint="-0.34998626667073579"/>
      </top>
      <bottom style="thick">
        <color theme="0" tint="-0.24994659260841701"/>
      </bottom>
      <diagonal/>
    </border>
    <border>
      <left/>
      <right/>
      <top style="thick">
        <color theme="0" tint="-0.24994659260841701"/>
      </top>
      <bottom/>
      <diagonal/>
    </border>
    <border>
      <left/>
      <right/>
      <top/>
      <bottom style="thick">
        <color theme="9" tint="0.59996337778862885"/>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right style="medium">
        <color indexed="64"/>
      </right>
      <top style="thin">
        <color indexed="64"/>
      </top>
      <bottom/>
      <diagonal/>
    </border>
    <border>
      <left style="double">
        <color indexed="64"/>
      </left>
      <right/>
      <top/>
      <bottom/>
      <diagonal/>
    </border>
    <border>
      <left/>
      <right/>
      <top style="double">
        <color indexed="64"/>
      </top>
      <bottom/>
      <diagonal/>
    </border>
    <border>
      <left/>
      <right/>
      <top/>
      <bottom style="double">
        <color indexed="64"/>
      </bottom>
      <diagonal/>
    </border>
    <border>
      <left/>
      <right style="thick">
        <color auto="1"/>
      </right>
      <top/>
      <bottom/>
      <diagonal/>
    </border>
    <border>
      <left/>
      <right style="medium">
        <color rgb="FFFFFFFF"/>
      </right>
      <top/>
      <bottom style="thick">
        <color rgb="FFFFFFFF"/>
      </bottom>
      <diagonal/>
    </border>
    <border>
      <left/>
      <right/>
      <top/>
      <bottom style="thick">
        <color rgb="FFFFFFFF"/>
      </bottom>
      <diagonal/>
    </border>
    <border>
      <left/>
      <right style="medium">
        <color rgb="FFFFFFFF"/>
      </right>
      <top/>
      <bottom style="medium">
        <color rgb="FFFFFFFF"/>
      </bottom>
      <diagonal/>
    </border>
    <border>
      <left/>
      <right/>
      <top/>
      <bottom style="medium">
        <color rgb="FFFFFFFF"/>
      </bottom>
      <diagonal/>
    </border>
    <border>
      <left/>
      <right style="medium">
        <color rgb="FFFFFFFF"/>
      </right>
      <top/>
      <bottom/>
      <diagonal/>
    </border>
    <border>
      <left style="medium">
        <color rgb="FFFFFFFF"/>
      </left>
      <right/>
      <top/>
      <bottom style="thick">
        <color rgb="FFFFFFFF"/>
      </bottom>
      <diagonal/>
    </border>
    <border>
      <left style="medium">
        <color rgb="FFFFFFFF"/>
      </left>
      <right/>
      <top/>
      <bottom/>
      <diagonal/>
    </border>
  </borders>
  <cellStyleXfs count="17">
    <xf numFmtId="0" fontId="0" fillId="0" borderId="0"/>
    <xf numFmtId="164" fontId="1" fillId="0" borderId="0" applyFont="0" applyFill="0" applyBorder="0" applyAlignment="0" applyProtection="0"/>
    <xf numFmtId="0" fontId="2" fillId="2" borderId="0" applyNumberFormat="0" applyBorder="0" applyAlignment="0" applyProtection="0"/>
    <xf numFmtId="0" fontId="3" fillId="3" borderId="3" applyNumberFormat="0" applyAlignment="0" applyProtection="0"/>
    <xf numFmtId="165" fontId="1" fillId="0" borderId="0" applyFont="0" applyFill="0" applyBorder="0" applyAlignment="0" applyProtection="0"/>
    <xf numFmtId="0" fontId="4" fillId="0" borderId="0"/>
    <xf numFmtId="0" fontId="1" fillId="4" borderId="23" applyNumberFormat="0" applyFont="0" applyAlignment="0" applyProtection="0"/>
    <xf numFmtId="164" fontId="8" fillId="0" borderId="0" applyFont="0" applyFill="0" applyBorder="0" applyAlignment="0" applyProtection="0"/>
    <xf numFmtId="0" fontId="8" fillId="4" borderId="23" applyNumberFormat="0" applyFont="0" applyAlignment="0" applyProtection="0"/>
    <xf numFmtId="0" fontId="16" fillId="0" borderId="0" applyNumberFormat="0" applyFill="0" applyBorder="0" applyAlignment="0" applyProtection="0"/>
    <xf numFmtId="0" fontId="8" fillId="0" borderId="0"/>
    <xf numFmtId="0" fontId="8" fillId="0" borderId="0"/>
    <xf numFmtId="0" fontId="43" fillId="0" borderId="0"/>
    <xf numFmtId="0" fontId="8" fillId="0" borderId="0"/>
    <xf numFmtId="9" fontId="1" fillId="0" borderId="0" applyFont="0" applyFill="0" applyBorder="0" applyAlignment="0" applyProtection="0"/>
    <xf numFmtId="164" fontId="1" fillId="0" borderId="0" applyFont="0" applyFill="0" applyBorder="0" applyAlignment="0" applyProtection="0"/>
    <xf numFmtId="0" fontId="8" fillId="0" borderId="0"/>
  </cellStyleXfs>
  <cellXfs count="2585">
    <xf numFmtId="0" fontId="0" fillId="0" borderId="0" xfId="0"/>
    <xf numFmtId="3" fontId="5" fillId="0" borderId="0" xfId="0" applyNumberFormat="1" applyFont="1" applyAlignment="1">
      <alignment horizontal="center" vertical="center"/>
    </xf>
    <xf numFmtId="3" fontId="5" fillId="0" borderId="0" xfId="1" applyNumberFormat="1" applyFont="1" applyAlignment="1">
      <alignment horizontal="center" vertical="center"/>
    </xf>
    <xf numFmtId="3" fontId="0" fillId="0" borderId="0" xfId="0" applyNumberFormat="1"/>
    <xf numFmtId="3" fontId="6" fillId="0" borderId="0" xfId="0" applyNumberFormat="1" applyFont="1" applyAlignment="1">
      <alignment vertical="center"/>
    </xf>
    <xf numFmtId="3" fontId="5" fillId="0" borderId="0" xfId="0" applyNumberFormat="1" applyFont="1" applyAlignment="1">
      <alignment horizontal="left" vertical="center"/>
    </xf>
    <xf numFmtId="0" fontId="7" fillId="0" borderId="1" xfId="0" applyFont="1" applyBorder="1" applyAlignment="1">
      <alignment horizontal="center" vertical="center"/>
    </xf>
    <xf numFmtId="3" fontId="7" fillId="0" borderId="0" xfId="0" applyNumberFormat="1" applyFont="1" applyAlignment="1">
      <alignment horizontal="center"/>
    </xf>
    <xf numFmtId="3" fontId="7" fillId="0" borderId="1" xfId="0" applyNumberFormat="1" applyFont="1" applyBorder="1" applyAlignment="1">
      <alignment horizontal="center"/>
    </xf>
    <xf numFmtId="3" fontId="7" fillId="0" borderId="1" xfId="1" applyNumberFormat="1" applyFont="1" applyBorder="1" applyAlignment="1">
      <alignment horizontal="center"/>
    </xf>
    <xf numFmtId="3" fontId="7" fillId="0" borderId="8" xfId="1" applyNumberFormat="1" applyFont="1" applyBorder="1" applyAlignment="1">
      <alignment horizontal="center"/>
    </xf>
    <xf numFmtId="3" fontId="7" fillId="0" borderId="0" xfId="1" applyNumberFormat="1" applyFont="1" applyAlignment="1">
      <alignment horizontal="center"/>
    </xf>
    <xf numFmtId="3" fontId="7" fillId="0" borderId="7" xfId="0" applyNumberFormat="1" applyFont="1" applyBorder="1" applyAlignment="1">
      <alignment horizontal="center"/>
    </xf>
    <xf numFmtId="3" fontId="7" fillId="0" borderId="8" xfId="0" applyNumberFormat="1" applyFont="1" applyBorder="1" applyAlignment="1">
      <alignment horizontal="center"/>
    </xf>
    <xf numFmtId="3" fontId="7" fillId="0" borderId="26" xfId="0" applyNumberFormat="1" applyFont="1" applyBorder="1" applyAlignment="1">
      <alignment horizontal="center"/>
    </xf>
    <xf numFmtId="3" fontId="7" fillId="0" borderId="27" xfId="0" applyNumberFormat="1" applyFont="1" applyBorder="1" applyAlignment="1">
      <alignment horizontal="center"/>
    </xf>
    <xf numFmtId="3" fontId="7" fillId="0" borderId="28" xfId="0" applyNumberFormat="1" applyFont="1" applyBorder="1" applyAlignment="1">
      <alignment horizontal="center"/>
    </xf>
    <xf numFmtId="0" fontId="7" fillId="0" borderId="27" xfId="0" applyFont="1" applyBorder="1" applyAlignment="1">
      <alignment horizontal="center" vertical="center"/>
    </xf>
    <xf numFmtId="3" fontId="7" fillId="0" borderId="27" xfId="1" applyNumberFormat="1" applyFont="1" applyBorder="1" applyAlignment="1">
      <alignment horizontal="center"/>
    </xf>
    <xf numFmtId="3" fontId="7" fillId="0" borderId="28" xfId="1" applyNumberFormat="1" applyFont="1" applyBorder="1" applyAlignment="1">
      <alignment horizontal="center"/>
    </xf>
    <xf numFmtId="3" fontId="7" fillId="0" borderId="7" xfId="1" applyNumberFormat="1" applyFont="1" applyBorder="1" applyAlignment="1">
      <alignment horizontal="center"/>
    </xf>
    <xf numFmtId="3" fontId="7" fillId="0" borderId="26" xfId="1" applyNumberFormat="1" applyFont="1" applyBorder="1" applyAlignment="1">
      <alignment horizontal="center"/>
    </xf>
    <xf numFmtId="3" fontId="7" fillId="0" borderId="25" xfId="1" applyNumberFormat="1" applyFont="1" applyBorder="1" applyAlignment="1">
      <alignment horizontal="center"/>
    </xf>
    <xf numFmtId="3" fontId="7" fillId="0" borderId="34" xfId="1" applyNumberFormat="1" applyFont="1" applyBorder="1" applyAlignment="1">
      <alignment horizontal="center"/>
    </xf>
    <xf numFmtId="3" fontId="7" fillId="0" borderId="29" xfId="0" applyNumberFormat="1" applyFont="1" applyBorder="1" applyAlignment="1">
      <alignment horizontal="center"/>
    </xf>
    <xf numFmtId="0" fontId="7" fillId="0" borderId="25" xfId="0" applyFont="1" applyBorder="1" applyAlignment="1">
      <alignment horizontal="center" vertical="center"/>
    </xf>
    <xf numFmtId="3" fontId="7" fillId="0" borderId="18" xfId="0" applyNumberFormat="1" applyFont="1" applyBorder="1" applyAlignment="1">
      <alignment horizontal="center"/>
    </xf>
    <xf numFmtId="3" fontId="7" fillId="0" borderId="35" xfId="0" applyNumberFormat="1" applyFont="1" applyBorder="1" applyAlignment="1">
      <alignment horizontal="center"/>
    </xf>
    <xf numFmtId="3" fontId="10" fillId="7" borderId="4" xfId="0" applyNumberFormat="1" applyFont="1" applyFill="1" applyBorder="1" applyAlignment="1">
      <alignment horizontal="center"/>
    </xf>
    <xf numFmtId="3" fontId="10" fillId="7" borderId="5" xfId="0" applyNumberFormat="1" applyFont="1" applyFill="1" applyBorder="1" applyAlignment="1">
      <alignment horizontal="center"/>
    </xf>
    <xf numFmtId="3" fontId="10" fillId="7" borderId="6" xfId="0" applyNumberFormat="1" applyFont="1" applyFill="1" applyBorder="1" applyAlignment="1">
      <alignment horizontal="center"/>
    </xf>
    <xf numFmtId="3" fontId="12" fillId="6" borderId="4" xfId="0" applyNumberFormat="1" applyFont="1" applyFill="1" applyBorder="1" applyAlignment="1">
      <alignment horizontal="center"/>
    </xf>
    <xf numFmtId="3" fontId="12" fillId="6" borderId="5" xfId="0" applyNumberFormat="1" applyFont="1" applyFill="1" applyBorder="1" applyAlignment="1">
      <alignment horizontal="center"/>
    </xf>
    <xf numFmtId="3" fontId="12" fillId="7" borderId="4" xfId="0" applyNumberFormat="1" applyFont="1" applyFill="1" applyBorder="1" applyAlignment="1">
      <alignment horizontal="center"/>
    </xf>
    <xf numFmtId="3" fontId="12" fillId="7" borderId="5" xfId="0" applyNumberFormat="1" applyFont="1" applyFill="1" applyBorder="1" applyAlignment="1">
      <alignment horizontal="center"/>
    </xf>
    <xf numFmtId="3" fontId="12" fillId="7" borderId="5" xfId="1" applyNumberFormat="1" applyFont="1" applyFill="1" applyBorder="1" applyAlignment="1">
      <alignment horizontal="center"/>
    </xf>
    <xf numFmtId="3" fontId="12" fillId="7" borderId="6" xfId="0" applyNumberFormat="1" applyFont="1" applyFill="1" applyBorder="1" applyAlignment="1">
      <alignment horizontal="center"/>
    </xf>
    <xf numFmtId="3" fontId="10" fillId="7" borderId="5" xfId="1" applyNumberFormat="1" applyFont="1" applyFill="1" applyBorder="1" applyAlignment="1">
      <alignment horizontal="center"/>
    </xf>
    <xf numFmtId="3" fontId="7" fillId="0" borderId="26" xfId="0" applyNumberFormat="1" applyFont="1" applyBorder="1" applyAlignment="1">
      <alignment horizontal="center" vertical="center"/>
    </xf>
    <xf numFmtId="0" fontId="14" fillId="5" borderId="25" xfId="0" applyFont="1" applyFill="1" applyBorder="1" applyAlignment="1">
      <alignment horizontal="center" vertical="center"/>
    </xf>
    <xf numFmtId="3" fontId="7" fillId="0" borderId="7" xfId="0" applyNumberFormat="1" applyFont="1" applyBorder="1" applyAlignment="1">
      <alignment horizontal="center" vertical="center"/>
    </xf>
    <xf numFmtId="166" fontId="7" fillId="0" borderId="1" xfId="0" applyNumberFormat="1" applyFont="1" applyBorder="1" applyAlignment="1">
      <alignment horizontal="center" vertical="center"/>
    </xf>
    <xf numFmtId="3" fontId="16" fillId="0" borderId="1" xfId="9" applyNumberFormat="1" applyBorder="1" applyAlignment="1">
      <alignment horizontal="center" vertical="center"/>
    </xf>
    <xf numFmtId="3" fontId="7" fillId="0" borderId="18" xfId="1" applyNumberFormat="1" applyFont="1" applyBorder="1" applyAlignment="1">
      <alignment horizontal="center"/>
    </xf>
    <xf numFmtId="3" fontId="11" fillId="7" borderId="33" xfId="0" applyNumberFormat="1" applyFont="1" applyFill="1" applyBorder="1" applyAlignment="1">
      <alignment horizontal="center"/>
    </xf>
    <xf numFmtId="3" fontId="11" fillId="7" borderId="14" xfId="0" applyNumberFormat="1" applyFont="1" applyFill="1" applyBorder="1" applyAlignment="1">
      <alignment horizontal="center"/>
    </xf>
    <xf numFmtId="3" fontId="11" fillId="7" borderId="15" xfId="0" applyNumberFormat="1" applyFont="1" applyFill="1" applyBorder="1" applyAlignment="1">
      <alignment horizontal="center"/>
    </xf>
    <xf numFmtId="3" fontId="11" fillId="7" borderId="0" xfId="0" applyNumberFormat="1" applyFont="1" applyFill="1" applyAlignment="1">
      <alignment horizontal="center"/>
    </xf>
    <xf numFmtId="3" fontId="10" fillId="7" borderId="4" xfId="0" applyNumberFormat="1" applyFont="1" applyFill="1" applyBorder="1" applyAlignment="1">
      <alignment horizontal="center" vertical="center"/>
    </xf>
    <xf numFmtId="3" fontId="10" fillId="7" borderId="5" xfId="0" applyNumberFormat="1" applyFont="1" applyFill="1" applyBorder="1" applyAlignment="1">
      <alignment horizontal="center" vertical="center"/>
    </xf>
    <xf numFmtId="3" fontId="10" fillId="7" borderId="5" xfId="1" applyNumberFormat="1" applyFont="1" applyFill="1" applyBorder="1" applyAlignment="1">
      <alignment horizontal="center" vertical="center"/>
    </xf>
    <xf numFmtId="3" fontId="10" fillId="7" borderId="6" xfId="0" applyNumberFormat="1" applyFont="1" applyFill="1" applyBorder="1" applyAlignment="1">
      <alignment horizontal="center" vertical="center"/>
    </xf>
    <xf numFmtId="3" fontId="12" fillId="7" borderId="4" xfId="0" applyNumberFormat="1" applyFont="1" applyFill="1" applyBorder="1" applyAlignment="1">
      <alignment horizontal="center" vertical="center"/>
    </xf>
    <xf numFmtId="3" fontId="12" fillId="7" borderId="5" xfId="0" applyNumberFormat="1" applyFont="1" applyFill="1" applyBorder="1" applyAlignment="1">
      <alignment horizontal="center" vertical="center"/>
    </xf>
    <xf numFmtId="3" fontId="12" fillId="7" borderId="5" xfId="1" applyNumberFormat="1" applyFont="1" applyFill="1" applyBorder="1" applyAlignment="1">
      <alignment horizontal="center" vertical="center"/>
    </xf>
    <xf numFmtId="3" fontId="12" fillId="7" borderId="6" xfId="0" applyNumberFormat="1" applyFont="1" applyFill="1" applyBorder="1" applyAlignment="1">
      <alignment horizontal="center" vertical="center"/>
    </xf>
    <xf numFmtId="3" fontId="7" fillId="0" borderId="35" xfId="1" applyNumberFormat="1" applyFont="1" applyBorder="1" applyAlignment="1">
      <alignment horizontal="center"/>
    </xf>
    <xf numFmtId="3" fontId="7" fillId="0" borderId="44" xfId="0" applyNumberFormat="1" applyFont="1" applyBorder="1" applyAlignment="1">
      <alignment horizontal="center"/>
    </xf>
    <xf numFmtId="3" fontId="7" fillId="0" borderId="35" xfId="0" applyNumberFormat="1" applyFont="1" applyBorder="1" applyAlignment="1">
      <alignment horizontal="center" vertical="center"/>
    </xf>
    <xf numFmtId="0" fontId="14" fillId="5" borderId="44" xfId="0" applyFont="1" applyFill="1" applyBorder="1" applyAlignment="1">
      <alignment horizontal="center" vertical="center"/>
    </xf>
    <xf numFmtId="3" fontId="11" fillId="8" borderId="45" xfId="0" applyNumberFormat="1" applyFont="1" applyFill="1" applyBorder="1" applyAlignment="1">
      <alignment horizontal="center"/>
    </xf>
    <xf numFmtId="3" fontId="17" fillId="8" borderId="46" xfId="0" applyNumberFormat="1" applyFont="1" applyFill="1" applyBorder="1"/>
    <xf numFmtId="3" fontId="17" fillId="8" borderId="47" xfId="0" applyNumberFormat="1" applyFont="1" applyFill="1" applyBorder="1"/>
    <xf numFmtId="3" fontId="17" fillId="8" borderId="48" xfId="0" applyNumberFormat="1" applyFont="1" applyFill="1" applyBorder="1"/>
    <xf numFmtId="3" fontId="17" fillId="8" borderId="46" xfId="0" applyNumberFormat="1" applyFont="1" applyFill="1" applyBorder="1" applyAlignment="1">
      <alignment wrapText="1"/>
    </xf>
    <xf numFmtId="3" fontId="17" fillId="8" borderId="47" xfId="0" applyNumberFormat="1" applyFont="1" applyFill="1" applyBorder="1" applyAlignment="1">
      <alignment wrapText="1"/>
    </xf>
    <xf numFmtId="3" fontId="17" fillId="8" borderId="48" xfId="0" applyNumberFormat="1" applyFont="1" applyFill="1" applyBorder="1" applyAlignment="1">
      <alignment wrapText="1"/>
    </xf>
    <xf numFmtId="3" fontId="7" fillId="7" borderId="50" xfId="0" applyNumberFormat="1" applyFont="1" applyFill="1" applyBorder="1" applyAlignment="1">
      <alignment horizontal="center" vertical="center" wrapText="1"/>
    </xf>
    <xf numFmtId="3" fontId="13" fillId="8" borderId="12" xfId="2" applyNumberFormat="1" applyFont="1" applyFill="1" applyBorder="1" applyAlignment="1">
      <alignment vertical="center" textRotation="90"/>
    </xf>
    <xf numFmtId="3" fontId="13" fillId="8" borderId="13" xfId="2" applyNumberFormat="1" applyFont="1" applyFill="1" applyBorder="1" applyAlignment="1">
      <alignment vertical="center" textRotation="90"/>
    </xf>
    <xf numFmtId="3" fontId="13" fillId="8" borderId="10" xfId="2" applyNumberFormat="1" applyFont="1" applyFill="1" applyBorder="1" applyAlignment="1">
      <alignment vertical="center" textRotation="90"/>
    </xf>
    <xf numFmtId="3" fontId="19" fillId="8" borderId="4" xfId="3" applyNumberFormat="1" applyFont="1" applyFill="1" applyBorder="1" applyAlignment="1">
      <alignment horizontal="center" vertical="center" wrapText="1"/>
    </xf>
    <xf numFmtId="3" fontId="19" fillId="8" borderId="5" xfId="3" applyNumberFormat="1" applyFont="1" applyFill="1" applyBorder="1" applyAlignment="1">
      <alignment horizontal="center" vertical="center" wrapText="1"/>
    </xf>
    <xf numFmtId="3" fontId="19" fillId="8" borderId="6" xfId="3" applyNumberFormat="1" applyFont="1" applyFill="1" applyBorder="1" applyAlignment="1">
      <alignment horizontal="center" vertical="center" wrapText="1"/>
    </xf>
    <xf numFmtId="3" fontId="19" fillId="9" borderId="4" xfId="6" applyNumberFormat="1" applyFont="1" applyFill="1" applyBorder="1" applyAlignment="1">
      <alignment horizontal="center" vertical="center" wrapText="1"/>
    </xf>
    <xf numFmtId="3" fontId="19" fillId="9" borderId="5" xfId="6" applyNumberFormat="1" applyFont="1" applyFill="1" applyBorder="1" applyAlignment="1">
      <alignment horizontal="center" vertical="center" wrapText="1"/>
    </xf>
    <xf numFmtId="3" fontId="19" fillId="9" borderId="36" xfId="0" applyNumberFormat="1" applyFont="1" applyFill="1" applyBorder="1" applyAlignment="1">
      <alignment horizontal="center" vertical="center" wrapText="1"/>
    </xf>
    <xf numFmtId="3" fontId="19" fillId="9" borderId="5" xfId="3" applyNumberFormat="1" applyFont="1" applyFill="1" applyBorder="1" applyAlignment="1">
      <alignment horizontal="center" vertical="center" wrapText="1"/>
    </xf>
    <xf numFmtId="3" fontId="19" fillId="7" borderId="17" xfId="3" applyNumberFormat="1" applyFont="1" applyFill="1" applyBorder="1" applyAlignment="1">
      <alignment horizontal="center" vertical="center" wrapText="1"/>
    </xf>
    <xf numFmtId="3" fontId="19" fillId="7" borderId="5" xfId="3" applyNumberFormat="1" applyFont="1" applyFill="1" applyBorder="1" applyAlignment="1">
      <alignment horizontal="center" vertical="center" wrapText="1"/>
    </xf>
    <xf numFmtId="3" fontId="19" fillId="7" borderId="6" xfId="3" applyNumberFormat="1" applyFont="1" applyFill="1" applyBorder="1" applyAlignment="1">
      <alignment horizontal="center" vertical="center" wrapText="1"/>
    </xf>
    <xf numFmtId="3" fontId="7" fillId="10" borderId="22" xfId="0" applyNumberFormat="1" applyFont="1" applyFill="1" applyBorder="1" applyAlignment="1">
      <alignment horizontal="center" vertical="center" wrapText="1"/>
    </xf>
    <xf numFmtId="3" fontId="7" fillId="10" borderId="9" xfId="0" applyNumberFormat="1" applyFont="1" applyFill="1" applyBorder="1" applyAlignment="1">
      <alignment horizontal="center" vertical="center" wrapText="1"/>
    </xf>
    <xf numFmtId="3" fontId="7" fillId="10" borderId="5" xfId="0" applyNumberFormat="1" applyFont="1" applyFill="1" applyBorder="1" applyAlignment="1">
      <alignment horizontal="center" vertical="center" wrapText="1"/>
    </xf>
    <xf numFmtId="3" fontId="19" fillId="11" borderId="4" xfId="6" applyNumberFormat="1" applyFont="1" applyFill="1" applyBorder="1" applyAlignment="1">
      <alignment horizontal="center" vertical="center" wrapText="1"/>
    </xf>
    <xf numFmtId="3" fontId="19" fillId="11" borderId="17" xfId="6" applyNumberFormat="1" applyFont="1" applyFill="1" applyBorder="1" applyAlignment="1">
      <alignment horizontal="center" vertical="center" wrapText="1"/>
    </xf>
    <xf numFmtId="3" fontId="19" fillId="11" borderId="5" xfId="6" applyNumberFormat="1" applyFont="1" applyFill="1" applyBorder="1" applyAlignment="1">
      <alignment horizontal="center" vertical="center" wrapText="1"/>
    </xf>
    <xf numFmtId="3" fontId="19" fillId="11" borderId="36" xfId="0" applyNumberFormat="1" applyFont="1" applyFill="1" applyBorder="1" applyAlignment="1">
      <alignment horizontal="center" vertical="center" wrapText="1"/>
    </xf>
    <xf numFmtId="3" fontId="19" fillId="11" borderId="5" xfId="3" applyNumberFormat="1" applyFont="1" applyFill="1" applyBorder="1" applyAlignment="1">
      <alignment horizontal="center" vertical="center" wrapText="1"/>
    </xf>
    <xf numFmtId="3" fontId="19" fillId="11" borderId="6" xfId="3" applyNumberFormat="1" applyFont="1" applyFill="1" applyBorder="1" applyAlignment="1">
      <alignment horizontal="center" vertical="center" wrapText="1"/>
    </xf>
    <xf numFmtId="3" fontId="19" fillId="7" borderId="4" xfId="3" applyNumberFormat="1" applyFont="1" applyFill="1" applyBorder="1" applyAlignment="1">
      <alignment horizontal="center" vertical="center" wrapText="1"/>
    </xf>
    <xf numFmtId="3" fontId="7" fillId="10" borderId="6" xfId="0" applyNumberFormat="1" applyFont="1" applyFill="1" applyBorder="1" applyAlignment="1">
      <alignment horizontal="center" vertical="center" wrapText="1"/>
    </xf>
    <xf numFmtId="3" fontId="19" fillId="7" borderId="37" xfId="3" applyNumberFormat="1" applyFont="1" applyFill="1" applyBorder="1" applyAlignment="1">
      <alignment horizontal="center" vertical="center" wrapText="1"/>
    </xf>
    <xf numFmtId="3" fontId="7" fillId="0" borderId="51" xfId="1" applyNumberFormat="1" applyFont="1" applyBorder="1" applyAlignment="1">
      <alignment horizontal="center"/>
    </xf>
    <xf numFmtId="3" fontId="13" fillId="8" borderId="49" xfId="2" applyNumberFormat="1" applyFont="1" applyFill="1" applyBorder="1" applyAlignment="1">
      <alignment vertical="center" textRotation="90"/>
    </xf>
    <xf numFmtId="3" fontId="13" fillId="8" borderId="11" xfId="2" applyNumberFormat="1" applyFont="1" applyFill="1" applyBorder="1" applyAlignment="1">
      <alignment vertical="center" textRotation="90"/>
    </xf>
    <xf numFmtId="3" fontId="13" fillId="8" borderId="24" xfId="2" applyNumberFormat="1" applyFont="1" applyFill="1" applyBorder="1" applyAlignment="1">
      <alignment vertical="center" textRotation="90"/>
    </xf>
    <xf numFmtId="3" fontId="7" fillId="10" borderId="4" xfId="0" applyNumberFormat="1" applyFont="1" applyFill="1" applyBorder="1" applyAlignment="1">
      <alignment horizontal="center" vertical="center" wrapText="1"/>
    </xf>
    <xf numFmtId="3" fontId="17" fillId="8" borderId="57" xfId="0" applyNumberFormat="1" applyFont="1" applyFill="1" applyBorder="1"/>
    <xf numFmtId="3" fontId="17" fillId="8" borderId="58" xfId="0" applyNumberFormat="1" applyFont="1" applyFill="1" applyBorder="1"/>
    <xf numFmtId="3" fontId="7" fillId="0" borderId="59" xfId="1" applyNumberFormat="1" applyFont="1" applyBorder="1" applyAlignment="1">
      <alignment horizontal="center"/>
    </xf>
    <xf numFmtId="3" fontId="7" fillId="10" borderId="50" xfId="0" applyNumberFormat="1" applyFont="1" applyFill="1" applyBorder="1" applyAlignment="1">
      <alignment horizontal="center" vertical="center" wrapText="1"/>
    </xf>
    <xf numFmtId="166" fontId="7" fillId="0" borderId="27" xfId="0" applyNumberFormat="1" applyFont="1" applyBorder="1" applyAlignment="1">
      <alignment horizontal="center" vertical="center"/>
    </xf>
    <xf numFmtId="3" fontId="16" fillId="0" borderId="27" xfId="9" applyNumberFormat="1" applyBorder="1" applyAlignment="1">
      <alignment horizontal="center" vertical="center"/>
    </xf>
    <xf numFmtId="49" fontId="7" fillId="0" borderId="51" xfId="1" applyNumberFormat="1" applyFont="1" applyBorder="1" applyAlignment="1">
      <alignment horizontal="center"/>
    </xf>
    <xf numFmtId="49" fontId="7" fillId="0" borderId="2" xfId="1" applyNumberFormat="1" applyFont="1" applyBorder="1" applyAlignment="1">
      <alignment horizontal="center"/>
    </xf>
    <xf numFmtId="49" fontId="7" fillId="0" borderId="52" xfId="1" applyNumberFormat="1" applyFont="1" applyBorder="1" applyAlignment="1">
      <alignment horizontal="center"/>
    </xf>
    <xf numFmtId="49" fontId="7" fillId="0" borderId="34" xfId="1" applyNumberFormat="1" applyFont="1" applyBorder="1" applyAlignment="1">
      <alignment horizontal="center"/>
    </xf>
    <xf numFmtId="49" fontId="7" fillId="0" borderId="8" xfId="1" applyNumberFormat="1" applyFont="1" applyBorder="1" applyAlignment="1">
      <alignment horizontal="center"/>
    </xf>
    <xf numFmtId="49" fontId="7" fillId="0" borderId="28" xfId="1" applyNumberFormat="1" applyFont="1" applyBorder="1" applyAlignment="1">
      <alignment horizontal="center"/>
    </xf>
    <xf numFmtId="3" fontId="11" fillId="0" borderId="39" xfId="0" applyNumberFormat="1" applyFont="1" applyBorder="1" applyAlignment="1">
      <alignment horizontal="center"/>
    </xf>
    <xf numFmtId="3" fontId="11" fillId="0" borderId="41" xfId="0" applyNumberFormat="1" applyFont="1" applyBorder="1" applyAlignment="1">
      <alignment horizontal="center"/>
    </xf>
    <xf numFmtId="3" fontId="11" fillId="0" borderId="63" xfId="0" applyNumberFormat="1" applyFont="1" applyBorder="1" applyAlignment="1">
      <alignment horizontal="center"/>
    </xf>
    <xf numFmtId="3" fontId="11" fillId="0" borderId="64" xfId="0" applyNumberFormat="1" applyFont="1" applyBorder="1" applyAlignment="1">
      <alignment horizontal="center"/>
    </xf>
    <xf numFmtId="3" fontId="11" fillId="0" borderId="65" xfId="0" applyNumberFormat="1" applyFont="1" applyBorder="1" applyAlignment="1">
      <alignment horizontal="center"/>
    </xf>
    <xf numFmtId="3" fontId="11" fillId="0" borderId="66" xfId="0" applyNumberFormat="1" applyFont="1" applyBorder="1" applyAlignment="1">
      <alignment horizontal="center"/>
    </xf>
    <xf numFmtId="3" fontId="20" fillId="0" borderId="8" xfId="9" applyNumberFormat="1" applyFont="1" applyBorder="1" applyAlignment="1">
      <alignment horizontal="center" vertical="center"/>
    </xf>
    <xf numFmtId="3" fontId="20" fillId="0" borderId="28" xfId="9" applyNumberFormat="1" applyFont="1" applyBorder="1" applyAlignment="1">
      <alignment horizontal="center" vertical="center"/>
    </xf>
    <xf numFmtId="4" fontId="7" fillId="0" borderId="1" xfId="1" applyNumberFormat="1" applyFont="1" applyBorder="1" applyAlignment="1">
      <alignment horizontal="center"/>
    </xf>
    <xf numFmtId="4" fontId="7" fillId="0" borderId="1" xfId="0" applyNumberFormat="1" applyFont="1" applyBorder="1" applyAlignment="1">
      <alignment horizontal="center"/>
    </xf>
    <xf numFmtId="4" fontId="7" fillId="0" borderId="27" xfId="1" applyNumberFormat="1" applyFont="1" applyBorder="1" applyAlignment="1">
      <alignment horizontal="center"/>
    </xf>
    <xf numFmtId="4" fontId="7" fillId="0" borderId="27" xfId="0" applyNumberFormat="1" applyFont="1" applyBorder="1" applyAlignment="1">
      <alignment horizontal="center"/>
    </xf>
    <xf numFmtId="3" fontId="7" fillId="14" borderId="14" xfId="0" applyNumberFormat="1" applyFont="1" applyFill="1" applyBorder="1" applyAlignment="1">
      <alignment horizontal="center"/>
    </xf>
    <xf numFmtId="3" fontId="7" fillId="14" borderId="33" xfId="0" applyNumberFormat="1" applyFont="1" applyFill="1" applyBorder="1" applyAlignment="1">
      <alignment horizontal="center"/>
    </xf>
    <xf numFmtId="3" fontId="7" fillId="14" borderId="24" xfId="0" applyNumberFormat="1" applyFont="1" applyFill="1" applyBorder="1" applyAlignment="1">
      <alignment horizontal="center"/>
    </xf>
    <xf numFmtId="3" fontId="7" fillId="14" borderId="15" xfId="0" applyNumberFormat="1" applyFont="1" applyFill="1" applyBorder="1" applyAlignment="1">
      <alignment horizontal="center"/>
    </xf>
    <xf numFmtId="3" fontId="7" fillId="14" borderId="0" xfId="0" applyNumberFormat="1" applyFont="1" applyFill="1" applyAlignment="1">
      <alignment horizontal="center"/>
    </xf>
    <xf numFmtId="3" fontId="7" fillId="14" borderId="49" xfId="0" applyNumberFormat="1" applyFont="1" applyFill="1" applyBorder="1" applyAlignment="1">
      <alignment horizontal="center"/>
    </xf>
    <xf numFmtId="3" fontId="7" fillId="14" borderId="16" xfId="0" applyNumberFormat="1" applyFont="1" applyFill="1" applyBorder="1" applyAlignment="1">
      <alignment horizontal="center"/>
    </xf>
    <xf numFmtId="3" fontId="7" fillId="14" borderId="42" xfId="0" applyNumberFormat="1" applyFont="1" applyFill="1" applyBorder="1" applyAlignment="1">
      <alignment horizontal="center"/>
    </xf>
    <xf numFmtId="3" fontId="7" fillId="14" borderId="11" xfId="0" applyNumberFormat="1" applyFont="1" applyFill="1" applyBorder="1" applyAlignment="1">
      <alignment horizontal="center"/>
    </xf>
    <xf numFmtId="3" fontId="7" fillId="15" borderId="14" xfId="0" applyNumberFormat="1" applyFont="1" applyFill="1" applyBorder="1" applyAlignment="1">
      <alignment horizontal="center"/>
    </xf>
    <xf numFmtId="3" fontId="7" fillId="15" borderId="33" xfId="0" applyNumberFormat="1" applyFont="1" applyFill="1" applyBorder="1" applyAlignment="1">
      <alignment horizontal="center"/>
    </xf>
    <xf numFmtId="3" fontId="7" fillId="15" borderId="24" xfId="0" applyNumberFormat="1" applyFont="1" applyFill="1" applyBorder="1" applyAlignment="1">
      <alignment horizontal="center"/>
    </xf>
    <xf numFmtId="3" fontId="7" fillId="15" borderId="15" xfId="0" applyNumberFormat="1" applyFont="1" applyFill="1" applyBorder="1" applyAlignment="1">
      <alignment horizontal="center"/>
    </xf>
    <xf numFmtId="3" fontId="7" fillId="15" borderId="0" xfId="0" applyNumberFormat="1" applyFont="1" applyFill="1" applyAlignment="1">
      <alignment horizontal="center"/>
    </xf>
    <xf numFmtId="3" fontId="7" fillId="15" borderId="49" xfId="0" applyNumberFormat="1" applyFont="1" applyFill="1" applyBorder="1" applyAlignment="1">
      <alignment horizontal="center"/>
    </xf>
    <xf numFmtId="3" fontId="7" fillId="15" borderId="16" xfId="0" applyNumberFormat="1" applyFont="1" applyFill="1" applyBorder="1" applyAlignment="1">
      <alignment horizontal="center"/>
    </xf>
    <xf numFmtId="3" fontId="7" fillId="15" borderId="42" xfId="0" applyNumberFormat="1" applyFont="1" applyFill="1" applyBorder="1" applyAlignment="1">
      <alignment horizontal="center"/>
    </xf>
    <xf numFmtId="3" fontId="7" fillId="15" borderId="11" xfId="0" applyNumberFormat="1" applyFont="1" applyFill="1" applyBorder="1" applyAlignment="1">
      <alignment horizontal="center"/>
    </xf>
    <xf numFmtId="3" fontId="7" fillId="11" borderId="15" xfId="0" applyNumberFormat="1" applyFont="1" applyFill="1" applyBorder="1" applyAlignment="1">
      <alignment horizontal="center"/>
    </xf>
    <xf numFmtId="3" fontId="7" fillId="11" borderId="0" xfId="0" applyNumberFormat="1" applyFont="1" applyFill="1" applyAlignment="1">
      <alignment horizontal="center"/>
    </xf>
    <xf numFmtId="3" fontId="7" fillId="11" borderId="49" xfId="0" applyNumberFormat="1" applyFont="1" applyFill="1" applyBorder="1" applyAlignment="1">
      <alignment horizontal="center"/>
    </xf>
    <xf numFmtId="3" fontId="7" fillId="11" borderId="16" xfId="0" applyNumberFormat="1" applyFont="1" applyFill="1" applyBorder="1" applyAlignment="1">
      <alignment horizontal="center"/>
    </xf>
    <xf numFmtId="3" fontId="7" fillId="11" borderId="42" xfId="0" applyNumberFormat="1" applyFont="1" applyFill="1" applyBorder="1" applyAlignment="1">
      <alignment horizontal="center"/>
    </xf>
    <xf numFmtId="3" fontId="7" fillId="11" borderId="11" xfId="0" applyNumberFormat="1" applyFont="1" applyFill="1" applyBorder="1" applyAlignment="1">
      <alignment horizontal="center"/>
    </xf>
    <xf numFmtId="3" fontId="7" fillId="6" borderId="14" xfId="0" applyNumberFormat="1" applyFont="1" applyFill="1" applyBorder="1" applyAlignment="1">
      <alignment horizontal="center"/>
    </xf>
    <xf numFmtId="3" fontId="7" fillId="6" borderId="33" xfId="0" applyNumberFormat="1" applyFont="1" applyFill="1" applyBorder="1" applyAlignment="1">
      <alignment horizontal="center"/>
    </xf>
    <xf numFmtId="3" fontId="7" fillId="6" borderId="24" xfId="0" applyNumberFormat="1" applyFont="1" applyFill="1" applyBorder="1" applyAlignment="1">
      <alignment horizontal="center"/>
    </xf>
    <xf numFmtId="3" fontId="7" fillId="6" borderId="15" xfId="0" applyNumberFormat="1" applyFont="1" applyFill="1" applyBorder="1" applyAlignment="1">
      <alignment horizontal="center"/>
    </xf>
    <xf numFmtId="3" fontId="7" fillId="6" borderId="0" xfId="0" applyNumberFormat="1" applyFont="1" applyFill="1" applyAlignment="1">
      <alignment horizontal="center"/>
    </xf>
    <xf numFmtId="3" fontId="7" fillId="6" borderId="49" xfId="0" applyNumberFormat="1" applyFont="1" applyFill="1" applyBorder="1" applyAlignment="1">
      <alignment horizontal="center"/>
    </xf>
    <xf numFmtId="3" fontId="7" fillId="8" borderId="15" xfId="0" applyNumberFormat="1" applyFont="1" applyFill="1" applyBorder="1" applyAlignment="1">
      <alignment horizontal="center"/>
    </xf>
    <xf numFmtId="3" fontId="7" fillId="8" borderId="0" xfId="0" applyNumberFormat="1" applyFont="1" applyFill="1" applyAlignment="1">
      <alignment horizontal="center"/>
    </xf>
    <xf numFmtId="3" fontId="7" fillId="8" borderId="49" xfId="0" applyNumberFormat="1" applyFont="1" applyFill="1" applyBorder="1" applyAlignment="1">
      <alignment horizontal="center"/>
    </xf>
    <xf numFmtId="3" fontId="7" fillId="8" borderId="16" xfId="0" applyNumberFormat="1" applyFont="1" applyFill="1" applyBorder="1" applyAlignment="1">
      <alignment horizontal="center"/>
    </xf>
    <xf numFmtId="3" fontId="7" fillId="8" borderId="42" xfId="0" applyNumberFormat="1" applyFont="1" applyFill="1" applyBorder="1" applyAlignment="1">
      <alignment horizontal="center"/>
    </xf>
    <xf numFmtId="3" fontId="7" fillId="8" borderId="11" xfId="0" applyNumberFormat="1" applyFont="1" applyFill="1" applyBorder="1" applyAlignment="1">
      <alignment horizontal="center"/>
    </xf>
    <xf numFmtId="3" fontId="11" fillId="0" borderId="10" xfId="0" applyNumberFormat="1" applyFont="1" applyBorder="1" applyAlignment="1">
      <alignment horizontal="center"/>
    </xf>
    <xf numFmtId="3" fontId="32" fillId="13" borderId="19" xfId="0" applyNumberFormat="1" applyFont="1" applyFill="1" applyBorder="1"/>
    <xf numFmtId="3" fontId="33" fillId="13" borderId="70" xfId="0" applyNumberFormat="1" applyFont="1" applyFill="1" applyBorder="1" applyAlignment="1">
      <alignment horizontal="center" vertical="center"/>
    </xf>
    <xf numFmtId="3" fontId="7" fillId="0" borderId="71" xfId="0" applyNumberFormat="1" applyFont="1" applyBorder="1" applyAlignment="1">
      <alignment horizontal="center"/>
    </xf>
    <xf numFmtId="0" fontId="7" fillId="0" borderId="29" xfId="0" applyFont="1" applyBorder="1" applyAlignment="1">
      <alignment horizontal="center" vertical="center"/>
    </xf>
    <xf numFmtId="49" fontId="0" fillId="0" borderId="0" xfId="0" applyNumberFormat="1"/>
    <xf numFmtId="49" fontId="7" fillId="0" borderId="33" xfId="0" applyNumberFormat="1" applyFont="1" applyBorder="1" applyAlignment="1">
      <alignment horizontal="center" vertical="center" wrapText="1"/>
    </xf>
    <xf numFmtId="49" fontId="25" fillId="0" borderId="0" xfId="0" applyNumberFormat="1" applyFont="1" applyAlignment="1">
      <alignment vertical="center"/>
    </xf>
    <xf numFmtId="49" fontId="27" fillId="0" borderId="0" xfId="0" applyNumberFormat="1" applyFont="1" applyAlignment="1">
      <alignment vertical="center"/>
    </xf>
    <xf numFmtId="49" fontId="7" fillId="0" borderId="0" xfId="0" applyNumberFormat="1" applyFont="1" applyAlignment="1">
      <alignment vertical="center"/>
    </xf>
    <xf numFmtId="49" fontId="7" fillId="0" borderId="0" xfId="0" applyNumberFormat="1" applyFont="1" applyAlignment="1">
      <alignment horizontal="left" vertical="center" indent="4"/>
    </xf>
    <xf numFmtId="49" fontId="0" fillId="18" borderId="0" xfId="0" applyNumberFormat="1" applyFill="1"/>
    <xf numFmtId="3" fontId="7" fillId="0" borderId="2" xfId="1" applyNumberFormat="1" applyFont="1" applyBorder="1" applyAlignment="1">
      <alignment horizontal="center"/>
    </xf>
    <xf numFmtId="3" fontId="7" fillId="0" borderId="52" xfId="1" applyNumberFormat="1" applyFont="1" applyBorder="1" applyAlignment="1">
      <alignment horizontal="center"/>
    </xf>
    <xf numFmtId="3" fontId="10" fillId="0" borderId="10" xfId="1" applyNumberFormat="1" applyFont="1" applyBorder="1" applyAlignment="1">
      <alignment horizontal="center"/>
    </xf>
    <xf numFmtId="3" fontId="10" fillId="0" borderId="11" xfId="1" applyNumberFormat="1" applyFont="1" applyBorder="1" applyAlignment="1">
      <alignment horizontal="center"/>
    </xf>
    <xf numFmtId="3" fontId="10" fillId="0" borderId="10" xfId="1" applyNumberFormat="1" applyFont="1" applyBorder="1" applyAlignment="1">
      <alignment horizontal="center" vertical="center"/>
    </xf>
    <xf numFmtId="3" fontId="10" fillId="0" borderId="11" xfId="1" applyNumberFormat="1" applyFont="1" applyBorder="1" applyAlignment="1">
      <alignment horizontal="center" vertical="center"/>
    </xf>
    <xf numFmtId="0" fontId="7" fillId="0" borderId="0" xfId="0" applyFont="1"/>
    <xf numFmtId="0" fontId="34" fillId="16" borderId="43" xfId="0" applyFont="1" applyFill="1" applyBorder="1" applyAlignment="1">
      <alignment vertical="center"/>
    </xf>
    <xf numFmtId="0" fontId="34" fillId="16" borderId="21" xfId="0" applyFont="1" applyFill="1" applyBorder="1" applyAlignment="1">
      <alignment vertical="center"/>
    </xf>
    <xf numFmtId="0" fontId="36" fillId="0" borderId="10" xfId="0" applyFont="1" applyBorder="1" applyAlignment="1">
      <alignment vertical="center"/>
    </xf>
    <xf numFmtId="0" fontId="36" fillId="0" borderId="11" xfId="0" applyFont="1" applyBorder="1" applyAlignment="1">
      <alignment vertical="center"/>
    </xf>
    <xf numFmtId="0" fontId="14" fillId="19" borderId="1" xfId="0" applyFont="1" applyFill="1" applyBorder="1" applyAlignment="1">
      <alignment horizontal="center" vertical="center"/>
    </xf>
    <xf numFmtId="0" fontId="14" fillId="19" borderId="2" xfId="0" applyFont="1" applyFill="1" applyBorder="1" applyAlignment="1">
      <alignment horizontal="center" vertical="center"/>
    </xf>
    <xf numFmtId="0" fontId="14" fillId="19" borderId="43" xfId="0" applyFont="1" applyFill="1" applyBorder="1" applyAlignment="1">
      <alignment horizontal="center" vertical="center"/>
    </xf>
    <xf numFmtId="0" fontId="14" fillId="19" borderId="18" xfId="0" applyFont="1" applyFill="1" applyBorder="1" applyAlignment="1">
      <alignment horizontal="center" vertical="center"/>
    </xf>
    <xf numFmtId="0" fontId="0" fillId="18" borderId="43" xfId="0" applyFill="1" applyBorder="1"/>
    <xf numFmtId="0" fontId="0" fillId="0" borderId="33" xfId="0" applyBorder="1"/>
    <xf numFmtId="0" fontId="3" fillId="5" borderId="77" xfId="0" applyFont="1" applyFill="1" applyBorder="1"/>
    <xf numFmtId="0" fontId="3" fillId="5" borderId="78" xfId="0" applyFont="1" applyFill="1" applyBorder="1"/>
    <xf numFmtId="0" fontId="0" fillId="0" borderId="24" xfId="0" applyBorder="1"/>
    <xf numFmtId="0" fontId="0" fillId="0" borderId="15" xfId="0" applyBorder="1"/>
    <xf numFmtId="0" fontId="0" fillId="0" borderId="49" xfId="0" applyBorder="1"/>
    <xf numFmtId="0" fontId="0" fillId="0" borderId="16" xfId="0" applyBorder="1"/>
    <xf numFmtId="0" fontId="0" fillId="0" borderId="42" xfId="0" applyBorder="1"/>
    <xf numFmtId="0" fontId="0" fillId="0" borderId="11" xfId="0" applyBorder="1"/>
    <xf numFmtId="3" fontId="17" fillId="8" borderId="13" xfId="0" applyNumberFormat="1" applyFont="1" applyFill="1" applyBorder="1"/>
    <xf numFmtId="3" fontId="17" fillId="8" borderId="10" xfId="0" applyNumberFormat="1" applyFont="1" applyFill="1" applyBorder="1"/>
    <xf numFmtId="0" fontId="10" fillId="0" borderId="1" xfId="0" applyFont="1" applyBorder="1" applyAlignment="1">
      <alignment horizontal="center" vertical="center"/>
    </xf>
    <xf numFmtId="0" fontId="12" fillId="10" borderId="1" xfId="0" applyFont="1" applyFill="1" applyBorder="1" applyAlignment="1">
      <alignment horizontal="center" vertical="center"/>
    </xf>
    <xf numFmtId="3" fontId="11" fillId="8" borderId="43" xfId="0" applyNumberFormat="1" applyFont="1" applyFill="1" applyBorder="1" applyAlignment="1">
      <alignment horizontal="center" vertical="center"/>
    </xf>
    <xf numFmtId="3" fontId="17" fillId="8" borderId="13" xfId="0" applyNumberFormat="1" applyFont="1" applyFill="1" applyBorder="1" applyAlignment="1">
      <alignment horizontal="center"/>
    </xf>
    <xf numFmtId="3" fontId="7" fillId="0" borderId="2" xfId="0" applyNumberFormat="1" applyFont="1" applyBorder="1" applyAlignment="1">
      <alignment horizontal="center"/>
    </xf>
    <xf numFmtId="3" fontId="7" fillId="0" borderId="52" xfId="0" applyNumberFormat="1" applyFont="1" applyBorder="1" applyAlignment="1">
      <alignment horizontal="center"/>
    </xf>
    <xf numFmtId="3" fontId="17" fillId="8" borderId="15" xfId="0" applyNumberFormat="1" applyFont="1" applyFill="1" applyBorder="1"/>
    <xf numFmtId="0" fontId="10" fillId="0" borderId="25" xfId="0" applyFont="1" applyBorder="1" applyAlignment="1">
      <alignment horizontal="center" vertical="center"/>
    </xf>
    <xf numFmtId="0" fontId="10" fillId="0" borderId="44" xfId="0" applyFont="1" applyBorder="1" applyAlignment="1">
      <alignment horizontal="center" vertical="center"/>
    </xf>
    <xf numFmtId="3" fontId="10" fillId="7" borderId="42" xfId="1" applyNumberFormat="1" applyFont="1" applyFill="1" applyBorder="1" applyAlignment="1">
      <alignment horizontal="center" vertical="center"/>
    </xf>
    <xf numFmtId="3" fontId="10" fillId="7" borderId="11" xfId="0" applyNumberFormat="1" applyFont="1" applyFill="1" applyBorder="1" applyAlignment="1">
      <alignment horizontal="center" vertical="center"/>
    </xf>
    <xf numFmtId="3" fontId="10" fillId="7" borderId="16" xfId="0" applyNumberFormat="1" applyFont="1" applyFill="1" applyBorder="1" applyAlignment="1">
      <alignment horizontal="center" vertical="center"/>
    </xf>
    <xf numFmtId="49" fontId="17" fillId="8" borderId="13" xfId="0" quotePrefix="1" applyNumberFormat="1" applyFont="1" applyFill="1" applyBorder="1"/>
    <xf numFmtId="167" fontId="7" fillId="0" borderId="1" xfId="0" applyNumberFormat="1" applyFont="1" applyBorder="1" applyAlignment="1">
      <alignment horizontal="center"/>
    </xf>
    <xf numFmtId="167" fontId="7" fillId="0" borderId="27" xfId="0" applyNumberFormat="1" applyFont="1" applyBorder="1" applyAlignment="1">
      <alignment horizontal="center"/>
    </xf>
    <xf numFmtId="3" fontId="7" fillId="7" borderId="6" xfId="0" applyNumberFormat="1" applyFont="1" applyFill="1" applyBorder="1" applyAlignment="1">
      <alignment horizontal="center" vertical="center" wrapText="1"/>
    </xf>
    <xf numFmtId="167" fontId="7" fillId="0" borderId="8" xfId="0" applyNumberFormat="1" applyFont="1" applyBorder="1" applyAlignment="1">
      <alignment horizontal="center"/>
    </xf>
    <xf numFmtId="167" fontId="7" fillId="0" borderId="28" xfId="0" applyNumberFormat="1" applyFont="1" applyBorder="1" applyAlignment="1">
      <alignment horizontal="center"/>
    </xf>
    <xf numFmtId="4" fontId="7" fillId="0" borderId="8" xfId="0" applyNumberFormat="1" applyFont="1" applyBorder="1" applyAlignment="1">
      <alignment horizontal="center"/>
    </xf>
    <xf numFmtId="4" fontId="7" fillId="0" borderId="28" xfId="0" applyNumberFormat="1" applyFont="1" applyBorder="1" applyAlignment="1">
      <alignment horizontal="center"/>
    </xf>
    <xf numFmtId="3" fontId="33" fillId="13" borderId="81" xfId="0" applyNumberFormat="1" applyFont="1" applyFill="1" applyBorder="1" applyAlignment="1">
      <alignment horizontal="center" vertical="center"/>
    </xf>
    <xf numFmtId="3" fontId="33" fillId="13" borderId="82" xfId="0" applyNumberFormat="1" applyFont="1" applyFill="1" applyBorder="1" applyAlignment="1">
      <alignment horizontal="center" vertical="center"/>
    </xf>
    <xf numFmtId="3" fontId="33" fillId="13" borderId="83" xfId="0" applyNumberFormat="1" applyFont="1" applyFill="1" applyBorder="1" applyAlignment="1">
      <alignment horizontal="center" vertical="center"/>
    </xf>
    <xf numFmtId="3" fontId="5" fillId="0" borderId="13" xfId="0" applyNumberFormat="1" applyFont="1" applyBorder="1" applyAlignment="1">
      <alignment horizontal="center" vertical="center"/>
    </xf>
    <xf numFmtId="4" fontId="7" fillId="0" borderId="2" xfId="0" applyNumberFormat="1" applyFont="1" applyBorder="1" applyAlignment="1">
      <alignment horizontal="center"/>
    </xf>
    <xf numFmtId="4" fontId="7" fillId="0" borderId="52" xfId="0" applyNumberFormat="1" applyFont="1" applyBorder="1" applyAlignment="1">
      <alignment horizontal="center"/>
    </xf>
    <xf numFmtId="167" fontId="7" fillId="0" borderId="1" xfId="1" applyNumberFormat="1" applyFont="1" applyBorder="1" applyAlignment="1">
      <alignment horizontal="center"/>
    </xf>
    <xf numFmtId="167" fontId="7" fillId="0" borderId="27" xfId="1" applyNumberFormat="1" applyFont="1" applyBorder="1" applyAlignment="1">
      <alignment horizontal="center"/>
    </xf>
    <xf numFmtId="167" fontId="7" fillId="0" borderId="51" xfId="1" applyNumberFormat="1" applyFont="1" applyBorder="1" applyAlignment="1">
      <alignment horizontal="center"/>
    </xf>
    <xf numFmtId="167" fontId="7" fillId="0" borderId="2" xfId="1" applyNumberFormat="1" applyFont="1" applyBorder="1" applyAlignment="1">
      <alignment horizontal="center"/>
    </xf>
    <xf numFmtId="167" fontId="7" fillId="0" borderId="52" xfId="1" applyNumberFormat="1" applyFont="1" applyBorder="1" applyAlignment="1">
      <alignment horizontal="center"/>
    </xf>
    <xf numFmtId="3" fontId="10" fillId="7" borderId="53" xfId="0" applyNumberFormat="1" applyFont="1" applyFill="1" applyBorder="1" applyAlignment="1">
      <alignment horizontal="center" vertical="center"/>
    </xf>
    <xf numFmtId="3" fontId="7" fillId="0" borderId="4" xfId="0" applyNumberFormat="1" applyFont="1" applyBorder="1" applyAlignment="1">
      <alignment horizontal="center"/>
    </xf>
    <xf numFmtId="3" fontId="7" fillId="0" borderId="5" xfId="0" applyNumberFormat="1" applyFont="1" applyBorder="1" applyAlignment="1">
      <alignment horizontal="center"/>
    </xf>
    <xf numFmtId="167" fontId="7" fillId="0" borderId="5" xfId="0" applyNumberFormat="1" applyFont="1" applyBorder="1" applyAlignment="1">
      <alignment horizontal="center"/>
    </xf>
    <xf numFmtId="167" fontId="7" fillId="0" borderId="5" xfId="1" applyNumberFormat="1" applyFont="1" applyBorder="1" applyAlignment="1">
      <alignment horizontal="center"/>
    </xf>
    <xf numFmtId="3" fontId="7" fillId="0" borderId="6" xfId="0" applyNumberFormat="1" applyFont="1" applyBorder="1" applyAlignment="1">
      <alignment horizontal="center"/>
    </xf>
    <xf numFmtId="3" fontId="10" fillId="7" borderId="9" xfId="0" applyNumberFormat="1" applyFont="1" applyFill="1" applyBorder="1" applyAlignment="1">
      <alignment horizontal="center" vertical="center"/>
    </xf>
    <xf numFmtId="3" fontId="12" fillId="7" borderId="37" xfId="0" applyNumberFormat="1" applyFont="1" applyFill="1" applyBorder="1" applyAlignment="1">
      <alignment horizontal="center" vertical="center" wrapText="1"/>
    </xf>
    <xf numFmtId="3" fontId="12" fillId="7" borderId="6" xfId="0" applyNumberFormat="1" applyFont="1" applyFill="1" applyBorder="1" applyAlignment="1">
      <alignment horizontal="center" vertical="center" wrapText="1"/>
    </xf>
    <xf numFmtId="49" fontId="11" fillId="8" borderId="13" xfId="0" quotePrefix="1" applyNumberFormat="1" applyFont="1" applyFill="1" applyBorder="1" applyAlignment="1">
      <alignment horizontal="center"/>
    </xf>
    <xf numFmtId="3" fontId="12" fillId="7" borderId="5" xfId="0" applyNumberFormat="1" applyFont="1" applyFill="1" applyBorder="1" applyAlignment="1">
      <alignment horizontal="center" vertical="center" wrapText="1"/>
    </xf>
    <xf numFmtId="3" fontId="10" fillId="7" borderId="9" xfId="0" applyNumberFormat="1" applyFont="1" applyFill="1" applyBorder="1" applyAlignment="1">
      <alignment horizontal="center" vertical="center" wrapText="1"/>
    </xf>
    <xf numFmtId="3" fontId="10" fillId="7" borderId="69" xfId="0" applyNumberFormat="1" applyFont="1" applyFill="1" applyBorder="1" applyAlignment="1">
      <alignment horizontal="center" vertical="center" wrapText="1"/>
    </xf>
    <xf numFmtId="3" fontId="12" fillId="7" borderId="5" xfId="1" applyNumberFormat="1" applyFont="1" applyFill="1" applyBorder="1" applyAlignment="1">
      <alignment horizontal="center" vertical="center" wrapText="1"/>
    </xf>
    <xf numFmtId="3" fontId="7" fillId="0" borderId="0" xfId="0" applyNumberFormat="1" applyFont="1" applyAlignment="1">
      <alignment horizontal="center" vertical="center"/>
    </xf>
    <xf numFmtId="3" fontId="10" fillId="7" borderId="37" xfId="1" applyNumberFormat="1" applyFont="1" applyFill="1" applyBorder="1" applyAlignment="1">
      <alignment horizontal="center" vertical="center"/>
    </xf>
    <xf numFmtId="3" fontId="7" fillId="0" borderId="25" xfId="1" applyNumberFormat="1" applyFont="1" applyBorder="1" applyAlignment="1">
      <alignment horizontal="center" vertical="center"/>
    </xf>
    <xf numFmtId="3" fontId="7" fillId="0" borderId="1" xfId="0" applyNumberFormat="1" applyFont="1" applyBorder="1" applyAlignment="1">
      <alignment horizontal="center" vertical="center"/>
    </xf>
    <xf numFmtId="3" fontId="10" fillId="7" borderId="59" xfId="1" applyNumberFormat="1" applyFont="1" applyFill="1" applyBorder="1" applyAlignment="1">
      <alignment horizontal="center" vertical="center"/>
    </xf>
    <xf numFmtId="3" fontId="10" fillId="7" borderId="72" xfId="0" applyNumberFormat="1" applyFont="1" applyFill="1" applyBorder="1" applyAlignment="1">
      <alignment horizontal="center" vertical="center"/>
    </xf>
    <xf numFmtId="3" fontId="10" fillId="7" borderId="73" xfId="0" applyNumberFormat="1" applyFont="1" applyFill="1" applyBorder="1" applyAlignment="1">
      <alignment horizontal="center" vertical="center"/>
    </xf>
    <xf numFmtId="0" fontId="7" fillId="25" borderId="13" xfId="0" applyFont="1" applyFill="1" applyBorder="1"/>
    <xf numFmtId="0" fontId="42" fillId="0" borderId="0" xfId="0" applyFont="1"/>
    <xf numFmtId="0" fontId="21" fillId="25" borderId="43" xfId="0" applyFont="1" applyFill="1" applyBorder="1" applyAlignment="1">
      <alignment horizontal="center" vertical="center"/>
    </xf>
    <xf numFmtId="0" fontId="42" fillId="25" borderId="12" xfId="0" applyFont="1" applyFill="1" applyBorder="1"/>
    <xf numFmtId="0" fontId="42" fillId="25" borderId="13" xfId="0" applyFont="1" applyFill="1" applyBorder="1"/>
    <xf numFmtId="0" fontId="42" fillId="25" borderId="10" xfId="0" applyFont="1" applyFill="1" applyBorder="1"/>
    <xf numFmtId="0" fontId="11" fillId="25" borderId="13" xfId="0" quotePrefix="1" applyFont="1" applyFill="1" applyBorder="1"/>
    <xf numFmtId="0" fontId="21" fillId="26" borderId="43" xfId="0" applyFont="1" applyFill="1" applyBorder="1" applyAlignment="1">
      <alignment horizontal="center" vertical="center"/>
    </xf>
    <xf numFmtId="0" fontId="42" fillId="26" borderId="12" xfId="0" applyFont="1" applyFill="1" applyBorder="1"/>
    <xf numFmtId="0" fontId="42" fillId="26" borderId="13" xfId="0" applyFont="1" applyFill="1" applyBorder="1"/>
    <xf numFmtId="0" fontId="11" fillId="26" borderId="13" xfId="0" quotePrefix="1" applyFont="1" applyFill="1" applyBorder="1"/>
    <xf numFmtId="0" fontId="21" fillId="27" borderId="43" xfId="0" applyFont="1" applyFill="1" applyBorder="1" applyAlignment="1">
      <alignment horizontal="center" vertical="center"/>
    </xf>
    <xf numFmtId="0" fontId="42" fillId="27" borderId="12" xfId="0" applyFont="1" applyFill="1" applyBorder="1"/>
    <xf numFmtId="0" fontId="42" fillId="27" borderId="13" xfId="0" applyFont="1" applyFill="1" applyBorder="1"/>
    <xf numFmtId="0" fontId="11" fillId="27" borderId="13" xfId="0" quotePrefix="1" applyFont="1" applyFill="1" applyBorder="1"/>
    <xf numFmtId="0" fontId="21" fillId="28" borderId="43" xfId="0" applyFont="1" applyFill="1" applyBorder="1" applyAlignment="1">
      <alignment horizontal="center" vertical="center"/>
    </xf>
    <xf numFmtId="0" fontId="42" fillId="28" borderId="13" xfId="0" applyFont="1" applyFill="1" applyBorder="1"/>
    <xf numFmtId="0" fontId="11" fillId="28" borderId="13" xfId="0" quotePrefix="1" applyFont="1" applyFill="1" applyBorder="1"/>
    <xf numFmtId="0" fontId="21" fillId="13" borderId="43" xfId="0" applyFont="1" applyFill="1" applyBorder="1" applyAlignment="1">
      <alignment horizontal="center" vertical="center"/>
    </xf>
    <xf numFmtId="0" fontId="11" fillId="13" borderId="13" xfId="0" quotePrefix="1" applyFont="1" applyFill="1" applyBorder="1"/>
    <xf numFmtId="0" fontId="42" fillId="13" borderId="13" xfId="0" applyFont="1" applyFill="1" applyBorder="1"/>
    <xf numFmtId="0" fontId="42" fillId="13" borderId="12" xfId="0" applyFont="1" applyFill="1" applyBorder="1"/>
    <xf numFmtId="0" fontId="11" fillId="25" borderId="12" xfId="0" quotePrefix="1" applyFont="1" applyFill="1" applyBorder="1"/>
    <xf numFmtId="0" fontId="11" fillId="29" borderId="12" xfId="0" quotePrefix="1" applyFont="1" applyFill="1" applyBorder="1"/>
    <xf numFmtId="49" fontId="42" fillId="0" borderId="0" xfId="0" applyNumberFormat="1" applyFont="1"/>
    <xf numFmtId="0" fontId="11" fillId="13" borderId="12" xfId="0" quotePrefix="1" applyFont="1" applyFill="1" applyBorder="1"/>
    <xf numFmtId="0" fontId="11" fillId="13" borderId="10" xfId="0" quotePrefix="1" applyFont="1" applyFill="1" applyBorder="1"/>
    <xf numFmtId="0" fontId="11" fillId="27" borderId="10" xfId="0" quotePrefix="1" applyFont="1" applyFill="1" applyBorder="1"/>
    <xf numFmtId="0" fontId="11" fillId="26" borderId="10" xfId="0" quotePrefix="1" applyFont="1" applyFill="1" applyBorder="1"/>
    <xf numFmtId="0" fontId="21" fillId="30" borderId="43" xfId="0" applyFont="1" applyFill="1" applyBorder="1" applyAlignment="1">
      <alignment horizontal="center" vertical="center"/>
    </xf>
    <xf numFmtId="0" fontId="42" fillId="30" borderId="12" xfId="0" applyFont="1" applyFill="1" applyBorder="1"/>
    <xf numFmtId="0" fontId="42" fillId="30" borderId="13" xfId="0" applyFont="1" applyFill="1" applyBorder="1"/>
    <xf numFmtId="0" fontId="11" fillId="30" borderId="13" xfId="0" quotePrefix="1" applyFont="1" applyFill="1" applyBorder="1"/>
    <xf numFmtId="0" fontId="42" fillId="30" borderId="10" xfId="0" applyFont="1" applyFill="1" applyBorder="1"/>
    <xf numFmtId="0" fontId="11" fillId="30" borderId="10" xfId="0" quotePrefix="1" applyFont="1" applyFill="1" applyBorder="1"/>
    <xf numFmtId="0" fontId="14" fillId="27" borderId="43" xfId="0" quotePrefix="1" applyFont="1" applyFill="1" applyBorder="1" applyAlignment="1">
      <alignment horizontal="center" vertical="center"/>
    </xf>
    <xf numFmtId="0" fontId="14" fillId="25" borderId="43" xfId="0" applyFont="1" applyFill="1" applyBorder="1" applyAlignment="1">
      <alignment horizontal="center" vertical="center"/>
    </xf>
    <xf numFmtId="0" fontId="14" fillId="25" borderId="43" xfId="0" quotePrefix="1" applyFont="1" applyFill="1" applyBorder="1" applyAlignment="1">
      <alignment horizontal="center" vertical="center"/>
    </xf>
    <xf numFmtId="0" fontId="14" fillId="26" borderId="43" xfId="0" quotePrefix="1" applyFont="1" applyFill="1" applyBorder="1" applyAlignment="1">
      <alignment horizontal="center" vertical="center"/>
    </xf>
    <xf numFmtId="0" fontId="21" fillId="31" borderId="43" xfId="0" applyFont="1" applyFill="1" applyBorder="1" applyAlignment="1">
      <alignment horizontal="center" vertical="center"/>
    </xf>
    <xf numFmtId="0" fontId="42" fillId="31" borderId="13" xfId="0" applyFont="1" applyFill="1" applyBorder="1"/>
    <xf numFmtId="0" fontId="11" fillId="31" borderId="13" xfId="0" quotePrefix="1" applyFont="1" applyFill="1" applyBorder="1"/>
    <xf numFmtId="0" fontId="11" fillId="31" borderId="10" xfId="0" quotePrefix="1" applyFont="1" applyFill="1" applyBorder="1"/>
    <xf numFmtId="0" fontId="11" fillId="25" borderId="15" xfId="0" quotePrefix="1" applyFont="1" applyFill="1" applyBorder="1"/>
    <xf numFmtId="0" fontId="42" fillId="25" borderId="15" xfId="0" quotePrefix="1" applyFont="1" applyFill="1" applyBorder="1"/>
    <xf numFmtId="0" fontId="21" fillId="13" borderId="19" xfId="0" applyFont="1" applyFill="1" applyBorder="1" applyAlignment="1">
      <alignment horizontal="center" vertical="center"/>
    </xf>
    <xf numFmtId="0" fontId="21" fillId="29" borderId="12" xfId="0" applyFont="1" applyFill="1" applyBorder="1" applyAlignment="1">
      <alignment horizontal="center" vertical="center"/>
    </xf>
    <xf numFmtId="0" fontId="21" fillId="27" borderId="10" xfId="0" applyFont="1" applyFill="1" applyBorder="1" applyAlignment="1">
      <alignment horizontal="center" vertical="center"/>
    </xf>
    <xf numFmtId="0" fontId="11" fillId="29" borderId="13" xfId="0" quotePrefix="1" applyFont="1" applyFill="1" applyBorder="1"/>
    <xf numFmtId="0" fontId="11" fillId="29" borderId="10" xfId="0" quotePrefix="1" applyFont="1" applyFill="1" applyBorder="1"/>
    <xf numFmtId="0" fontId="0" fillId="0" borderId="1" xfId="0" applyBorder="1" applyAlignment="1">
      <alignment horizontal="center"/>
    </xf>
    <xf numFmtId="0" fontId="7" fillId="0" borderId="1" xfId="0" applyFont="1" applyBorder="1"/>
    <xf numFmtId="0" fontId="10" fillId="36" borderId="26" xfId="0" applyFont="1" applyFill="1" applyBorder="1" applyAlignment="1">
      <alignment horizontal="center" vertical="center"/>
    </xf>
    <xf numFmtId="0" fontId="10" fillId="36" borderId="27" xfId="0" applyFont="1" applyFill="1" applyBorder="1" applyAlignment="1">
      <alignment horizontal="center" vertical="center"/>
    </xf>
    <xf numFmtId="0" fontId="10" fillId="36" borderId="28" xfId="0" applyFont="1" applyFill="1" applyBorder="1" applyAlignment="1">
      <alignment horizontal="center" vertical="center"/>
    </xf>
    <xf numFmtId="0" fontId="10" fillId="0" borderId="4" xfId="0" applyFont="1" applyBorder="1" applyAlignment="1">
      <alignment horizontal="left" vertical="center"/>
    </xf>
    <xf numFmtId="0" fontId="10" fillId="0" borderId="7" xfId="0" applyFont="1" applyBorder="1" applyAlignment="1">
      <alignment horizontal="left" vertical="center"/>
    </xf>
    <xf numFmtId="0" fontId="10" fillId="0" borderId="26" xfId="0" applyFont="1" applyBorder="1" applyAlignment="1">
      <alignment horizontal="left" vertical="center"/>
    </xf>
    <xf numFmtId="0" fontId="7" fillId="0" borderId="5" xfId="0" applyFont="1" applyBorder="1" applyAlignment="1">
      <alignment horizontal="center" vertical="center"/>
    </xf>
    <xf numFmtId="2" fontId="7" fillId="0" borderId="5" xfId="0" applyNumberFormat="1" applyFont="1" applyBorder="1" applyAlignment="1">
      <alignment horizontal="center" vertical="center"/>
    </xf>
    <xf numFmtId="169" fontId="7" fillId="0" borderId="6" xfId="1" applyNumberFormat="1" applyFont="1" applyBorder="1" applyAlignment="1">
      <alignment horizontal="center" vertical="center"/>
    </xf>
    <xf numFmtId="2" fontId="7" fillId="0" borderId="1" xfId="0" applyNumberFormat="1" applyFont="1" applyBorder="1" applyAlignment="1">
      <alignment horizontal="center" vertical="center"/>
    </xf>
    <xf numFmtId="169" fontId="7" fillId="0" borderId="8" xfId="1" applyNumberFormat="1" applyFont="1" applyBorder="1" applyAlignment="1">
      <alignment horizontal="center" vertical="center"/>
    </xf>
    <xf numFmtId="2" fontId="7" fillId="0" borderId="27" xfId="0" applyNumberFormat="1" applyFont="1" applyBorder="1" applyAlignment="1">
      <alignment horizontal="center" vertical="center"/>
    </xf>
    <xf numFmtId="169" fontId="7" fillId="0" borderId="28" xfId="1" applyNumberFormat="1" applyFont="1" applyBorder="1" applyAlignment="1">
      <alignment horizontal="center" vertical="center"/>
    </xf>
    <xf numFmtId="0" fontId="7" fillId="0" borderId="6" xfId="0" applyFont="1" applyBorder="1" applyAlignment="1">
      <alignment horizontal="center" vertical="center"/>
    </xf>
    <xf numFmtId="2" fontId="7" fillId="0" borderId="8" xfId="0" quotePrefix="1" applyNumberFormat="1" applyFont="1" applyBorder="1" applyAlignment="1">
      <alignment horizontal="center" vertical="center"/>
    </xf>
    <xf numFmtId="0" fontId="7" fillId="0" borderId="8" xfId="0" quotePrefix="1" applyFont="1" applyBorder="1" applyAlignment="1">
      <alignment horizontal="center" vertical="center"/>
    </xf>
    <xf numFmtId="0" fontId="7" fillId="0" borderId="28" xfId="0" quotePrefix="1" applyFont="1" applyBorder="1" applyAlignment="1">
      <alignment horizontal="center" vertical="center"/>
    </xf>
    <xf numFmtId="0" fontId="7" fillId="18" borderId="19" xfId="0" applyFont="1" applyFill="1" applyBorder="1"/>
    <xf numFmtId="0" fontId="7" fillId="18" borderId="20" xfId="0" applyFont="1" applyFill="1" applyBorder="1"/>
    <xf numFmtId="0" fontId="7" fillId="18" borderId="21" xfId="0" applyFont="1" applyFill="1" applyBorder="1"/>
    <xf numFmtId="0" fontId="10" fillId="18" borderId="1" xfId="0" applyFont="1" applyFill="1" applyBorder="1" applyAlignment="1">
      <alignment wrapText="1"/>
    </xf>
    <xf numFmtId="0" fontId="10" fillId="22" borderId="1" xfId="0" applyFont="1" applyFill="1" applyBorder="1" applyAlignment="1">
      <alignment wrapText="1"/>
    </xf>
    <xf numFmtId="0" fontId="10" fillId="22" borderId="1" xfId="0" applyFont="1" applyFill="1" applyBorder="1"/>
    <xf numFmtId="0" fontId="10" fillId="18" borderId="25" xfId="0" applyFont="1" applyFill="1" applyBorder="1" applyAlignment="1">
      <alignment horizontal="center"/>
    </xf>
    <xf numFmtId="0" fontId="7" fillId="0" borderId="1" xfId="0" applyFont="1" applyBorder="1" applyAlignment="1">
      <alignment horizontal="right"/>
    </xf>
    <xf numFmtId="0" fontId="10" fillId="22" borderId="8" xfId="0" applyFont="1" applyFill="1" applyBorder="1" applyAlignment="1">
      <alignment wrapText="1"/>
    </xf>
    <xf numFmtId="0" fontId="7" fillId="0" borderId="7" xfId="0" applyFont="1" applyBorder="1"/>
    <xf numFmtId="0" fontId="7" fillId="0" borderId="8" xfId="0" applyFont="1" applyBorder="1"/>
    <xf numFmtId="0" fontId="7" fillId="0" borderId="8" xfId="0" applyFont="1" applyBorder="1" applyAlignment="1">
      <alignment horizontal="right"/>
    </xf>
    <xf numFmtId="0" fontId="7" fillId="0" borderId="26" xfId="0" applyFont="1" applyBorder="1"/>
    <xf numFmtId="0" fontId="7" fillId="0" borderId="27" xfId="0" applyFont="1" applyBorder="1"/>
    <xf numFmtId="0" fontId="7" fillId="0" borderId="28" xfId="0" applyFont="1" applyBorder="1"/>
    <xf numFmtId="0" fontId="7" fillId="36" borderId="13" xfId="0" applyFont="1" applyFill="1" applyBorder="1"/>
    <xf numFmtId="0" fontId="7" fillId="36" borderId="10" xfId="0" applyFont="1" applyFill="1" applyBorder="1"/>
    <xf numFmtId="0" fontId="19" fillId="0" borderId="0" xfId="0" applyFont="1" applyAlignment="1">
      <alignment horizontal="center" vertical="center"/>
    </xf>
    <xf numFmtId="0" fontId="19" fillId="36" borderId="12" xfId="0" applyFont="1" applyFill="1" applyBorder="1" applyAlignment="1">
      <alignment horizontal="center" vertical="center"/>
    </xf>
    <xf numFmtId="0" fontId="10" fillId="0" borderId="29" xfId="0" applyFont="1" applyBorder="1" applyAlignment="1">
      <alignment horizontal="center"/>
    </xf>
    <xf numFmtId="0" fontId="10" fillId="0" borderId="25" xfId="0" applyFont="1" applyBorder="1" applyAlignment="1">
      <alignment horizontal="center"/>
    </xf>
    <xf numFmtId="0" fontId="10" fillId="14" borderId="25" xfId="0" applyFont="1" applyFill="1" applyBorder="1" applyAlignment="1">
      <alignment horizontal="center"/>
    </xf>
    <xf numFmtId="0" fontId="10" fillId="0" borderId="34" xfId="0" applyFont="1" applyBorder="1" applyAlignment="1">
      <alignment horizontal="center"/>
    </xf>
    <xf numFmtId="0" fontId="48" fillId="34" borderId="43" xfId="0" applyFont="1" applyFill="1" applyBorder="1" applyAlignment="1">
      <alignment horizontal="center" vertical="center" wrapText="1"/>
    </xf>
    <xf numFmtId="0" fontId="48" fillId="34" borderId="21" xfId="0" applyFont="1" applyFill="1" applyBorder="1" applyAlignment="1">
      <alignment horizontal="center" vertical="center" wrapText="1"/>
    </xf>
    <xf numFmtId="0" fontId="46" fillId="7" borderId="43" xfId="11" applyFont="1" applyFill="1" applyBorder="1" applyAlignment="1">
      <alignment horizontal="center" vertical="center"/>
    </xf>
    <xf numFmtId="0" fontId="19" fillId="36" borderId="13" xfId="0" applyFont="1" applyFill="1" applyBorder="1" applyAlignment="1">
      <alignment horizontal="center" vertical="center"/>
    </xf>
    <xf numFmtId="0" fontId="7" fillId="0" borderId="7" xfId="0" applyFont="1" applyBorder="1" applyAlignment="1">
      <alignment horizontal="center"/>
    </xf>
    <xf numFmtId="0" fontId="7" fillId="0" borderId="1" xfId="0" applyFont="1" applyBorder="1" applyAlignment="1">
      <alignment horizontal="center"/>
    </xf>
    <xf numFmtId="168" fontId="7" fillId="0" borderId="1" xfId="0" applyNumberFormat="1" applyFont="1" applyBorder="1" applyAlignment="1">
      <alignment horizontal="center"/>
    </xf>
    <xf numFmtId="0" fontId="7" fillId="0" borderId="8" xfId="0" applyFont="1" applyBorder="1" applyAlignment="1">
      <alignment horizontal="center"/>
    </xf>
    <xf numFmtId="0" fontId="7" fillId="0" borderId="10" xfId="0" applyFont="1" applyBorder="1" applyAlignment="1">
      <alignment horizontal="center" vertical="center"/>
    </xf>
    <xf numFmtId="0" fontId="7" fillId="0" borderId="11" xfId="0" applyFont="1" applyBorder="1" applyAlignment="1">
      <alignment horizontal="center" vertical="center"/>
    </xf>
    <xf numFmtId="0" fontId="7" fillId="0" borderId="11" xfId="0" applyFont="1" applyBorder="1" applyAlignment="1">
      <alignment horizontal="center" vertical="center" wrapText="1"/>
    </xf>
    <xf numFmtId="0" fontId="49" fillId="7" borderId="72" xfId="10" applyFont="1" applyFill="1" applyBorder="1" applyAlignment="1">
      <alignment horizontal="center" vertical="center" textRotation="90"/>
    </xf>
    <xf numFmtId="0" fontId="49" fillId="7" borderId="73" xfId="10" applyFont="1" applyFill="1" applyBorder="1" applyAlignment="1">
      <alignment horizontal="center" vertical="center"/>
    </xf>
    <xf numFmtId="0" fontId="49" fillId="7" borderId="72" xfId="10" applyFont="1" applyFill="1" applyBorder="1" applyAlignment="1">
      <alignment horizontal="center" vertical="center"/>
    </xf>
    <xf numFmtId="0" fontId="49" fillId="7" borderId="59" xfId="10" applyFont="1" applyFill="1" applyBorder="1" applyAlignment="1">
      <alignment horizontal="center" vertical="center"/>
    </xf>
    <xf numFmtId="0" fontId="49" fillId="7" borderId="10" xfId="10" applyFont="1" applyFill="1" applyBorder="1" applyAlignment="1">
      <alignment horizontal="center" vertical="center"/>
    </xf>
    <xf numFmtId="0" fontId="19" fillId="0" borderId="0" xfId="0" applyFont="1"/>
    <xf numFmtId="0" fontId="49" fillId="7" borderId="54" xfId="10" applyFont="1" applyFill="1" applyBorder="1" applyAlignment="1">
      <alignment horizontal="center" vertical="center"/>
    </xf>
    <xf numFmtId="0" fontId="49" fillId="7" borderId="56" xfId="10" applyFont="1" applyFill="1" applyBorder="1" applyAlignment="1">
      <alignment horizontal="center" vertical="center"/>
    </xf>
    <xf numFmtId="0" fontId="49" fillId="7" borderId="27" xfId="10" applyFont="1" applyFill="1" applyBorder="1" applyAlignment="1">
      <alignment horizontal="center" vertical="center"/>
    </xf>
    <xf numFmtId="0" fontId="19" fillId="0" borderId="1"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75" xfId="0" applyFont="1" applyBorder="1" applyAlignment="1">
      <alignment horizontal="center" vertical="center" wrapText="1"/>
    </xf>
    <xf numFmtId="0" fontId="19" fillId="0" borderId="84" xfId="0" applyFont="1" applyBorder="1" applyAlignment="1">
      <alignment horizontal="center" vertical="center" wrapText="1"/>
    </xf>
    <xf numFmtId="0" fontId="19" fillId="0" borderId="29" xfId="11" applyFont="1" applyBorder="1" applyAlignment="1">
      <alignment horizontal="center" vertical="center"/>
    </xf>
    <xf numFmtId="0" fontId="46" fillId="32" borderId="34" xfId="11" applyFont="1" applyFill="1" applyBorder="1" applyAlignment="1">
      <alignment horizontal="center" vertical="center"/>
    </xf>
    <xf numFmtId="0" fontId="46" fillId="32" borderId="29" xfId="11" applyFont="1" applyFill="1" applyBorder="1" applyAlignment="1">
      <alignment horizontal="center" vertical="center"/>
    </xf>
    <xf numFmtId="0" fontId="46" fillId="32" borderId="25" xfId="11" applyFont="1" applyFill="1" applyBorder="1" applyAlignment="1">
      <alignment horizontal="center" vertical="center"/>
    </xf>
    <xf numFmtId="1" fontId="19" fillId="0" borderId="29" xfId="11" applyNumberFormat="1" applyFont="1" applyBorder="1" applyAlignment="1">
      <alignment horizontal="center" vertical="center"/>
    </xf>
    <xf numFmtId="168" fontId="46" fillId="32" borderId="25" xfId="11" applyNumberFormat="1" applyFont="1" applyFill="1" applyBorder="1" applyAlignment="1">
      <alignment horizontal="center" vertical="center"/>
    </xf>
    <xf numFmtId="0" fontId="19" fillId="0" borderId="25" xfId="11" applyFont="1" applyBorder="1" applyAlignment="1">
      <alignment horizontal="center" vertical="center"/>
    </xf>
    <xf numFmtId="0" fontId="19" fillId="0" borderId="34" xfId="11" applyFont="1" applyBorder="1" applyAlignment="1">
      <alignment horizontal="center" vertical="center"/>
    </xf>
    <xf numFmtId="0" fontId="46" fillId="32" borderId="87" xfId="11" applyFont="1" applyFill="1" applyBorder="1" applyAlignment="1">
      <alignment horizontal="center" vertical="center" wrapText="1"/>
    </xf>
    <xf numFmtId="168" fontId="19" fillId="32" borderId="87" xfId="11" applyNumberFormat="1" applyFont="1" applyFill="1" applyBorder="1" applyAlignment="1">
      <alignment horizontal="center" vertical="center"/>
    </xf>
    <xf numFmtId="0" fontId="19" fillId="8" borderId="4" xfId="0" applyFont="1" applyFill="1" applyBorder="1" applyAlignment="1">
      <alignment horizontal="center"/>
    </xf>
    <xf numFmtId="0" fontId="19" fillId="8" borderId="5" xfId="0" applyFont="1" applyFill="1" applyBorder="1" applyAlignment="1">
      <alignment horizontal="center" vertical="center"/>
    </xf>
    <xf numFmtId="0" fontId="19" fillId="8" borderId="6" xfId="0" applyFont="1" applyFill="1" applyBorder="1" applyAlignment="1">
      <alignment horizontal="center"/>
    </xf>
    <xf numFmtId="0" fontId="19" fillId="8" borderId="54" xfId="0" applyFont="1" applyFill="1" applyBorder="1" applyAlignment="1">
      <alignment horizontal="center"/>
    </xf>
    <xf numFmtId="0" fontId="19" fillId="8" borderId="56" xfId="0" applyFont="1" applyFill="1" applyBorder="1" applyAlignment="1">
      <alignment horizontal="center"/>
    </xf>
    <xf numFmtId="0" fontId="19" fillId="0" borderId="29" xfId="10" applyFont="1" applyBorder="1" applyAlignment="1">
      <alignment horizontal="center" vertical="center"/>
    </xf>
    <xf numFmtId="0" fontId="19" fillId="0" borderId="34" xfId="0" applyFont="1" applyBorder="1" applyAlignment="1">
      <alignment horizontal="center" vertical="center"/>
    </xf>
    <xf numFmtId="0" fontId="19" fillId="0" borderId="29" xfId="0" applyFont="1" applyBorder="1" applyAlignment="1">
      <alignment horizontal="center" vertical="center"/>
    </xf>
    <xf numFmtId="1" fontId="19" fillId="0" borderId="34" xfId="0" applyNumberFormat="1" applyFont="1" applyBorder="1" applyAlignment="1">
      <alignment horizontal="center" vertical="center"/>
    </xf>
    <xf numFmtId="0" fontId="19" fillId="0" borderId="25" xfId="0" applyFont="1" applyBorder="1" applyAlignment="1">
      <alignment horizontal="center" vertical="center"/>
    </xf>
    <xf numFmtId="168" fontId="19" fillId="0" borderId="25" xfId="0" applyNumberFormat="1" applyFont="1" applyBorder="1" applyAlignment="1">
      <alignment horizontal="center" vertical="center"/>
    </xf>
    <xf numFmtId="0" fontId="44" fillId="0" borderId="25" xfId="0" applyFont="1" applyBorder="1" applyAlignment="1">
      <alignment horizontal="center" vertical="center"/>
    </xf>
    <xf numFmtId="3" fontId="19" fillId="0" borderId="25" xfId="0" applyNumberFormat="1" applyFont="1" applyBorder="1" applyAlignment="1">
      <alignment horizontal="center" vertical="center"/>
    </xf>
    <xf numFmtId="3" fontId="44" fillId="0" borderId="34" xfId="0" applyNumberFormat="1" applyFont="1" applyBorder="1" applyAlignment="1">
      <alignment horizontal="center" vertical="center"/>
    </xf>
    <xf numFmtId="168" fontId="19" fillId="0" borderId="25" xfId="10" applyNumberFormat="1" applyFont="1" applyBorder="1" applyAlignment="1">
      <alignment horizontal="center" vertical="center"/>
    </xf>
    <xf numFmtId="0" fontId="19" fillId="0" borderId="7" xfId="0" applyFont="1" applyBorder="1" applyAlignment="1">
      <alignment horizontal="center" vertical="center"/>
    </xf>
    <xf numFmtId="0" fontId="19" fillId="0" borderId="1" xfId="0" applyFont="1" applyBorder="1" applyAlignment="1">
      <alignment horizontal="center" vertical="center"/>
    </xf>
    <xf numFmtId="168" fontId="19" fillId="0" borderId="1" xfId="0" applyNumberFormat="1" applyFont="1" applyBorder="1" applyAlignment="1">
      <alignment horizontal="center" vertical="center"/>
    </xf>
    <xf numFmtId="0" fontId="19" fillId="18" borderId="1" xfId="0" applyFont="1" applyFill="1" applyBorder="1" applyAlignment="1">
      <alignment horizontal="center" vertical="center"/>
    </xf>
    <xf numFmtId="2" fontId="19" fillId="0" borderId="1" xfId="0" applyNumberFormat="1" applyFont="1" applyBorder="1" applyAlignment="1">
      <alignment horizontal="center" vertical="center"/>
    </xf>
    <xf numFmtId="0" fontId="19" fillId="0" borderId="101" xfId="0" applyFont="1" applyBorder="1" applyAlignment="1">
      <alignment horizontal="center" vertical="center" wrapText="1"/>
    </xf>
    <xf numFmtId="0" fontId="19" fillId="0" borderId="7" xfId="11" applyFont="1" applyBorder="1" applyAlignment="1">
      <alignment horizontal="center" vertical="center"/>
    </xf>
    <xf numFmtId="0" fontId="46" fillId="32" borderId="8" xfId="11" applyFont="1" applyFill="1" applyBorder="1" applyAlignment="1">
      <alignment horizontal="center" vertical="center"/>
    </xf>
    <xf numFmtId="0" fontId="46" fillId="32" borderId="7" xfId="11" applyFont="1" applyFill="1" applyBorder="1" applyAlignment="1">
      <alignment horizontal="center" vertical="center"/>
    </xf>
    <xf numFmtId="0" fontId="46" fillId="32" borderId="1" xfId="11" applyFont="1" applyFill="1" applyBorder="1" applyAlignment="1">
      <alignment horizontal="center" vertical="center"/>
    </xf>
    <xf numFmtId="1" fontId="19" fillId="0" borderId="7" xfId="11" applyNumberFormat="1" applyFont="1" applyBorder="1" applyAlignment="1">
      <alignment horizontal="center" vertical="center"/>
    </xf>
    <xf numFmtId="168" fontId="46" fillId="32" borderId="1" xfId="11" applyNumberFormat="1" applyFont="1" applyFill="1" applyBorder="1" applyAlignment="1">
      <alignment horizontal="center" vertical="center"/>
    </xf>
    <xf numFmtId="0" fontId="19" fillId="0" borderId="1" xfId="11" applyFont="1" applyBorder="1" applyAlignment="1">
      <alignment horizontal="center" vertical="center"/>
    </xf>
    <xf numFmtId="0" fontId="19" fillId="0" borderId="8" xfId="11" applyFont="1" applyBorder="1" applyAlignment="1">
      <alignment horizontal="center" vertical="center"/>
    </xf>
    <xf numFmtId="0" fontId="46" fillId="32" borderId="65" xfId="11" applyFont="1" applyFill="1" applyBorder="1" applyAlignment="1">
      <alignment horizontal="center" vertical="center" wrapText="1"/>
    </xf>
    <xf numFmtId="168" fontId="19" fillId="32" borderId="65" xfId="11" applyNumberFormat="1" applyFont="1" applyFill="1" applyBorder="1" applyAlignment="1">
      <alignment horizontal="center" vertical="center"/>
    </xf>
    <xf numFmtId="0" fontId="19" fillId="8" borderId="26" xfId="0" applyFont="1" applyFill="1" applyBorder="1" applyAlignment="1">
      <alignment horizontal="center"/>
    </xf>
    <xf numFmtId="0" fontId="19" fillId="8" borderId="27" xfId="0" applyFont="1" applyFill="1" applyBorder="1" applyAlignment="1">
      <alignment horizontal="center" vertical="center"/>
    </xf>
    <xf numFmtId="0" fontId="19" fillId="8" borderId="28" xfId="0" applyFont="1" applyFill="1" applyBorder="1" applyAlignment="1">
      <alignment horizontal="center"/>
    </xf>
    <xf numFmtId="0" fontId="19" fillId="0" borderId="6" xfId="0" applyFont="1" applyBorder="1" applyAlignment="1">
      <alignment horizontal="center" vertical="center"/>
    </xf>
    <xf numFmtId="0" fontId="19" fillId="0" borderId="7" xfId="10" applyFont="1" applyBorder="1" applyAlignment="1">
      <alignment horizontal="center" vertical="center"/>
    </xf>
    <xf numFmtId="0" fontId="19" fillId="0" borderId="8" xfId="0" applyFont="1" applyBorder="1" applyAlignment="1">
      <alignment horizontal="center" vertical="center"/>
    </xf>
    <xf numFmtId="1" fontId="19" fillId="0" borderId="8" xfId="0" applyNumberFormat="1" applyFont="1" applyBorder="1" applyAlignment="1">
      <alignment horizontal="center" vertical="center"/>
    </xf>
    <xf numFmtId="0" fontId="44" fillId="0" borderId="1" xfId="0" applyFont="1" applyBorder="1" applyAlignment="1">
      <alignment horizontal="center" vertical="center"/>
    </xf>
    <xf numFmtId="3" fontId="19" fillId="0" borderId="1" xfId="0" applyNumberFormat="1" applyFont="1" applyBorder="1" applyAlignment="1">
      <alignment horizontal="center" vertical="center"/>
    </xf>
    <xf numFmtId="168" fontId="19" fillId="0" borderId="1" xfId="10" applyNumberFormat="1" applyFont="1" applyBorder="1" applyAlignment="1">
      <alignment horizontal="center" vertical="center"/>
    </xf>
    <xf numFmtId="0" fontId="19" fillId="32" borderId="4" xfId="0" applyFont="1" applyFill="1" applyBorder="1" applyAlignment="1">
      <alignment horizontal="center" vertical="center" wrapText="1"/>
    </xf>
    <xf numFmtId="0" fontId="19" fillId="32" borderId="5" xfId="0" applyFont="1" applyFill="1" applyBorder="1" applyAlignment="1">
      <alignment horizontal="center" vertical="center" wrapText="1"/>
    </xf>
    <xf numFmtId="0" fontId="19" fillId="0" borderId="29" xfId="0" applyFont="1" applyBorder="1" applyAlignment="1">
      <alignment horizontal="center"/>
    </xf>
    <xf numFmtId="2" fontId="19" fillId="0" borderId="25" xfId="0" applyNumberFormat="1" applyFont="1" applyBorder="1" applyAlignment="1">
      <alignment horizontal="center" vertical="center"/>
    </xf>
    <xf numFmtId="0" fontId="19" fillId="0" borderId="34" xfId="0" applyFont="1" applyBorder="1" applyAlignment="1">
      <alignment horizontal="center"/>
    </xf>
    <xf numFmtId="3" fontId="19" fillId="0" borderId="8" xfId="0" applyNumberFormat="1" applyFont="1" applyBorder="1" applyAlignment="1">
      <alignment horizontal="center" vertical="center"/>
    </xf>
    <xf numFmtId="0" fontId="19" fillId="32" borderId="7" xfId="0" applyFont="1" applyFill="1" applyBorder="1" applyAlignment="1">
      <alignment horizontal="center" vertical="center" wrapText="1"/>
    </xf>
    <xf numFmtId="0" fontId="19" fillId="32" borderId="1" xfId="0" applyFont="1" applyFill="1" applyBorder="1" applyAlignment="1">
      <alignment horizontal="center" vertical="center" wrapText="1"/>
    </xf>
    <xf numFmtId="0" fontId="7" fillId="0" borderId="26" xfId="0" applyFont="1" applyBorder="1" applyAlignment="1">
      <alignment horizontal="center"/>
    </xf>
    <xf numFmtId="0" fontId="7" fillId="0" borderId="27" xfId="0" applyFont="1" applyBorder="1" applyAlignment="1">
      <alignment horizontal="center"/>
    </xf>
    <xf numFmtId="168" fontId="7" fillId="0" borderId="27" xfId="0" applyNumberFormat="1" applyFont="1" applyBorder="1" applyAlignment="1">
      <alignment horizontal="center"/>
    </xf>
    <xf numFmtId="0" fontId="7" fillId="0" borderId="28" xfId="0" applyFont="1" applyBorder="1" applyAlignment="1">
      <alignment horizontal="center"/>
    </xf>
    <xf numFmtId="0" fontId="46" fillId="32" borderId="7" xfId="12" applyFont="1" applyFill="1" applyBorder="1" applyAlignment="1">
      <alignment horizontal="center" vertical="center"/>
    </xf>
    <xf numFmtId="0" fontId="19" fillId="0" borderId="7" xfId="0" applyFont="1" applyBorder="1" applyAlignment="1">
      <alignment horizontal="center"/>
    </xf>
    <xf numFmtId="0" fontId="19" fillId="0" borderId="8" xfId="0" applyFont="1" applyBorder="1" applyAlignment="1">
      <alignment horizontal="center"/>
    </xf>
    <xf numFmtId="168" fontId="19" fillId="32" borderId="65" xfId="11" quotePrefix="1" applyNumberFormat="1" applyFont="1" applyFill="1" applyBorder="1" applyAlignment="1">
      <alignment horizontal="center" vertical="center"/>
    </xf>
    <xf numFmtId="0" fontId="10" fillId="0" borderId="8" xfId="0" applyFont="1" applyBorder="1" applyAlignment="1">
      <alignment horizontal="center" vertical="center"/>
    </xf>
    <xf numFmtId="0" fontId="10" fillId="0" borderId="7" xfId="0" applyFont="1" applyBorder="1" applyAlignment="1">
      <alignment horizontal="center" vertical="center"/>
    </xf>
    <xf numFmtId="1" fontId="10" fillId="0" borderId="8" xfId="0" applyNumberFormat="1"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168" fontId="19" fillId="0" borderId="27" xfId="0" applyNumberFormat="1" applyFont="1" applyBorder="1" applyAlignment="1">
      <alignment horizontal="center" vertical="center"/>
    </xf>
    <xf numFmtId="0" fontId="19" fillId="18" borderId="27" xfId="0" applyFont="1" applyFill="1" applyBorder="1" applyAlignment="1">
      <alignment horizontal="center" vertical="center"/>
    </xf>
    <xf numFmtId="2" fontId="19" fillId="0" borderId="27" xfId="0" applyNumberFormat="1" applyFont="1" applyBorder="1" applyAlignment="1">
      <alignment horizontal="center" vertical="center"/>
    </xf>
    <xf numFmtId="0" fontId="19" fillId="0" borderId="26" xfId="11" applyFont="1" applyBorder="1" applyAlignment="1">
      <alignment horizontal="center" vertical="center"/>
    </xf>
    <xf numFmtId="0" fontId="46" fillId="32" borderId="28" xfId="11" applyFont="1" applyFill="1" applyBorder="1" applyAlignment="1">
      <alignment horizontal="center" vertical="center"/>
    </xf>
    <xf numFmtId="0" fontId="46" fillId="32" borderId="26" xfId="11" applyFont="1" applyFill="1" applyBorder="1" applyAlignment="1">
      <alignment horizontal="center" vertical="center"/>
    </xf>
    <xf numFmtId="0" fontId="46" fillId="32" borderId="27" xfId="11" applyFont="1" applyFill="1" applyBorder="1" applyAlignment="1">
      <alignment horizontal="center" vertical="center"/>
    </xf>
    <xf numFmtId="168" fontId="46" fillId="32" borderId="27" xfId="11" applyNumberFormat="1" applyFont="1" applyFill="1" applyBorder="1" applyAlignment="1">
      <alignment horizontal="center" vertical="center"/>
    </xf>
    <xf numFmtId="0" fontId="19" fillId="0" borderId="27" xfId="11" applyFont="1" applyBorder="1" applyAlignment="1">
      <alignment horizontal="center" vertical="center"/>
    </xf>
    <xf numFmtId="0" fontId="19" fillId="0" borderId="28" xfId="11" applyFont="1" applyBorder="1" applyAlignment="1">
      <alignment horizontal="center" vertical="center"/>
    </xf>
    <xf numFmtId="0" fontId="46" fillId="32" borderId="66" xfId="11" applyFont="1" applyFill="1" applyBorder="1" applyAlignment="1">
      <alignment horizontal="center" vertical="center" wrapText="1"/>
    </xf>
    <xf numFmtId="168" fontId="19" fillId="32" borderId="66" xfId="11" applyNumberFormat="1" applyFont="1" applyFill="1" applyBorder="1" applyAlignment="1">
      <alignment horizontal="center" vertical="center"/>
    </xf>
    <xf numFmtId="0" fontId="19" fillId="32" borderId="84" xfId="0" applyFont="1" applyFill="1" applyBorder="1" applyAlignment="1">
      <alignment horizontal="center" vertical="center" wrapText="1"/>
    </xf>
    <xf numFmtId="0" fontId="19" fillId="32" borderId="75" xfId="0" applyFont="1" applyFill="1" applyBorder="1" applyAlignment="1">
      <alignment horizontal="center" vertical="center" wrapText="1"/>
    </xf>
    <xf numFmtId="0" fontId="19" fillId="15" borderId="4" xfId="0" applyFont="1" applyFill="1" applyBorder="1" applyAlignment="1">
      <alignment horizontal="center" vertical="center" wrapText="1"/>
    </xf>
    <xf numFmtId="0" fontId="19" fillId="15" borderId="5" xfId="0" applyFont="1" applyFill="1" applyBorder="1" applyAlignment="1">
      <alignment horizontal="center" vertical="center" wrapText="1"/>
    </xf>
    <xf numFmtId="0" fontId="19" fillId="15" borderId="7" xfId="0" applyFont="1" applyFill="1" applyBorder="1" applyAlignment="1">
      <alignment horizontal="center" vertical="center" wrapText="1"/>
    </xf>
    <xf numFmtId="0" fontId="19" fillId="15" borderId="1" xfId="0" applyFont="1" applyFill="1" applyBorder="1" applyAlignment="1">
      <alignment horizontal="center" vertical="center" wrapText="1"/>
    </xf>
    <xf numFmtId="0" fontId="19" fillId="0" borderId="26" xfId="0" applyFont="1" applyBorder="1" applyAlignment="1">
      <alignment horizontal="center"/>
    </xf>
    <xf numFmtId="3" fontId="19" fillId="0" borderId="27" xfId="0" applyNumberFormat="1" applyFont="1" applyBorder="1" applyAlignment="1">
      <alignment horizontal="center" vertical="center"/>
    </xf>
    <xf numFmtId="0" fontId="19" fillId="0" borderId="28" xfId="0" applyFont="1" applyBorder="1" applyAlignment="1">
      <alignment horizontal="center"/>
    </xf>
    <xf numFmtId="3" fontId="44" fillId="0" borderId="1" xfId="0" applyNumberFormat="1" applyFont="1" applyBorder="1" applyAlignment="1">
      <alignment horizontal="center" vertical="center"/>
    </xf>
    <xf numFmtId="0" fontId="44" fillId="0" borderId="8" xfId="0" applyFont="1" applyBorder="1" applyAlignment="1">
      <alignment horizontal="center" vertical="center"/>
    </xf>
    <xf numFmtId="168" fontId="44" fillId="0" borderId="1" xfId="10" applyNumberFormat="1" applyFont="1" applyBorder="1" applyAlignment="1">
      <alignment horizontal="center" vertical="center"/>
    </xf>
    <xf numFmtId="0" fontId="19" fillId="8" borderId="55" xfId="0" applyFont="1" applyFill="1" applyBorder="1" applyAlignment="1">
      <alignment horizontal="center" vertical="center"/>
    </xf>
    <xf numFmtId="0" fontId="19" fillId="33" borderId="8" xfId="0" applyFont="1" applyFill="1" applyBorder="1" applyAlignment="1">
      <alignment horizontal="center" vertical="center"/>
    </xf>
    <xf numFmtId="0" fontId="19" fillId="33" borderId="1" xfId="0" applyFont="1" applyFill="1" applyBorder="1" applyAlignment="1">
      <alignment horizontal="center" vertical="center"/>
    </xf>
    <xf numFmtId="3" fontId="19" fillId="33" borderId="1" xfId="0" applyNumberFormat="1" applyFont="1" applyFill="1" applyBorder="1" applyAlignment="1">
      <alignment horizontal="center" vertical="center"/>
    </xf>
    <xf numFmtId="0" fontId="19" fillId="15" borderId="84" xfId="0" applyFont="1" applyFill="1" applyBorder="1" applyAlignment="1">
      <alignment horizontal="center" vertical="center" wrapText="1"/>
    </xf>
    <xf numFmtId="0" fontId="19" fillId="15" borderId="75" xfId="0" applyFont="1" applyFill="1" applyBorder="1" applyAlignment="1">
      <alignment horizontal="center" vertical="center" wrapText="1"/>
    </xf>
    <xf numFmtId="0" fontId="19" fillId="24" borderId="4" xfId="0" applyFont="1" applyFill="1" applyBorder="1" applyAlignment="1">
      <alignment horizontal="center" vertical="center" wrapText="1"/>
    </xf>
    <xf numFmtId="0" fontId="19" fillId="24" borderId="5" xfId="0" applyFont="1" applyFill="1" applyBorder="1" applyAlignment="1">
      <alignment horizontal="center" vertical="center" wrapText="1"/>
    </xf>
    <xf numFmtId="0" fontId="19" fillId="0" borderId="28" xfId="0" applyFont="1" applyBorder="1" applyAlignment="1">
      <alignment horizontal="center" vertical="center"/>
    </xf>
    <xf numFmtId="0" fontId="19" fillId="24" borderId="7" xfId="0" applyFont="1" applyFill="1" applyBorder="1" applyAlignment="1">
      <alignment horizontal="center" vertical="center" wrapText="1"/>
    </xf>
    <xf numFmtId="0" fontId="19" fillId="24" borderId="1" xfId="0" applyFont="1" applyFill="1" applyBorder="1" applyAlignment="1">
      <alignment horizontal="center" vertical="center" wrapText="1"/>
    </xf>
    <xf numFmtId="3" fontId="19" fillId="0" borderId="28" xfId="0" applyNumberFormat="1" applyFont="1" applyBorder="1" applyAlignment="1">
      <alignment horizontal="center" vertical="center"/>
    </xf>
    <xf numFmtId="0" fontId="19" fillId="36" borderId="13" xfId="0" applyFont="1" applyFill="1" applyBorder="1"/>
    <xf numFmtId="0" fontId="19" fillId="0" borderId="5" xfId="0" applyFont="1" applyBorder="1" applyAlignment="1">
      <alignment horizontal="left" vertical="center"/>
    </xf>
    <xf numFmtId="0" fontId="19" fillId="0" borderId="6" xfId="0" applyFont="1" applyBorder="1" applyAlignment="1">
      <alignment horizontal="left" vertical="center"/>
    </xf>
    <xf numFmtId="0" fontId="19" fillId="0" borderId="0" xfId="0" applyFont="1" applyAlignment="1">
      <alignment horizontal="left" vertical="center"/>
    </xf>
    <xf numFmtId="0" fontId="19" fillId="8" borderId="43" xfId="0" applyFont="1" applyFill="1" applyBorder="1" applyAlignment="1">
      <alignment horizontal="center" vertical="center"/>
    </xf>
    <xf numFmtId="0" fontId="19" fillId="8" borderId="54" xfId="0" applyFont="1" applyFill="1" applyBorder="1" applyAlignment="1">
      <alignment horizontal="center" vertical="center"/>
    </xf>
    <xf numFmtId="0" fontId="19" fillId="8" borderId="56" xfId="0" applyFont="1" applyFill="1" applyBorder="1" applyAlignment="1">
      <alignment horizontal="center" vertical="center"/>
    </xf>
    <xf numFmtId="0" fontId="19" fillId="0" borderId="1" xfId="0" applyFont="1" applyBorder="1" applyAlignment="1">
      <alignment horizontal="left" vertical="center"/>
    </xf>
    <xf numFmtId="0" fontId="19" fillId="0" borderId="8" xfId="0" applyFont="1" applyBorder="1" applyAlignment="1">
      <alignment horizontal="left" vertical="center"/>
    </xf>
    <xf numFmtId="16" fontId="19" fillId="0" borderId="34" xfId="0" applyNumberFormat="1" applyFont="1" applyBorder="1" applyAlignment="1">
      <alignment horizontal="center" vertical="center"/>
    </xf>
    <xf numFmtId="0" fontId="19" fillId="0" borderId="26" xfId="0" applyFont="1" applyBorder="1" applyAlignment="1">
      <alignment horizontal="left" vertical="center"/>
    </xf>
    <xf numFmtId="0" fontId="19" fillId="0" borderId="27" xfId="0" applyFont="1" applyBorder="1" applyAlignment="1">
      <alignment horizontal="left" vertical="center"/>
    </xf>
    <xf numFmtId="0" fontId="19" fillId="0" borderId="28" xfId="0" applyFont="1" applyBorder="1" applyAlignment="1">
      <alignment horizontal="left" vertical="center"/>
    </xf>
    <xf numFmtId="0" fontId="19" fillId="0" borderId="26" xfId="10" applyFont="1" applyBorder="1" applyAlignment="1">
      <alignment horizontal="center" vertical="center"/>
    </xf>
    <xf numFmtId="0" fontId="10" fillId="33" borderId="28" xfId="0" applyFont="1" applyFill="1" applyBorder="1" applyAlignment="1">
      <alignment horizontal="center" vertical="center"/>
    </xf>
    <xf numFmtId="0" fontId="10" fillId="0" borderId="28" xfId="0" applyFont="1" applyBorder="1" applyAlignment="1">
      <alignment horizontal="center" vertical="center"/>
    </xf>
    <xf numFmtId="0" fontId="19" fillId="33" borderId="27" xfId="0" applyFont="1" applyFill="1" applyBorder="1" applyAlignment="1">
      <alignment horizontal="center" vertical="center"/>
    </xf>
    <xf numFmtId="0" fontId="49" fillId="0" borderId="27" xfId="0" applyFont="1" applyBorder="1" applyAlignment="1">
      <alignment horizontal="center" vertical="center"/>
    </xf>
    <xf numFmtId="0" fontId="10" fillId="0" borderId="27" xfId="0" applyFont="1" applyBorder="1" applyAlignment="1">
      <alignment horizontal="center" vertical="center"/>
    </xf>
    <xf numFmtId="0" fontId="10" fillId="0" borderId="26" xfId="0" applyFont="1" applyBorder="1" applyAlignment="1">
      <alignment horizontal="center" vertical="center"/>
    </xf>
    <xf numFmtId="168" fontId="19" fillId="0" borderId="27" xfId="10" applyNumberFormat="1" applyFont="1" applyBorder="1" applyAlignment="1">
      <alignment horizontal="center" vertical="center"/>
    </xf>
    <xf numFmtId="0" fontId="19" fillId="24" borderId="84" xfId="0" applyFont="1" applyFill="1" applyBorder="1" applyAlignment="1">
      <alignment horizontal="center" vertical="center" wrapText="1"/>
    </xf>
    <xf numFmtId="0" fontId="19" fillId="24" borderId="75" xfId="0" applyFont="1" applyFill="1" applyBorder="1" applyAlignment="1">
      <alignment horizontal="center" vertical="center" wrapText="1"/>
    </xf>
    <xf numFmtId="0" fontId="19" fillId="0" borderId="54" xfId="0" applyFont="1" applyBorder="1"/>
    <xf numFmtId="2" fontId="19" fillId="0" borderId="80" xfId="0" applyNumberFormat="1" applyFont="1" applyBorder="1" applyAlignment="1">
      <alignment horizontal="center" vertical="center"/>
    </xf>
    <xf numFmtId="2" fontId="19" fillId="0" borderId="21" xfId="0" applyNumberFormat="1" applyFont="1" applyBorder="1" applyAlignment="1">
      <alignment horizontal="left" vertical="center"/>
    </xf>
    <xf numFmtId="0" fontId="19" fillId="0" borderId="0" xfId="0" applyFont="1" applyAlignment="1">
      <alignment horizontal="center" vertical="center" wrapText="1"/>
    </xf>
    <xf numFmtId="0" fontId="19" fillId="21" borderId="4" xfId="0" applyFont="1" applyFill="1" applyBorder="1" applyAlignment="1">
      <alignment horizontal="center" vertical="center" wrapText="1"/>
    </xf>
    <xf numFmtId="0" fontId="19" fillId="21" borderId="5" xfId="0" applyFont="1" applyFill="1" applyBorder="1" applyAlignment="1">
      <alignment horizontal="center" vertical="center" wrapText="1"/>
    </xf>
    <xf numFmtId="0" fontId="19" fillId="0" borderId="43" xfId="0" applyFont="1" applyBorder="1"/>
    <xf numFmtId="2" fontId="19" fillId="0" borderId="43" xfId="0" applyNumberFormat="1" applyFont="1" applyBorder="1" applyAlignment="1">
      <alignment horizontal="center" vertical="center"/>
    </xf>
    <xf numFmtId="2" fontId="19" fillId="0" borderId="43" xfId="0" applyNumberFormat="1" applyFont="1" applyBorder="1" applyAlignment="1">
      <alignment horizontal="left" vertical="center"/>
    </xf>
    <xf numFmtId="0" fontId="19" fillId="21" borderId="7" xfId="0" applyFont="1" applyFill="1" applyBorder="1" applyAlignment="1">
      <alignment horizontal="center" vertical="center" wrapText="1"/>
    </xf>
    <xf numFmtId="0" fontId="19" fillId="21" borderId="1" xfId="0" applyFont="1" applyFill="1" applyBorder="1" applyAlignment="1">
      <alignment horizontal="center" vertical="center" wrapText="1"/>
    </xf>
    <xf numFmtId="0" fontId="19" fillId="21" borderId="84" xfId="0" applyFont="1" applyFill="1" applyBorder="1" applyAlignment="1">
      <alignment horizontal="center" vertical="center" wrapText="1"/>
    </xf>
    <xf numFmtId="0" fontId="19" fillId="21" borderId="75" xfId="0" applyFont="1" applyFill="1" applyBorder="1" applyAlignment="1">
      <alignment horizontal="center" vertical="center" wrapText="1"/>
    </xf>
    <xf numFmtId="0" fontId="19" fillId="7" borderId="4" xfId="0" applyFont="1" applyFill="1" applyBorder="1" applyAlignment="1">
      <alignment horizontal="center" vertical="center" wrapText="1"/>
    </xf>
    <xf numFmtId="0" fontId="19" fillId="7" borderId="5" xfId="0" applyFont="1" applyFill="1" applyBorder="1" applyAlignment="1">
      <alignment horizontal="center" vertical="center" wrapText="1"/>
    </xf>
    <xf numFmtId="0" fontId="19" fillId="7" borderId="7" xfId="0" applyFont="1" applyFill="1" applyBorder="1" applyAlignment="1">
      <alignment horizontal="center" vertical="center" wrapText="1"/>
    </xf>
    <xf numFmtId="0" fontId="19" fillId="7" borderId="1" xfId="0" applyFont="1" applyFill="1" applyBorder="1" applyAlignment="1">
      <alignment horizontal="center" vertical="center" wrapText="1"/>
    </xf>
    <xf numFmtId="0" fontId="19" fillId="7" borderId="84" xfId="0" applyFont="1" applyFill="1" applyBorder="1" applyAlignment="1">
      <alignment horizontal="center" vertical="center" wrapText="1"/>
    </xf>
    <xf numFmtId="0" fontId="19" fillId="7" borderId="75" xfId="0" applyFont="1" applyFill="1" applyBorder="1" applyAlignment="1">
      <alignment horizontal="center" vertical="center" wrapText="1"/>
    </xf>
    <xf numFmtId="0" fontId="19" fillId="18" borderId="4" xfId="0" applyFont="1" applyFill="1" applyBorder="1" applyAlignment="1">
      <alignment horizontal="center" vertical="center" wrapText="1"/>
    </xf>
    <xf numFmtId="0" fontId="19" fillId="18" borderId="5" xfId="0" applyFont="1" applyFill="1" applyBorder="1" applyAlignment="1">
      <alignment horizontal="center" vertical="center" wrapText="1"/>
    </xf>
    <xf numFmtId="0" fontId="19" fillId="0" borderId="91" xfId="0" applyFont="1" applyBorder="1" applyAlignment="1">
      <alignment horizontal="center" vertical="center"/>
    </xf>
    <xf numFmtId="0" fontId="19" fillId="0" borderId="92" xfId="0" applyFont="1" applyBorder="1" applyAlignment="1">
      <alignment horizontal="center" vertical="center"/>
    </xf>
    <xf numFmtId="0" fontId="19" fillId="0" borderId="93" xfId="0" applyFont="1" applyBorder="1" applyAlignment="1">
      <alignment horizontal="center" vertical="center"/>
    </xf>
    <xf numFmtId="0" fontId="19" fillId="18" borderId="7" xfId="0" applyFont="1" applyFill="1" applyBorder="1" applyAlignment="1">
      <alignment horizontal="center" vertical="center" wrapText="1"/>
    </xf>
    <xf numFmtId="0" fontId="19" fillId="18" borderId="1" xfId="0" applyFont="1" applyFill="1" applyBorder="1" applyAlignment="1">
      <alignment horizontal="center" vertical="center" wrapText="1"/>
    </xf>
    <xf numFmtId="0" fontId="19" fillId="0" borderId="94" xfId="0" applyFont="1" applyBorder="1" applyAlignment="1">
      <alignment horizontal="center" vertical="center"/>
    </xf>
    <xf numFmtId="0" fontId="19" fillId="0" borderId="85" xfId="0" applyFont="1" applyBorder="1" applyAlignment="1">
      <alignment horizontal="center" vertical="center"/>
    </xf>
    <xf numFmtId="0" fontId="19" fillId="0" borderId="95" xfId="0" applyFont="1" applyBorder="1" applyAlignment="1">
      <alignment horizontal="center" vertical="center"/>
    </xf>
    <xf numFmtId="0" fontId="19" fillId="18" borderId="84" xfId="0" applyFont="1" applyFill="1" applyBorder="1" applyAlignment="1">
      <alignment horizontal="center" vertical="center" wrapText="1"/>
    </xf>
    <xf numFmtId="0" fontId="19" fillId="18" borderId="75" xfId="0" applyFont="1" applyFill="1" applyBorder="1" applyAlignment="1">
      <alignment horizontal="center" vertical="center" wrapText="1"/>
    </xf>
    <xf numFmtId="0" fontId="19" fillId="0" borderId="96" xfId="0" applyFont="1" applyBorder="1" applyAlignment="1">
      <alignment horizontal="center" vertical="center"/>
    </xf>
    <xf numFmtId="0" fontId="19" fillId="0" borderId="97" xfId="0" applyFont="1" applyBorder="1" applyAlignment="1">
      <alignment horizontal="center" vertical="center"/>
    </xf>
    <xf numFmtId="0" fontId="19" fillId="0" borderId="98" xfId="0" applyFont="1" applyBorder="1" applyAlignment="1">
      <alignment horizontal="center" vertical="center"/>
    </xf>
    <xf numFmtId="0" fontId="19" fillId="0" borderId="42" xfId="0" applyFont="1" applyBorder="1" applyAlignment="1">
      <alignment wrapText="1"/>
    </xf>
    <xf numFmtId="0" fontId="19" fillId="0" borderId="42" xfId="0" applyFont="1" applyBorder="1"/>
    <xf numFmtId="0" fontId="19" fillId="0" borderId="43" xfId="0" applyFont="1" applyBorder="1" applyAlignment="1">
      <alignment horizontal="center" vertical="center"/>
    </xf>
    <xf numFmtId="0" fontId="19" fillId="0" borderId="13" xfId="0" applyFont="1" applyBorder="1" applyAlignment="1">
      <alignment horizontal="center" vertical="center"/>
    </xf>
    <xf numFmtId="0" fontId="19" fillId="18" borderId="26" xfId="0" applyFont="1" applyFill="1" applyBorder="1" applyAlignment="1">
      <alignment horizontal="center" vertical="center" wrapText="1"/>
    </xf>
    <xf numFmtId="0" fontId="19" fillId="18" borderId="27" xfId="0" applyFont="1" applyFill="1" applyBorder="1" applyAlignment="1">
      <alignment horizontal="center" vertical="center" wrapText="1"/>
    </xf>
    <xf numFmtId="0" fontId="46" fillId="0" borderId="0" xfId="0" applyFont="1" applyAlignment="1">
      <alignment horizontal="center"/>
    </xf>
    <xf numFmtId="0" fontId="53" fillId="0" borderId="1" xfId="0" applyFont="1" applyBorder="1" applyAlignment="1">
      <alignment horizontal="center" vertical="center"/>
    </xf>
    <xf numFmtId="0" fontId="53" fillId="38" borderId="1" xfId="0" applyFont="1" applyFill="1" applyBorder="1" applyAlignment="1">
      <alignment horizontal="center" vertical="center"/>
    </xf>
    <xf numFmtId="0" fontId="55" fillId="38" borderId="1" xfId="0" applyFont="1" applyFill="1" applyBorder="1" applyAlignment="1">
      <alignment horizontal="center" vertical="center"/>
    </xf>
    <xf numFmtId="0" fontId="55" fillId="6" borderId="1" xfId="0" applyFont="1" applyFill="1" applyBorder="1" applyAlignment="1">
      <alignment horizontal="center" vertical="center"/>
    </xf>
    <xf numFmtId="0" fontId="56" fillId="6" borderId="1" xfId="0" applyFont="1" applyFill="1" applyBorder="1" applyAlignment="1">
      <alignment horizontal="center" vertical="center" wrapText="1"/>
    </xf>
    <xf numFmtId="0" fontId="56" fillId="6" borderId="1" xfId="0" applyFont="1" applyFill="1" applyBorder="1" applyAlignment="1">
      <alignment horizontal="center" vertical="center"/>
    </xf>
    <xf numFmtId="0" fontId="56" fillId="0" borderId="1" xfId="0" applyFont="1" applyBorder="1" applyAlignment="1">
      <alignment horizontal="center" vertical="center"/>
    </xf>
    <xf numFmtId="0" fontId="55" fillId="0" borderId="1" xfId="0" applyFont="1" applyBorder="1" applyAlignment="1">
      <alignment horizontal="center" vertical="center"/>
    </xf>
    <xf numFmtId="0" fontId="56" fillId="38" borderId="1" xfId="0" applyFont="1" applyFill="1" applyBorder="1" applyAlignment="1">
      <alignment horizontal="center" vertical="center"/>
    </xf>
    <xf numFmtId="0" fontId="57" fillId="0" borderId="0" xfId="0" applyFont="1"/>
    <xf numFmtId="0" fontId="56" fillId="0" borderId="1" xfId="0" applyFont="1" applyBorder="1" applyAlignment="1">
      <alignment horizontal="center" vertical="center" wrapText="1"/>
    </xf>
    <xf numFmtId="2" fontId="58" fillId="32" borderId="25" xfId="0" applyNumberFormat="1" applyFont="1" applyFill="1" applyBorder="1" applyAlignment="1">
      <alignment horizontal="center" vertical="center"/>
    </xf>
    <xf numFmtId="0" fontId="39" fillId="0" borderId="25" xfId="0" applyFont="1" applyBorder="1" applyAlignment="1">
      <alignment horizontal="center" vertical="center"/>
    </xf>
    <xf numFmtId="2" fontId="59" fillId="32" borderId="25" xfId="0" applyNumberFormat="1" applyFont="1" applyFill="1" applyBorder="1" applyAlignment="1">
      <alignment horizontal="center" vertical="center"/>
    </xf>
    <xf numFmtId="0" fontId="39" fillId="0" borderId="1" xfId="0" applyFont="1" applyBorder="1" applyAlignment="1">
      <alignment horizontal="center"/>
    </xf>
    <xf numFmtId="0" fontId="39" fillId="0" borderId="1" xfId="0" applyFont="1" applyBorder="1" applyAlignment="1">
      <alignment horizontal="center" vertical="center"/>
    </xf>
    <xf numFmtId="2" fontId="60" fillId="32" borderId="1" xfId="0" applyNumberFormat="1" applyFont="1" applyFill="1" applyBorder="1" applyAlignment="1">
      <alignment horizontal="center" vertical="center"/>
    </xf>
    <xf numFmtId="0" fontId="61" fillId="32" borderId="1" xfId="0" applyFont="1" applyFill="1" applyBorder="1" applyAlignment="1">
      <alignment horizontal="center" vertical="center" wrapText="1"/>
    </xf>
    <xf numFmtId="0" fontId="0" fillId="0" borderId="1" xfId="0" applyBorder="1" applyAlignment="1">
      <alignment horizontal="center" vertical="center"/>
    </xf>
    <xf numFmtId="16" fontId="0" fillId="0" borderId="1" xfId="0" applyNumberFormat="1" applyBorder="1" applyAlignment="1">
      <alignment horizontal="center"/>
    </xf>
    <xf numFmtId="0" fontId="39" fillId="0" borderId="25" xfId="0" applyFont="1" applyBorder="1"/>
    <xf numFmtId="0" fontId="0" fillId="22" borderId="1" xfId="0" applyFill="1" applyBorder="1" applyAlignment="1">
      <alignment horizontal="center" vertical="center"/>
    </xf>
    <xf numFmtId="0" fontId="10" fillId="36" borderId="52" xfId="0" applyFont="1" applyFill="1" applyBorder="1" applyAlignment="1">
      <alignment horizontal="center" vertical="center"/>
    </xf>
    <xf numFmtId="0" fontId="7" fillId="0" borderId="37" xfId="0" applyFont="1" applyBorder="1" applyAlignment="1">
      <alignment horizontal="center" vertical="center"/>
    </xf>
    <xf numFmtId="0" fontId="7" fillId="0" borderId="2" xfId="0" applyFont="1" applyBorder="1" applyAlignment="1">
      <alignment horizontal="center" vertical="center"/>
    </xf>
    <xf numFmtId="0" fontId="7" fillId="0" borderId="52" xfId="0" applyFont="1" applyBorder="1" applyAlignment="1">
      <alignment horizontal="center" vertical="center"/>
    </xf>
    <xf numFmtId="0" fontId="7" fillId="0" borderId="4" xfId="0" applyFont="1" applyBorder="1" applyAlignment="1">
      <alignment horizontal="center" vertical="center"/>
    </xf>
    <xf numFmtId="0" fontId="7" fillId="0" borderId="7" xfId="0" applyFont="1" applyBorder="1" applyAlignment="1">
      <alignment horizontal="center" vertical="center"/>
    </xf>
    <xf numFmtId="0" fontId="7" fillId="0" borderId="26" xfId="0" applyFont="1" applyBorder="1" applyAlignment="1">
      <alignment horizontal="center" vertical="center"/>
    </xf>
    <xf numFmtId="0" fontId="7" fillId="0" borderId="8" xfId="0" applyFont="1" applyBorder="1" applyAlignment="1">
      <alignment horizontal="center" vertical="center"/>
    </xf>
    <xf numFmtId="0" fontId="7" fillId="0" borderId="28" xfId="0" applyFont="1" applyBorder="1" applyAlignment="1">
      <alignment horizontal="center" vertical="center"/>
    </xf>
    <xf numFmtId="0" fontId="7" fillId="13" borderId="14" xfId="0" applyFont="1" applyFill="1" applyBorder="1"/>
    <xf numFmtId="0" fontId="7" fillId="13" borderId="24" xfId="0" applyFont="1" applyFill="1" applyBorder="1"/>
    <xf numFmtId="3" fontId="10" fillId="7" borderId="90" xfId="1" applyNumberFormat="1" applyFont="1" applyFill="1" applyBorder="1" applyAlignment="1">
      <alignment horizontal="center" vertical="center"/>
    </xf>
    <xf numFmtId="0" fontId="3" fillId="5" borderId="107" xfId="0" applyFont="1" applyFill="1" applyBorder="1"/>
    <xf numFmtId="0" fontId="65" fillId="0" borderId="1" xfId="0" applyFont="1" applyBorder="1" applyProtection="1">
      <protection locked="0"/>
    </xf>
    <xf numFmtId="0" fontId="65" fillId="40" borderId="1" xfId="0" applyFont="1" applyFill="1" applyBorder="1" applyProtection="1">
      <protection locked="0"/>
    </xf>
    <xf numFmtId="0" fontId="65" fillId="6" borderId="1" xfId="0" applyFont="1" applyFill="1" applyBorder="1" applyProtection="1">
      <protection locked="0"/>
    </xf>
    <xf numFmtId="0" fontId="65" fillId="41" borderId="1" xfId="0" applyFont="1" applyFill="1" applyBorder="1" applyProtection="1">
      <protection locked="0"/>
    </xf>
    <xf numFmtId="0" fontId="65" fillId="11" borderId="1" xfId="0" applyFont="1" applyFill="1" applyBorder="1" applyProtection="1">
      <protection locked="0"/>
    </xf>
    <xf numFmtId="0" fontId="65" fillId="23" borderId="1" xfId="0" applyFont="1" applyFill="1" applyBorder="1" applyProtection="1">
      <protection locked="0"/>
    </xf>
    <xf numFmtId="0" fontId="65" fillId="12" borderId="1" xfId="0" applyFont="1" applyFill="1" applyBorder="1" applyProtection="1">
      <protection locked="0"/>
    </xf>
    <xf numFmtId="0" fontId="65" fillId="0" borderId="1" xfId="0" applyFont="1" applyBorder="1" applyAlignment="1" applyProtection="1">
      <alignment horizontal="center" vertical="center"/>
      <protection locked="0"/>
    </xf>
    <xf numFmtId="0" fontId="5" fillId="0" borderId="0" xfId="0" applyFont="1" applyProtection="1">
      <protection locked="0"/>
    </xf>
    <xf numFmtId="0" fontId="66" fillId="42" borderId="43" xfId="0" applyFont="1" applyFill="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1" xfId="0" applyFont="1" applyBorder="1" applyProtection="1">
      <protection locked="0"/>
    </xf>
    <xf numFmtId="0" fontId="5" fillId="40" borderId="1" xfId="0" applyFont="1" applyFill="1" applyBorder="1" applyProtection="1">
      <protection locked="0"/>
    </xf>
    <xf numFmtId="0" fontId="5" fillId="6" borderId="1" xfId="0" applyFont="1" applyFill="1" applyBorder="1" applyProtection="1">
      <protection locked="0"/>
    </xf>
    <xf numFmtId="0" fontId="5" fillId="41" borderId="1" xfId="0" applyFont="1" applyFill="1" applyBorder="1" applyProtection="1">
      <protection locked="0"/>
    </xf>
    <xf numFmtId="0" fontId="5" fillId="11" borderId="1" xfId="0" applyFont="1" applyFill="1" applyBorder="1" applyProtection="1">
      <protection locked="0"/>
    </xf>
    <xf numFmtId="0" fontId="5" fillId="23" borderId="1" xfId="0" applyFont="1" applyFill="1" applyBorder="1" applyProtection="1">
      <protection locked="0"/>
    </xf>
    <xf numFmtId="0" fontId="5" fillId="12" borderId="1" xfId="0" applyFont="1" applyFill="1" applyBorder="1" applyProtection="1">
      <protection locked="0"/>
    </xf>
    <xf numFmtId="2" fontId="65" fillId="0" borderId="1" xfId="0" applyNumberFormat="1" applyFont="1" applyBorder="1" applyProtection="1">
      <protection locked="0"/>
    </xf>
    <xf numFmtId="0" fontId="5" fillId="42" borderId="43" xfId="0" applyFont="1" applyFill="1" applyBorder="1" applyProtection="1">
      <protection locked="0"/>
    </xf>
    <xf numFmtId="0" fontId="0" fillId="0" borderId="1" xfId="0" applyBorder="1" applyAlignment="1" applyProtection="1">
      <alignment horizontal="center" vertical="center"/>
      <protection locked="0"/>
    </xf>
    <xf numFmtId="3" fontId="0" fillId="0" borderId="1" xfId="0" applyNumberFormat="1" applyBorder="1" applyAlignment="1" applyProtection="1">
      <alignment horizontal="center" vertical="center"/>
      <protection locked="0"/>
    </xf>
    <xf numFmtId="0" fontId="67" fillId="25" borderId="1" xfId="0" applyFont="1" applyFill="1" applyBorder="1" applyAlignment="1" applyProtection="1">
      <alignment horizontal="center" vertical="center"/>
      <protection locked="0"/>
    </xf>
    <xf numFmtId="0" fontId="5" fillId="42" borderId="10" xfId="0" applyFont="1" applyFill="1" applyBorder="1" applyProtection="1">
      <protection locked="0"/>
    </xf>
    <xf numFmtId="2" fontId="65" fillId="18" borderId="1" xfId="0" applyNumberFormat="1" applyFont="1" applyFill="1" applyBorder="1" applyProtection="1">
      <protection locked="0"/>
    </xf>
    <xf numFmtId="0" fontId="65" fillId="18" borderId="1" xfId="0" applyFont="1" applyFill="1" applyBorder="1" applyProtection="1">
      <protection locked="0"/>
    </xf>
    <xf numFmtId="0" fontId="5" fillId="26" borderId="43" xfId="0" applyFont="1" applyFill="1" applyBorder="1" applyProtection="1">
      <protection locked="0"/>
    </xf>
    <xf numFmtId="0" fontId="5" fillId="13" borderId="12" xfId="0" applyFont="1" applyFill="1" applyBorder="1" applyProtection="1">
      <protection locked="0"/>
    </xf>
    <xf numFmtId="0" fontId="5" fillId="13" borderId="13" xfId="0" applyFont="1" applyFill="1" applyBorder="1" applyProtection="1">
      <protection locked="0"/>
    </xf>
    <xf numFmtId="0" fontId="5" fillId="13" borderId="10" xfId="0" applyFont="1" applyFill="1" applyBorder="1" applyProtection="1">
      <protection locked="0"/>
    </xf>
    <xf numFmtId="0" fontId="65" fillId="0" borderId="75" xfId="0" applyFont="1" applyBorder="1" applyProtection="1">
      <protection locked="0"/>
    </xf>
    <xf numFmtId="0" fontId="5" fillId="0" borderId="75" xfId="0" applyFont="1" applyBorder="1" applyProtection="1">
      <protection locked="0"/>
    </xf>
    <xf numFmtId="0" fontId="65" fillId="0" borderId="4" xfId="0" applyFont="1" applyBorder="1" applyProtection="1">
      <protection locked="0"/>
    </xf>
    <xf numFmtId="0" fontId="5" fillId="0" borderId="6" xfId="0" applyFont="1" applyBorder="1" applyProtection="1">
      <protection locked="0"/>
    </xf>
    <xf numFmtId="0" fontId="5" fillId="40" borderId="18" xfId="0" applyFont="1" applyFill="1" applyBorder="1" applyProtection="1">
      <protection locked="0"/>
    </xf>
    <xf numFmtId="0" fontId="65" fillId="0" borderId="7" xfId="0" applyFont="1" applyBorder="1" applyProtection="1">
      <protection locked="0"/>
    </xf>
    <xf numFmtId="0" fontId="5" fillId="0" borderId="8" xfId="0" applyFont="1" applyBorder="1" applyProtection="1">
      <protection locked="0"/>
    </xf>
    <xf numFmtId="0" fontId="65" fillId="0" borderId="26" xfId="0" applyFont="1" applyBorder="1" applyProtection="1">
      <protection locked="0"/>
    </xf>
    <xf numFmtId="0" fontId="5" fillId="0" borderId="28" xfId="0" applyFont="1" applyBorder="1" applyProtection="1">
      <protection locked="0"/>
    </xf>
    <xf numFmtId="0" fontId="5" fillId="0" borderId="18" xfId="0" applyFont="1" applyBorder="1" applyProtection="1">
      <protection locked="0"/>
    </xf>
    <xf numFmtId="0" fontId="5" fillId="0" borderId="0" xfId="0" applyFont="1" applyAlignment="1" applyProtection="1">
      <alignment horizontal="center"/>
      <protection locked="0"/>
    </xf>
    <xf numFmtId="0" fontId="65" fillId="0" borderId="84" xfId="0" applyFont="1" applyBorder="1" applyProtection="1">
      <protection locked="0"/>
    </xf>
    <xf numFmtId="0" fontId="5" fillId="0" borderId="89" xfId="0" applyFont="1" applyBorder="1" applyProtection="1">
      <protection locked="0"/>
    </xf>
    <xf numFmtId="0" fontId="69" fillId="18" borderId="28" xfId="0" applyFont="1" applyFill="1" applyBorder="1" applyProtection="1">
      <protection locked="0"/>
    </xf>
    <xf numFmtId="1" fontId="5" fillId="18" borderId="6" xfId="0" applyNumberFormat="1" applyFont="1" applyFill="1" applyBorder="1" applyProtection="1">
      <protection locked="0"/>
    </xf>
    <xf numFmtId="1" fontId="5" fillId="18" borderId="8" xfId="0" applyNumberFormat="1" applyFont="1" applyFill="1" applyBorder="1" applyProtection="1">
      <protection locked="0"/>
    </xf>
    <xf numFmtId="1" fontId="5" fillId="18" borderId="28" xfId="0" applyNumberFormat="1" applyFont="1" applyFill="1" applyBorder="1" applyProtection="1">
      <protection locked="0"/>
    </xf>
    <xf numFmtId="0" fontId="65" fillId="0" borderId="25" xfId="0" applyFont="1" applyBorder="1" applyProtection="1">
      <protection locked="0"/>
    </xf>
    <xf numFmtId="0" fontId="69" fillId="18" borderId="25" xfId="0" applyFont="1" applyFill="1" applyBorder="1" applyProtection="1">
      <protection locked="0"/>
    </xf>
    <xf numFmtId="0" fontId="69" fillId="18" borderId="1" xfId="0" applyFont="1" applyFill="1" applyBorder="1" applyProtection="1">
      <protection locked="0"/>
    </xf>
    <xf numFmtId="0" fontId="69" fillId="18" borderId="75" xfId="0" applyFont="1" applyFill="1" applyBorder="1" applyProtection="1">
      <protection locked="0"/>
    </xf>
    <xf numFmtId="0" fontId="65" fillId="32" borderId="4" xfId="0" applyFont="1" applyFill="1" applyBorder="1" applyProtection="1">
      <protection locked="0"/>
    </xf>
    <xf numFmtId="1" fontId="5" fillId="32" borderId="6" xfId="0" applyNumberFormat="1" applyFont="1" applyFill="1" applyBorder="1" applyProtection="1">
      <protection locked="0"/>
    </xf>
    <xf numFmtId="0" fontId="5" fillId="32" borderId="18" xfId="0" applyFont="1" applyFill="1" applyBorder="1" applyProtection="1">
      <protection locked="0"/>
    </xf>
    <xf numFmtId="0" fontId="5" fillId="32" borderId="1" xfId="0" applyFont="1" applyFill="1" applyBorder="1" applyProtection="1">
      <protection locked="0"/>
    </xf>
    <xf numFmtId="0" fontId="65" fillId="32" borderId="1" xfId="0" applyFont="1" applyFill="1" applyBorder="1" applyProtection="1">
      <protection locked="0"/>
    </xf>
    <xf numFmtId="0" fontId="65" fillId="32" borderId="7" xfId="0" applyFont="1" applyFill="1" applyBorder="1" applyProtection="1">
      <protection locked="0"/>
    </xf>
    <xf numFmtId="1" fontId="5" fillId="32" borderId="8" xfId="0" applyNumberFormat="1" applyFont="1" applyFill="1" applyBorder="1" applyProtection="1">
      <protection locked="0"/>
    </xf>
    <xf numFmtId="0" fontId="65" fillId="32" borderId="26" xfId="0" applyFont="1" applyFill="1" applyBorder="1" applyProtection="1">
      <protection locked="0"/>
    </xf>
    <xf numFmtId="1" fontId="5" fillId="32" borderId="28" xfId="0" applyNumberFormat="1" applyFont="1" applyFill="1" applyBorder="1" applyProtection="1">
      <protection locked="0"/>
    </xf>
    <xf numFmtId="0" fontId="0" fillId="0" borderId="0" xfId="0" applyProtection="1">
      <protection locked="0"/>
    </xf>
    <xf numFmtId="0" fontId="5" fillId="20" borderId="1" xfId="0" applyFont="1" applyFill="1" applyBorder="1"/>
    <xf numFmtId="0" fontId="5" fillId="0" borderId="1" xfId="0" applyFont="1" applyBorder="1"/>
    <xf numFmtId="0" fontId="5" fillId="0" borderId="0" xfId="0" applyFont="1"/>
    <xf numFmtId="0" fontId="5" fillId="0" borderId="106" xfId="0" applyFont="1" applyBorder="1"/>
    <xf numFmtId="0" fontId="67" fillId="25" borderId="0" xfId="0" applyFont="1" applyFill="1" applyAlignment="1" applyProtection="1">
      <alignment horizontal="center" vertical="center"/>
      <protection locked="0"/>
    </xf>
    <xf numFmtId="0" fontId="38" fillId="5" borderId="108" xfId="0" applyFont="1" applyFill="1" applyBorder="1"/>
    <xf numFmtId="3" fontId="5" fillId="0" borderId="1" xfId="1" applyNumberFormat="1" applyFont="1" applyBorder="1" applyAlignment="1">
      <alignment horizontal="center"/>
    </xf>
    <xf numFmtId="0" fontId="5" fillId="20" borderId="76" xfId="0" applyFont="1" applyFill="1" applyBorder="1"/>
    <xf numFmtId="0" fontId="5" fillId="14" borderId="1" xfId="0" applyFont="1" applyFill="1" applyBorder="1" applyAlignment="1">
      <alignment horizontal="left" vertical="center"/>
    </xf>
    <xf numFmtId="0" fontId="5" fillId="41" borderId="1" xfId="0" applyFont="1" applyFill="1" applyBorder="1" applyAlignment="1">
      <alignment horizontal="left" vertical="center"/>
    </xf>
    <xf numFmtId="0" fontId="5" fillId="28" borderId="14" xfId="0" applyFont="1" applyFill="1" applyBorder="1"/>
    <xf numFmtId="0" fontId="5" fillId="28" borderId="33" xfId="0" applyFont="1" applyFill="1" applyBorder="1"/>
    <xf numFmtId="0" fontId="5" fillId="28" borderId="24" xfId="0" applyFont="1" applyFill="1" applyBorder="1"/>
    <xf numFmtId="0" fontId="5" fillId="49" borderId="14" xfId="0" applyFont="1" applyFill="1" applyBorder="1"/>
    <xf numFmtId="0" fontId="5" fillId="49" borderId="33" xfId="0" applyFont="1" applyFill="1" applyBorder="1"/>
    <xf numFmtId="0" fontId="5" fillId="13" borderId="14" xfId="0" applyFont="1" applyFill="1" applyBorder="1"/>
    <xf numFmtId="0" fontId="5" fillId="13" borderId="33" xfId="0" applyFont="1" applyFill="1" applyBorder="1"/>
    <xf numFmtId="0" fontId="5" fillId="13" borderId="24" xfId="0" applyFont="1" applyFill="1" applyBorder="1"/>
    <xf numFmtId="0" fontId="5" fillId="50" borderId="14" xfId="0" applyFont="1" applyFill="1" applyBorder="1"/>
    <xf numFmtId="0" fontId="5" fillId="50" borderId="24" xfId="0" applyFont="1" applyFill="1" applyBorder="1"/>
    <xf numFmtId="0" fontId="5" fillId="0" borderId="76" xfId="0" applyFont="1" applyBorder="1"/>
    <xf numFmtId="0" fontId="5" fillId="14" borderId="1" xfId="0" applyFont="1" applyFill="1" applyBorder="1"/>
    <xf numFmtId="0" fontId="5" fillId="41" borderId="1" xfId="0" applyFont="1" applyFill="1" applyBorder="1"/>
    <xf numFmtId="0" fontId="5" fillId="28" borderId="15" xfId="0" applyFont="1" applyFill="1" applyBorder="1"/>
    <xf numFmtId="0" fontId="5" fillId="28" borderId="0" xfId="0" applyFont="1" applyFill="1"/>
    <xf numFmtId="0" fontId="5" fillId="28" borderId="49" xfId="0" applyFont="1" applyFill="1" applyBorder="1"/>
    <xf numFmtId="0" fontId="5" fillId="49" borderId="15" xfId="0" applyFont="1" applyFill="1" applyBorder="1"/>
    <xf numFmtId="0" fontId="5" fillId="49" borderId="0" xfId="0" applyFont="1" applyFill="1"/>
    <xf numFmtId="0" fontId="5" fillId="13" borderId="15" xfId="0" applyFont="1" applyFill="1" applyBorder="1"/>
    <xf numFmtId="0" fontId="5" fillId="13" borderId="0" xfId="0" applyFont="1" applyFill="1"/>
    <xf numFmtId="0" fontId="5" fillId="13" borderId="49" xfId="0" applyFont="1" applyFill="1" applyBorder="1"/>
    <xf numFmtId="0" fontId="5" fillId="50" borderId="15" xfId="0" applyFont="1" applyFill="1" applyBorder="1"/>
    <xf numFmtId="0" fontId="5" fillId="50" borderId="49" xfId="0" applyFont="1" applyFill="1" applyBorder="1"/>
    <xf numFmtId="0" fontId="5" fillId="28" borderId="16" xfId="0" applyFont="1" applyFill="1" applyBorder="1"/>
    <xf numFmtId="0" fontId="5" fillId="28" borderId="42" xfId="0" applyFont="1" applyFill="1" applyBorder="1"/>
    <xf numFmtId="0" fontId="5" fillId="28" borderId="11" xfId="0" applyFont="1" applyFill="1" applyBorder="1"/>
    <xf numFmtId="0" fontId="5" fillId="39" borderId="14" xfId="0" applyFont="1" applyFill="1" applyBorder="1"/>
    <xf numFmtId="0" fontId="5" fillId="39" borderId="33" xfId="0" applyFont="1" applyFill="1" applyBorder="1"/>
    <xf numFmtId="0" fontId="5" fillId="39" borderId="24" xfId="0" applyFont="1" applyFill="1" applyBorder="1"/>
    <xf numFmtId="0" fontId="5" fillId="39" borderId="15" xfId="0" applyFont="1" applyFill="1" applyBorder="1"/>
    <xf numFmtId="0" fontId="5" fillId="39" borderId="0" xfId="0" applyFont="1" applyFill="1"/>
    <xf numFmtId="0" fontId="5" fillId="39" borderId="49" xfId="0" applyFont="1" applyFill="1" applyBorder="1"/>
    <xf numFmtId="0" fontId="5" fillId="39" borderId="16" xfId="0" applyFont="1" applyFill="1" applyBorder="1"/>
    <xf numFmtId="0" fontId="5" fillId="39" borderId="42" xfId="0" applyFont="1" applyFill="1" applyBorder="1"/>
    <xf numFmtId="0" fontId="5" fillId="39" borderId="11" xfId="0" applyFont="1" applyFill="1" applyBorder="1"/>
    <xf numFmtId="0" fontId="5" fillId="51" borderId="15" xfId="0" applyFont="1" applyFill="1" applyBorder="1"/>
    <xf numFmtId="0" fontId="5" fillId="51" borderId="0" xfId="0" applyFont="1" applyFill="1"/>
    <xf numFmtId="0" fontId="5" fillId="51" borderId="49" xfId="0" applyFont="1" applyFill="1" applyBorder="1"/>
    <xf numFmtId="0" fontId="5" fillId="26" borderId="15" xfId="0" applyFont="1" applyFill="1" applyBorder="1"/>
    <xf numFmtId="0" fontId="5" fillId="26" borderId="0" xfId="0" applyFont="1" applyFill="1"/>
    <xf numFmtId="0" fontId="5" fillId="26" borderId="49" xfId="0" applyFont="1" applyFill="1" applyBorder="1"/>
    <xf numFmtId="0" fontId="5" fillId="52" borderId="14" xfId="0" applyFont="1" applyFill="1" applyBorder="1"/>
    <xf numFmtId="0" fontId="5" fillId="52" borderId="24" xfId="0" applyFont="1" applyFill="1" applyBorder="1"/>
    <xf numFmtId="0" fontId="5" fillId="52" borderId="15" xfId="0" applyFont="1" applyFill="1" applyBorder="1"/>
    <xf numFmtId="0" fontId="5" fillId="52" borderId="49" xfId="0" applyFont="1" applyFill="1" applyBorder="1"/>
    <xf numFmtId="0" fontId="5" fillId="26" borderId="16" xfId="0" applyFont="1" applyFill="1" applyBorder="1"/>
    <xf numFmtId="0" fontId="5" fillId="26" borderId="42" xfId="0" applyFont="1" applyFill="1" applyBorder="1"/>
    <xf numFmtId="0" fontId="5" fillId="26" borderId="11" xfId="0" applyFont="1" applyFill="1" applyBorder="1"/>
    <xf numFmtId="0" fontId="5" fillId="51" borderId="16" xfId="0" applyFont="1" applyFill="1" applyBorder="1"/>
    <xf numFmtId="0" fontId="5" fillId="51" borderId="42" xfId="0" applyFont="1" applyFill="1" applyBorder="1"/>
    <xf numFmtId="0" fontId="5" fillId="51" borderId="11" xfId="0" applyFont="1" applyFill="1" applyBorder="1" applyAlignment="1">
      <alignment horizontal="center"/>
    </xf>
    <xf numFmtId="0" fontId="5" fillId="51" borderId="33" xfId="0" applyFont="1" applyFill="1" applyBorder="1"/>
    <xf numFmtId="0" fontId="5" fillId="27" borderId="14" xfId="0" applyFont="1" applyFill="1" applyBorder="1"/>
    <xf numFmtId="0" fontId="5" fillId="27" borderId="33" xfId="0" applyFont="1" applyFill="1" applyBorder="1"/>
    <xf numFmtId="0" fontId="5" fillId="27" borderId="24" xfId="0" applyFont="1" applyFill="1" applyBorder="1"/>
    <xf numFmtId="0" fontId="5" fillId="27" borderId="15" xfId="0" applyFont="1" applyFill="1" applyBorder="1"/>
    <xf numFmtId="0" fontId="5" fillId="27" borderId="0" xfId="0" applyFont="1" applyFill="1"/>
    <xf numFmtId="0" fontId="5" fillId="27" borderId="49" xfId="0" applyFont="1" applyFill="1" applyBorder="1"/>
    <xf numFmtId="0" fontId="5" fillId="27" borderId="16" xfId="0" applyFont="1" applyFill="1" applyBorder="1"/>
    <xf numFmtId="0" fontId="5" fillId="27" borderId="42" xfId="0" applyFont="1" applyFill="1" applyBorder="1"/>
    <xf numFmtId="0" fontId="5" fillId="27" borderId="11" xfId="0" applyFont="1" applyFill="1" applyBorder="1"/>
    <xf numFmtId="0" fontId="5" fillId="52" borderId="16" xfId="0" applyFont="1" applyFill="1" applyBorder="1"/>
    <xf numFmtId="0" fontId="5" fillId="52" borderId="11" xfId="0" applyFont="1" applyFill="1" applyBorder="1"/>
    <xf numFmtId="0" fontId="74" fillId="44" borderId="1" xfId="0" applyFont="1" applyFill="1" applyBorder="1" applyAlignment="1">
      <alignment horizontal="center" vertical="center"/>
    </xf>
    <xf numFmtId="0" fontId="37" fillId="44" borderId="1" xfId="0" applyFont="1" applyFill="1" applyBorder="1" applyAlignment="1">
      <alignment horizontal="center" vertical="center"/>
    </xf>
    <xf numFmtId="0" fontId="37" fillId="18" borderId="1" xfId="0" applyFont="1" applyFill="1" applyBorder="1" applyAlignment="1">
      <alignment horizontal="center" vertical="center"/>
    </xf>
    <xf numFmtId="0" fontId="76" fillId="0" borderId="1" xfId="0" applyFont="1" applyBorder="1" applyAlignment="1">
      <alignment horizontal="center" vertical="center"/>
    </xf>
    <xf numFmtId="0" fontId="5" fillId="11" borderId="1" xfId="0" applyFont="1" applyFill="1" applyBorder="1" applyAlignment="1">
      <alignment horizontal="center" vertical="center"/>
    </xf>
    <xf numFmtId="0" fontId="5" fillId="21" borderId="1" xfId="0" applyFont="1" applyFill="1" applyBorder="1" applyAlignment="1">
      <alignment horizontal="center" vertical="center"/>
    </xf>
    <xf numFmtId="0" fontId="77" fillId="0" borderId="0" xfId="13" applyFont="1"/>
    <xf numFmtId="3" fontId="5" fillId="0" borderId="0" xfId="0" applyNumberFormat="1" applyFont="1" applyAlignment="1">
      <alignment horizontal="center" vertical="center" wrapText="1"/>
    </xf>
    <xf numFmtId="0" fontId="7" fillId="0" borderId="0" xfId="0" applyFont="1" applyAlignment="1">
      <alignment vertical="center"/>
    </xf>
    <xf numFmtId="0" fontId="55" fillId="58" borderId="1" xfId="0" applyFont="1" applyFill="1" applyBorder="1"/>
    <xf numFmtId="0" fontId="55" fillId="58" borderId="124" xfId="0" applyFont="1" applyFill="1" applyBorder="1"/>
    <xf numFmtId="0" fontId="55" fillId="58" borderId="125" xfId="0" applyFont="1" applyFill="1" applyBorder="1"/>
    <xf numFmtId="0" fontId="55" fillId="58" borderId="2" xfId="0" applyFont="1" applyFill="1" applyBorder="1"/>
    <xf numFmtId="0" fontId="55" fillId="58" borderId="126" xfId="0" applyFont="1" applyFill="1" applyBorder="1"/>
    <xf numFmtId="0" fontId="55" fillId="0" borderId="1" xfId="0" applyFont="1" applyBorder="1"/>
    <xf numFmtId="0" fontId="55" fillId="0" borderId="124" xfId="0" applyFont="1" applyBorder="1"/>
    <xf numFmtId="0" fontId="55" fillId="0" borderId="2" xfId="0" applyFont="1" applyBorder="1"/>
    <xf numFmtId="0" fontId="55" fillId="0" borderId="125" xfId="0" applyFont="1" applyBorder="1"/>
    <xf numFmtId="0" fontId="55" fillId="0" borderId="126" xfId="0" applyFont="1" applyBorder="1"/>
    <xf numFmtId="0" fontId="55" fillId="58" borderId="18" xfId="0" applyFont="1" applyFill="1" applyBorder="1"/>
    <xf numFmtId="0" fontId="55" fillId="0" borderId="18" xfId="0" applyFont="1" applyBorder="1"/>
    <xf numFmtId="0" fontId="79" fillId="54" borderId="44" xfId="0" applyFont="1" applyFill="1" applyBorder="1"/>
    <xf numFmtId="0" fontId="79" fillId="54" borderId="25" xfId="0" applyFont="1" applyFill="1" applyBorder="1"/>
    <xf numFmtId="0" fontId="79" fillId="55" borderId="25" xfId="0" applyFont="1" applyFill="1" applyBorder="1"/>
    <xf numFmtId="0" fontId="79" fillId="56" borderId="25" xfId="0" applyFont="1" applyFill="1" applyBorder="1"/>
    <xf numFmtId="0" fontId="79" fillId="56" borderId="51" xfId="0" applyFont="1" applyFill="1" applyBorder="1"/>
    <xf numFmtId="0" fontId="79" fillId="54" borderId="51" xfId="0" applyFont="1" applyFill="1" applyBorder="1"/>
    <xf numFmtId="0" fontId="79" fillId="57" borderId="51" xfId="0" applyFont="1" applyFill="1" applyBorder="1"/>
    <xf numFmtId="0" fontId="79" fillId="57" borderId="25" xfId="0" applyFont="1" applyFill="1" applyBorder="1"/>
    <xf numFmtId="0" fontId="55" fillId="58" borderId="99" xfId="0" applyFont="1" applyFill="1" applyBorder="1"/>
    <xf numFmtId="0" fontId="55" fillId="58" borderId="75" xfId="0" applyFont="1" applyFill="1" applyBorder="1"/>
    <xf numFmtId="0" fontId="55" fillId="58" borderId="127" xfId="0" applyFont="1" applyFill="1" applyBorder="1"/>
    <xf numFmtId="0" fontId="55" fillId="58" borderId="101" xfId="0" applyFont="1" applyFill="1" applyBorder="1"/>
    <xf numFmtId="0" fontId="55" fillId="58" borderId="128" xfId="0" applyFont="1" applyFill="1" applyBorder="1"/>
    <xf numFmtId="0" fontId="55" fillId="58" borderId="129" xfId="0" applyFont="1" applyFill="1" applyBorder="1"/>
    <xf numFmtId="4" fontId="7" fillId="0" borderId="5" xfId="0" applyNumberFormat="1" applyFont="1" applyBorder="1" applyAlignment="1">
      <alignment horizontal="center" wrapText="1"/>
    </xf>
    <xf numFmtId="4" fontId="7" fillId="0" borderId="1" xfId="0" applyNumberFormat="1" applyFont="1" applyBorder="1" applyAlignment="1">
      <alignment horizontal="center" wrapText="1"/>
    </xf>
    <xf numFmtId="4" fontId="7" fillId="0" borderId="27" xfId="0" applyNumberFormat="1" applyFont="1" applyBorder="1" applyAlignment="1">
      <alignment horizontal="center" wrapText="1"/>
    </xf>
    <xf numFmtId="3" fontId="7" fillId="0" borderId="5" xfId="0" applyNumberFormat="1" applyFont="1" applyBorder="1" applyAlignment="1">
      <alignment horizontal="center" wrapText="1"/>
    </xf>
    <xf numFmtId="3" fontId="7" fillId="0" borderId="1" xfId="0" applyNumberFormat="1" applyFont="1" applyBorder="1" applyAlignment="1">
      <alignment horizontal="center" wrapText="1"/>
    </xf>
    <xf numFmtId="3" fontId="7" fillId="0" borderId="27" xfId="0" applyNumberFormat="1" applyFont="1" applyBorder="1" applyAlignment="1">
      <alignment horizontal="center" wrapText="1"/>
    </xf>
    <xf numFmtId="49" fontId="7" fillId="0" borderId="34" xfId="1" applyNumberFormat="1" applyFont="1" applyBorder="1" applyAlignment="1">
      <alignment horizontal="center" wrapText="1"/>
    </xf>
    <xf numFmtId="167" fontId="7" fillId="0" borderId="5" xfId="0" applyNumberFormat="1" applyFont="1" applyBorder="1" applyAlignment="1">
      <alignment horizontal="center" wrapText="1"/>
    </xf>
    <xf numFmtId="167" fontId="7" fillId="0" borderId="1" xfId="0" applyNumberFormat="1" applyFont="1" applyBorder="1" applyAlignment="1">
      <alignment horizontal="center" wrapText="1"/>
    </xf>
    <xf numFmtId="167" fontId="7" fillId="0" borderId="27" xfId="0" applyNumberFormat="1" applyFont="1" applyBorder="1" applyAlignment="1">
      <alignment horizontal="center" wrapText="1"/>
    </xf>
    <xf numFmtId="0" fontId="7" fillId="0" borderId="5" xfId="1" applyNumberFormat="1" applyFont="1" applyBorder="1" applyAlignment="1">
      <alignment horizontal="center" wrapText="1"/>
    </xf>
    <xf numFmtId="0" fontId="7" fillId="0" borderId="1" xfId="1" applyNumberFormat="1" applyFont="1" applyBorder="1" applyAlignment="1">
      <alignment horizontal="center" wrapText="1"/>
    </xf>
    <xf numFmtId="0" fontId="7" fillId="0" borderId="27" xfId="1" applyNumberFormat="1" applyFont="1" applyBorder="1" applyAlignment="1">
      <alignment horizontal="center" wrapText="1"/>
    </xf>
    <xf numFmtId="4" fontId="7" fillId="0" borderId="25" xfId="1" applyNumberFormat="1" applyFont="1" applyBorder="1" applyAlignment="1">
      <alignment horizontal="center" wrapText="1"/>
    </xf>
    <xf numFmtId="4" fontId="7" fillId="0" borderId="51" xfId="1" applyNumberFormat="1" applyFont="1" applyBorder="1" applyAlignment="1">
      <alignment horizontal="center" wrapText="1"/>
    </xf>
    <xf numFmtId="3" fontId="7" fillId="0" borderId="37" xfId="0" applyNumberFormat="1" applyFont="1" applyBorder="1" applyAlignment="1">
      <alignment horizontal="center"/>
    </xf>
    <xf numFmtId="3" fontId="10" fillId="7" borderId="69" xfId="0" applyNumberFormat="1" applyFont="1" applyFill="1" applyBorder="1" applyAlignment="1">
      <alignment horizontal="center" vertical="center"/>
    </xf>
    <xf numFmtId="3" fontId="7" fillId="0" borderId="8" xfId="0" applyNumberFormat="1" applyFont="1" applyBorder="1" applyAlignment="1">
      <alignment horizontal="center" wrapText="1"/>
    </xf>
    <xf numFmtId="3" fontId="7" fillId="0" borderId="28" xfId="0" applyNumberFormat="1" applyFont="1" applyBorder="1" applyAlignment="1">
      <alignment horizontal="center" wrapText="1"/>
    </xf>
    <xf numFmtId="3" fontId="7" fillId="0" borderId="6" xfId="0" applyNumberFormat="1" applyFont="1" applyBorder="1" applyAlignment="1">
      <alignment horizontal="center" wrapText="1"/>
    </xf>
    <xf numFmtId="3" fontId="7" fillId="10" borderId="53" xfId="0" applyNumberFormat="1" applyFont="1" applyFill="1" applyBorder="1" applyAlignment="1">
      <alignment horizontal="center" vertical="center" wrapText="1"/>
    </xf>
    <xf numFmtId="3" fontId="10" fillId="7" borderId="5" xfId="0" applyNumberFormat="1" applyFont="1" applyFill="1" applyBorder="1" applyAlignment="1">
      <alignment horizontal="center" vertical="center" wrapText="1"/>
    </xf>
    <xf numFmtId="3" fontId="7" fillId="0" borderId="68" xfId="0" applyNumberFormat="1" applyFont="1" applyBorder="1" applyAlignment="1">
      <alignment horizontal="center"/>
    </xf>
    <xf numFmtId="0" fontId="14" fillId="5" borderId="72" xfId="0" applyFont="1" applyFill="1" applyBorder="1" applyAlignment="1">
      <alignment horizontal="center" vertical="center"/>
    </xf>
    <xf numFmtId="0" fontId="14" fillId="5" borderId="59" xfId="0" applyFont="1" applyFill="1" applyBorder="1" applyAlignment="1">
      <alignment horizontal="center" vertical="center"/>
    </xf>
    <xf numFmtId="0" fontId="14" fillId="5" borderId="73" xfId="0" applyFont="1" applyFill="1" applyBorder="1" applyAlignment="1">
      <alignment horizontal="center" vertical="center"/>
    </xf>
    <xf numFmtId="3" fontId="10" fillId="7" borderId="53" xfId="0" applyNumberFormat="1" applyFont="1" applyFill="1" applyBorder="1" applyAlignment="1">
      <alignment horizontal="center" vertical="center" wrapText="1"/>
    </xf>
    <xf numFmtId="3" fontId="10" fillId="7" borderId="17" xfId="0" applyNumberFormat="1" applyFont="1" applyFill="1" applyBorder="1" applyAlignment="1">
      <alignment horizontal="center" vertical="center"/>
    </xf>
    <xf numFmtId="167" fontId="7" fillId="0" borderId="18" xfId="0" applyNumberFormat="1" applyFont="1" applyBorder="1" applyAlignment="1">
      <alignment horizontal="center"/>
    </xf>
    <xf numFmtId="167" fontId="7" fillId="0" borderId="35" xfId="0" applyNumberFormat="1" applyFont="1" applyBorder="1" applyAlignment="1">
      <alignment horizontal="center"/>
    </xf>
    <xf numFmtId="3" fontId="12" fillId="7" borderId="4" xfId="0" applyNumberFormat="1" applyFont="1" applyFill="1" applyBorder="1" applyAlignment="1">
      <alignment horizontal="center" vertical="center" wrapText="1"/>
    </xf>
    <xf numFmtId="3" fontId="7" fillId="0" borderId="0" xfId="0" applyNumberFormat="1" applyFont="1" applyAlignment="1">
      <alignment horizontal="center" vertical="center" wrapText="1"/>
    </xf>
    <xf numFmtId="3" fontId="10" fillId="7" borderId="4" xfId="0" applyNumberFormat="1" applyFont="1" applyFill="1" applyBorder="1" applyAlignment="1">
      <alignment horizontal="center" vertical="center" wrapText="1"/>
    </xf>
    <xf numFmtId="3" fontId="10" fillId="7" borderId="5" xfId="1" applyNumberFormat="1" applyFont="1" applyFill="1" applyBorder="1" applyAlignment="1">
      <alignment horizontal="center" vertical="center" wrapText="1"/>
    </xf>
    <xf numFmtId="3" fontId="10" fillId="7" borderId="37" xfId="1" applyNumberFormat="1" applyFont="1" applyFill="1" applyBorder="1" applyAlignment="1">
      <alignment horizontal="center" vertical="center" wrapText="1"/>
    </xf>
    <xf numFmtId="3" fontId="10" fillId="7" borderId="6" xfId="0" applyNumberFormat="1" applyFont="1" applyFill="1" applyBorder="1" applyAlignment="1">
      <alignment horizontal="center" vertical="center" wrapText="1"/>
    </xf>
    <xf numFmtId="0" fontId="0" fillId="0" borderId="0" xfId="0" applyAlignment="1">
      <alignment wrapText="1"/>
    </xf>
    <xf numFmtId="167" fontId="7" fillId="0" borderId="2" xfId="0" applyNumberFormat="1" applyFont="1" applyBorder="1" applyAlignment="1">
      <alignment horizontal="center"/>
    </xf>
    <xf numFmtId="0" fontId="7" fillId="0" borderId="40" xfId="0" applyFont="1" applyBorder="1" applyAlignment="1">
      <alignment horizontal="center" vertical="center"/>
    </xf>
    <xf numFmtId="0" fontId="81" fillId="0" borderId="18" xfId="10" applyFont="1" applyBorder="1"/>
    <xf numFmtId="0" fontId="81" fillId="0" borderId="1" xfId="10" applyFont="1" applyBorder="1"/>
    <xf numFmtId="170" fontId="81" fillId="0" borderId="1" xfId="10" applyNumberFormat="1" applyFont="1" applyBorder="1"/>
    <xf numFmtId="1" fontId="7" fillId="23" borderId="1" xfId="0" applyNumberFormat="1" applyFont="1" applyFill="1" applyBorder="1" applyAlignment="1">
      <alignment horizontal="center" vertical="center"/>
    </xf>
    <xf numFmtId="0" fontId="81" fillId="21" borderId="18" xfId="10" applyFont="1" applyFill="1" applyBorder="1"/>
    <xf numFmtId="0" fontId="81" fillId="21" borderId="1" xfId="10" applyFont="1" applyFill="1" applyBorder="1"/>
    <xf numFmtId="170" fontId="81" fillId="21" borderId="1" xfId="10" applyNumberFormat="1" applyFont="1" applyFill="1" applyBorder="1"/>
    <xf numFmtId="0" fontId="81" fillId="22" borderId="1" xfId="10" applyFont="1" applyFill="1" applyBorder="1"/>
    <xf numFmtId="1" fontId="7" fillId="22" borderId="1" xfId="0" applyNumberFormat="1" applyFont="1" applyFill="1" applyBorder="1" applyAlignment="1">
      <alignment horizontal="center" vertical="center"/>
    </xf>
    <xf numFmtId="0" fontId="81" fillId="18" borderId="18" xfId="10" applyFont="1" applyFill="1" applyBorder="1"/>
    <xf numFmtId="0" fontId="81" fillId="18" borderId="1" xfId="10" applyFont="1" applyFill="1" applyBorder="1"/>
    <xf numFmtId="170" fontId="81" fillId="18" borderId="1" xfId="10" applyNumberFormat="1" applyFont="1" applyFill="1" applyBorder="1"/>
    <xf numFmtId="0" fontId="83" fillId="42" borderId="67" xfId="0" applyFont="1" applyFill="1" applyBorder="1" applyAlignment="1">
      <alignment vertical="center"/>
    </xf>
    <xf numFmtId="0" fontId="86" fillId="42" borderId="38" xfId="0" applyFont="1" applyFill="1" applyBorder="1" applyAlignment="1">
      <alignment vertical="center"/>
    </xf>
    <xf numFmtId="0" fontId="86" fillId="42" borderId="39" xfId="0" applyFont="1" applyFill="1" applyBorder="1" applyAlignment="1">
      <alignment vertical="center"/>
    </xf>
    <xf numFmtId="0" fontId="87" fillId="0" borderId="1" xfId="0" applyFont="1" applyBorder="1" applyAlignment="1">
      <alignment horizontal="center" vertical="center"/>
    </xf>
    <xf numFmtId="1" fontId="7" fillId="0" borderId="1" xfId="0" applyNumberFormat="1" applyFont="1" applyBorder="1" applyAlignment="1">
      <alignment horizontal="center" vertical="center"/>
    </xf>
    <xf numFmtId="0" fontId="88" fillId="42" borderId="79" xfId="0" applyFont="1" applyFill="1" applyBorder="1" applyAlignment="1">
      <alignment horizontal="center" vertical="center" wrapText="1"/>
    </xf>
    <xf numFmtId="0" fontId="88" fillId="42" borderId="40" xfId="0" applyFont="1" applyFill="1" applyBorder="1" applyAlignment="1">
      <alignment horizontal="center" vertical="center" wrapText="1"/>
    </xf>
    <xf numFmtId="0" fontId="88" fillId="42" borderId="41" xfId="0" applyFont="1" applyFill="1" applyBorder="1" applyAlignment="1">
      <alignment horizontal="center" vertical="center" wrapText="1"/>
    </xf>
    <xf numFmtId="0" fontId="87" fillId="0" borderId="79" xfId="0" applyFont="1" applyBorder="1" applyAlignment="1">
      <alignment horizontal="center" vertical="center"/>
    </xf>
    <xf numFmtId="0" fontId="7" fillId="0" borderId="40" xfId="0" applyFont="1" applyBorder="1"/>
    <xf numFmtId="0" fontId="89" fillId="0" borderId="40" xfId="0" applyFont="1" applyBorder="1" applyAlignment="1">
      <alignment horizontal="center" vertical="center"/>
    </xf>
    <xf numFmtId="0" fontId="7" fillId="23" borderId="40" xfId="0" applyFont="1" applyFill="1" applyBorder="1" applyAlignment="1">
      <alignment horizontal="center" vertical="center"/>
    </xf>
    <xf numFmtId="1" fontId="7" fillId="0" borderId="41" xfId="0" applyNumberFormat="1" applyFont="1" applyBorder="1" applyAlignment="1">
      <alignment horizontal="center" vertical="center"/>
    </xf>
    <xf numFmtId="0" fontId="17" fillId="0" borderId="1" xfId="0" applyFont="1" applyBorder="1" applyAlignment="1">
      <alignment horizontal="center" vertical="center"/>
    </xf>
    <xf numFmtId="0" fontId="7" fillId="23" borderId="41" xfId="0" applyFont="1" applyFill="1" applyBorder="1" applyAlignment="1">
      <alignment horizontal="center" vertical="center"/>
    </xf>
    <xf numFmtId="0" fontId="87" fillId="0" borderId="105" xfId="0" applyFont="1" applyBorder="1" applyAlignment="1">
      <alignment horizontal="center" vertical="center"/>
    </xf>
    <xf numFmtId="0" fontId="7" fillId="0" borderId="62" xfId="0" applyFont="1" applyBorder="1"/>
    <xf numFmtId="0" fontId="89" fillId="0" borderId="62" xfId="0" applyFont="1" applyBorder="1" applyAlignment="1">
      <alignment horizontal="center" vertical="center"/>
    </xf>
    <xf numFmtId="0" fontId="7" fillId="0" borderId="62" xfId="0" applyFont="1" applyBorder="1" applyAlignment="1">
      <alignment horizontal="center" vertical="center"/>
    </xf>
    <xf numFmtId="0" fontId="17" fillId="0" borderId="0" xfId="0" applyFont="1"/>
    <xf numFmtId="0" fontId="45" fillId="18" borderId="1" xfId="0" applyFont="1" applyFill="1" applyBorder="1" applyAlignment="1">
      <alignment horizontal="center" vertical="center"/>
    </xf>
    <xf numFmtId="0" fontId="7" fillId="21" borderId="1" xfId="0" applyFont="1" applyFill="1" applyBorder="1" applyAlignment="1">
      <alignment horizontal="center" vertical="center"/>
    </xf>
    <xf numFmtId="0" fontId="7" fillId="11" borderId="1" xfId="0" applyFont="1" applyFill="1" applyBorder="1" applyAlignment="1">
      <alignment horizontal="center" vertical="center"/>
    </xf>
    <xf numFmtId="0" fontId="17" fillId="0" borderId="1" xfId="0" applyFont="1" applyBorder="1"/>
    <xf numFmtId="0" fontId="12" fillId="44" borderId="1" xfId="0" applyFont="1" applyFill="1" applyBorder="1" applyAlignment="1">
      <alignment horizontal="center" vertical="center"/>
    </xf>
    <xf numFmtId="0" fontId="45" fillId="44" borderId="1" xfId="0" applyFont="1" applyFill="1" applyBorder="1" applyAlignment="1">
      <alignment horizontal="center" vertical="center"/>
    </xf>
    <xf numFmtId="0" fontId="17" fillId="45" borderId="0" xfId="0" applyFont="1" applyFill="1" applyAlignment="1">
      <alignment horizontal="left" vertical="top"/>
    </xf>
    <xf numFmtId="0" fontId="17" fillId="45" borderId="112" xfId="0" applyFont="1" applyFill="1" applyBorder="1" applyAlignment="1">
      <alignment horizontal="left" vertical="top" wrapText="1"/>
    </xf>
    <xf numFmtId="174" fontId="91" fillId="46" borderId="109" xfId="0" applyNumberFormat="1" applyFont="1" applyFill="1" applyBorder="1" applyAlignment="1">
      <alignment horizontal="center" vertical="top" wrapText="1"/>
    </xf>
    <xf numFmtId="0" fontId="17" fillId="45" borderId="109" xfId="0" applyFont="1" applyFill="1" applyBorder="1" applyAlignment="1">
      <alignment horizontal="left" vertical="top" wrapText="1"/>
    </xf>
    <xf numFmtId="0" fontId="17" fillId="46" borderId="109" xfId="0" applyFont="1" applyFill="1" applyBorder="1" applyAlignment="1">
      <alignment horizontal="center" vertical="top" wrapText="1"/>
    </xf>
    <xf numFmtId="174" fontId="91" fillId="47" borderId="109" xfId="0" applyNumberFormat="1" applyFont="1" applyFill="1" applyBorder="1" applyAlignment="1">
      <alignment horizontal="center" vertical="top" wrapText="1"/>
    </xf>
    <xf numFmtId="173" fontId="91" fillId="47" borderId="109" xfId="0" applyNumberFormat="1" applyFont="1" applyFill="1" applyBorder="1" applyAlignment="1">
      <alignment horizontal="center" vertical="top" wrapText="1"/>
    </xf>
    <xf numFmtId="174" fontId="91" fillId="47" borderId="110" xfId="0" applyNumberFormat="1" applyFont="1" applyFill="1" applyBorder="1" applyAlignment="1">
      <alignment horizontal="center" vertical="top" wrapText="1"/>
    </xf>
    <xf numFmtId="173" fontId="91" fillId="47" borderId="110" xfId="0" applyNumberFormat="1" applyFont="1" applyFill="1" applyBorder="1" applyAlignment="1">
      <alignment horizontal="center" vertical="top" wrapText="1"/>
    </xf>
    <xf numFmtId="0" fontId="10" fillId="18" borderId="1" xfId="0" applyFont="1" applyFill="1" applyBorder="1"/>
    <xf numFmtId="2" fontId="10" fillId="18" borderId="1" xfId="0" applyNumberFormat="1" applyFont="1" applyFill="1" applyBorder="1"/>
    <xf numFmtId="0" fontId="10" fillId="0" borderId="1" xfId="0" applyFont="1" applyBorder="1"/>
    <xf numFmtId="0" fontId="92" fillId="24" borderId="1" xfId="0" applyFont="1" applyFill="1" applyBorder="1" applyAlignment="1">
      <alignment horizontal="center" vertical="center"/>
    </xf>
    <xf numFmtId="0" fontId="80" fillId="60" borderId="1" xfId="0" applyFont="1" applyFill="1" applyBorder="1" applyAlignment="1">
      <alignment horizontal="left" vertical="center"/>
    </xf>
    <xf numFmtId="0" fontId="82" fillId="60" borderId="25" xfId="10" applyFont="1" applyFill="1" applyBorder="1" applyAlignment="1">
      <alignment horizontal="center" vertical="top" wrapText="1"/>
    </xf>
    <xf numFmtId="0" fontId="80" fillId="61" borderId="1" xfId="0" applyFont="1" applyFill="1" applyBorder="1" applyAlignment="1">
      <alignment horizontal="left" vertical="center"/>
    </xf>
    <xf numFmtId="0" fontId="82" fillId="61" borderId="25" xfId="10" applyFont="1" applyFill="1" applyBorder="1" applyAlignment="1">
      <alignment horizontal="center" vertical="top" wrapText="1"/>
    </xf>
    <xf numFmtId="0" fontId="82" fillId="59" borderId="25" xfId="10" applyFont="1" applyFill="1" applyBorder="1" applyAlignment="1">
      <alignment horizontal="center" vertical="top" wrapText="1"/>
    </xf>
    <xf numFmtId="0" fontId="7" fillId="59" borderId="1" xfId="0" applyFont="1" applyFill="1" applyBorder="1"/>
    <xf numFmtId="0" fontId="80" fillId="61" borderId="18" xfId="0" applyFont="1" applyFill="1" applyBorder="1" applyAlignment="1">
      <alignment horizontal="left" vertical="center"/>
    </xf>
    <xf numFmtId="0" fontId="82" fillId="61" borderId="12" xfId="10" applyFont="1" applyFill="1" applyBorder="1" applyAlignment="1">
      <alignment horizontal="center" vertical="top" wrapText="1"/>
    </xf>
    <xf numFmtId="0" fontId="82" fillId="61" borderId="13" xfId="10" applyFont="1" applyFill="1" applyBorder="1" applyAlignment="1">
      <alignment horizontal="center" vertical="top" wrapText="1"/>
    </xf>
    <xf numFmtId="0" fontId="82" fillId="61" borderId="10" xfId="10" applyFont="1" applyFill="1" applyBorder="1" applyAlignment="1">
      <alignment horizontal="center" vertical="top" wrapText="1"/>
    </xf>
    <xf numFmtId="0" fontId="14" fillId="59" borderId="12" xfId="10" applyFont="1" applyFill="1" applyBorder="1" applyAlignment="1">
      <alignment horizontal="center" vertical="top" wrapText="1"/>
    </xf>
    <xf numFmtId="0" fontId="14" fillId="59" borderId="13" xfId="10" applyFont="1" applyFill="1" applyBorder="1" applyAlignment="1">
      <alignment horizontal="center" vertical="top" wrapText="1"/>
    </xf>
    <xf numFmtId="0" fontId="14" fillId="59" borderId="10" xfId="10" applyFont="1" applyFill="1" applyBorder="1" applyAlignment="1">
      <alignment horizontal="center" vertical="top" wrapText="1"/>
    </xf>
    <xf numFmtId="0" fontId="14" fillId="60" borderId="1" xfId="10" applyFont="1" applyFill="1" applyBorder="1" applyAlignment="1">
      <alignment horizontal="center" vertical="top" wrapText="1"/>
    </xf>
    <xf numFmtId="0" fontId="80" fillId="60" borderId="2" xfId="0" applyFont="1" applyFill="1" applyBorder="1" applyAlignment="1">
      <alignment horizontal="left" vertical="center"/>
    </xf>
    <xf numFmtId="0" fontId="80" fillId="59" borderId="18" xfId="0" applyFont="1" applyFill="1" applyBorder="1" applyAlignment="1">
      <alignment horizontal="left" vertical="center"/>
    </xf>
    <xf numFmtId="0" fontId="82" fillId="28" borderId="25" xfId="10" applyFont="1" applyFill="1" applyBorder="1" applyAlignment="1">
      <alignment horizontal="center" vertical="top" wrapText="1"/>
    </xf>
    <xf numFmtId="0" fontId="14" fillId="28" borderId="1" xfId="10" applyFont="1" applyFill="1" applyBorder="1" applyAlignment="1">
      <alignment horizontal="center" vertical="top" wrapText="1"/>
    </xf>
    <xf numFmtId="0" fontId="80" fillId="28" borderId="18" xfId="0" applyFont="1" applyFill="1" applyBorder="1" applyAlignment="1">
      <alignment horizontal="left" vertical="center"/>
    </xf>
    <xf numFmtId="0" fontId="80" fillId="39" borderId="18" xfId="0" applyFont="1" applyFill="1" applyBorder="1" applyAlignment="1">
      <alignment horizontal="left" vertical="center"/>
    </xf>
    <xf numFmtId="0" fontId="82" fillId="39" borderId="25" xfId="10" applyFont="1" applyFill="1" applyBorder="1" applyAlignment="1">
      <alignment horizontal="center" vertical="top" wrapText="1"/>
    </xf>
    <xf numFmtId="0" fontId="14" fillId="39" borderId="12" xfId="10" applyFont="1" applyFill="1" applyBorder="1" applyAlignment="1">
      <alignment horizontal="center" vertical="top" wrapText="1"/>
    </xf>
    <xf numFmtId="0" fontId="14" fillId="39" borderId="13" xfId="10" applyFont="1" applyFill="1" applyBorder="1" applyAlignment="1">
      <alignment horizontal="center" vertical="top" wrapText="1"/>
    </xf>
    <xf numFmtId="0" fontId="14" fillId="39" borderId="10" xfId="10" applyFont="1" applyFill="1" applyBorder="1" applyAlignment="1">
      <alignment horizontal="center" vertical="top" wrapText="1"/>
    </xf>
    <xf numFmtId="0" fontId="82" fillId="27" borderId="44" xfId="10" applyFont="1" applyFill="1" applyBorder="1" applyAlignment="1">
      <alignment horizontal="center" vertical="top" wrapText="1"/>
    </xf>
    <xf numFmtId="0" fontId="82" fillId="27" borderId="25" xfId="10" applyFont="1" applyFill="1" applyBorder="1" applyAlignment="1">
      <alignment horizontal="center" vertical="top" wrapText="1"/>
    </xf>
    <xf numFmtId="0" fontId="93" fillId="59" borderId="18" xfId="10" applyFont="1" applyFill="1" applyBorder="1"/>
    <xf numFmtId="0" fontId="93" fillId="59" borderId="1" xfId="10" applyFont="1" applyFill="1" applyBorder="1"/>
    <xf numFmtId="170" fontId="93" fillId="59" borderId="1" xfId="10" applyNumberFormat="1" applyFont="1" applyFill="1" applyBorder="1"/>
    <xf numFmtId="0" fontId="81" fillId="59" borderId="18" xfId="10" applyFont="1" applyFill="1" applyBorder="1"/>
    <xf numFmtId="0" fontId="81" fillId="59" borderId="1" xfId="10" applyFont="1" applyFill="1" applyBorder="1"/>
    <xf numFmtId="170" fontId="81" fillId="59" borderId="1" xfId="10" applyNumberFormat="1" applyFont="1" applyFill="1" applyBorder="1"/>
    <xf numFmtId="0" fontId="14" fillId="62" borderId="75" xfId="10" applyFont="1" applyFill="1" applyBorder="1" applyAlignment="1">
      <alignment horizontal="center" vertical="top" wrapText="1"/>
    </xf>
    <xf numFmtId="0" fontId="14" fillId="39" borderId="100" xfId="10" applyFont="1" applyFill="1" applyBorder="1" applyAlignment="1">
      <alignment horizontal="center" vertical="top" wrapText="1"/>
    </xf>
    <xf numFmtId="0" fontId="14" fillId="59" borderId="50" xfId="10" applyFont="1" applyFill="1" applyBorder="1" applyAlignment="1">
      <alignment horizontal="center" vertical="top" wrapText="1"/>
    </xf>
    <xf numFmtId="0" fontId="14" fillId="61" borderId="75" xfId="10" applyFont="1" applyFill="1" applyBorder="1" applyAlignment="1">
      <alignment horizontal="center" vertical="top" wrapText="1"/>
    </xf>
    <xf numFmtId="0" fontId="14" fillId="60" borderId="75" xfId="10" applyFont="1" applyFill="1" applyBorder="1" applyAlignment="1">
      <alignment horizontal="center" vertical="top" wrapText="1"/>
    </xf>
    <xf numFmtId="0" fontId="14" fillId="28" borderId="75" xfId="10" applyFont="1" applyFill="1" applyBorder="1" applyAlignment="1">
      <alignment horizontal="center" vertical="top" wrapText="1"/>
    </xf>
    <xf numFmtId="0" fontId="82" fillId="28" borderId="51" xfId="10" applyFont="1" applyFill="1" applyBorder="1" applyAlignment="1">
      <alignment horizontal="center" vertical="top" wrapText="1"/>
    </xf>
    <xf numFmtId="171" fontId="81" fillId="0" borderId="1" xfId="10" applyNumberFormat="1" applyFont="1" applyBorder="1"/>
    <xf numFmtId="0" fontId="81" fillId="40" borderId="1" xfId="10" applyFont="1" applyFill="1" applyBorder="1"/>
    <xf numFmtId="171" fontId="81" fillId="0" borderId="2" xfId="10" applyNumberFormat="1" applyFont="1" applyBorder="1"/>
    <xf numFmtId="171" fontId="81" fillId="59" borderId="1" xfId="10" applyNumberFormat="1" applyFont="1" applyFill="1" applyBorder="1"/>
    <xf numFmtId="1" fontId="7" fillId="59" borderId="1" xfId="0" applyNumberFormat="1" applyFont="1" applyFill="1" applyBorder="1" applyAlignment="1">
      <alignment horizontal="center" vertical="center"/>
    </xf>
    <xf numFmtId="171" fontId="81" fillId="59" borderId="2" xfId="10" applyNumberFormat="1" applyFont="1" applyFill="1" applyBorder="1"/>
    <xf numFmtId="171" fontId="81" fillId="22" borderId="1" xfId="10" applyNumberFormat="1" applyFont="1" applyFill="1" applyBorder="1"/>
    <xf numFmtId="171" fontId="93" fillId="59" borderId="1" xfId="10" applyNumberFormat="1" applyFont="1" applyFill="1" applyBorder="1"/>
    <xf numFmtId="0" fontId="94" fillId="59" borderId="1" xfId="0" applyFont="1" applyFill="1" applyBorder="1"/>
    <xf numFmtId="1" fontId="94" fillId="59" borderId="1" xfId="0" applyNumberFormat="1" applyFont="1" applyFill="1" applyBorder="1" applyAlignment="1">
      <alignment horizontal="center" vertical="center"/>
    </xf>
    <xf numFmtId="171" fontId="93" fillId="59" borderId="2" xfId="10" applyNumberFormat="1" applyFont="1" applyFill="1" applyBorder="1"/>
    <xf numFmtId="0" fontId="81" fillId="0" borderId="75" xfId="10" applyFont="1" applyBorder="1"/>
    <xf numFmtId="171" fontId="81" fillId="0" borderId="75" xfId="10" applyNumberFormat="1" applyFont="1" applyBorder="1"/>
    <xf numFmtId="170" fontId="81" fillId="0" borderId="75" xfId="10" applyNumberFormat="1" applyFont="1" applyBorder="1"/>
    <xf numFmtId="0" fontId="81" fillId="40" borderId="75" xfId="10" applyFont="1" applyFill="1" applyBorder="1"/>
    <xf numFmtId="171" fontId="81" fillId="40" borderId="75" xfId="10" applyNumberFormat="1" applyFont="1" applyFill="1" applyBorder="1"/>
    <xf numFmtId="171" fontId="81" fillId="0" borderId="101" xfId="10" applyNumberFormat="1" applyFont="1" applyBorder="1"/>
    <xf numFmtId="0" fontId="7" fillId="18" borderId="0" xfId="0" applyFont="1" applyFill="1"/>
    <xf numFmtId="0" fontId="78" fillId="65" borderId="11" xfId="0" applyFont="1" applyFill="1" applyBorder="1" applyAlignment="1">
      <alignment horizontal="center" vertical="center"/>
    </xf>
    <xf numFmtId="0" fontId="96" fillId="66" borderId="10" xfId="0" applyFont="1" applyFill="1" applyBorder="1" applyAlignment="1">
      <alignment horizontal="center" vertical="center"/>
    </xf>
    <xf numFmtId="0" fontId="78" fillId="67" borderId="11" xfId="0" applyFont="1" applyFill="1" applyBorder="1" applyAlignment="1">
      <alignment horizontal="center" vertical="center"/>
    </xf>
    <xf numFmtId="0" fontId="95" fillId="0" borderId="43" xfId="0" applyFont="1" applyBorder="1" applyAlignment="1">
      <alignment horizontal="center" vertical="center"/>
    </xf>
    <xf numFmtId="0" fontId="78" fillId="65" borderId="21" xfId="0" applyFont="1" applyFill="1" applyBorder="1" applyAlignment="1">
      <alignment horizontal="center" vertical="center"/>
    </xf>
    <xf numFmtId="0" fontId="10" fillId="17" borderId="1" xfId="0" applyFont="1" applyFill="1" applyBorder="1" applyAlignment="1">
      <alignment horizontal="center" vertical="center"/>
    </xf>
    <xf numFmtId="0" fontId="10" fillId="17" borderId="1" xfId="0" applyFont="1" applyFill="1" applyBorder="1" applyAlignment="1">
      <alignment horizontal="center" vertical="center" wrapText="1"/>
    </xf>
    <xf numFmtId="0" fontId="7" fillId="0" borderId="18" xfId="0" applyFont="1" applyBorder="1" applyAlignment="1">
      <alignment horizontal="center" vertical="center"/>
    </xf>
    <xf numFmtId="0" fontId="10" fillId="17" borderId="18" xfId="0" applyFont="1" applyFill="1" applyBorder="1" applyAlignment="1">
      <alignment horizontal="center" vertical="center"/>
    </xf>
    <xf numFmtId="49" fontId="23" fillId="0" borderId="0" xfId="0" applyNumberFormat="1" applyFont="1" applyAlignment="1">
      <alignment horizontal="left" vertical="center"/>
    </xf>
    <xf numFmtId="0" fontId="1" fillId="0" borderId="40" xfId="0" applyFont="1" applyBorder="1" applyAlignment="1">
      <alignment horizontal="center" vertical="center"/>
    </xf>
    <xf numFmtId="0" fontId="1" fillId="0" borderId="79" xfId="0" applyFont="1" applyBorder="1" applyAlignment="1">
      <alignment horizontal="left" vertical="center"/>
    </xf>
    <xf numFmtId="1" fontId="3" fillId="68" borderId="49" xfId="0" applyNumberFormat="1" applyFont="1" applyFill="1" applyBorder="1" applyAlignment="1">
      <alignment horizontal="center" vertical="center"/>
    </xf>
    <xf numFmtId="0" fontId="1" fillId="0" borderId="105" xfId="0" applyFont="1" applyBorder="1" applyAlignment="1">
      <alignment horizontal="left" vertical="center"/>
    </xf>
    <xf numFmtId="0" fontId="1" fillId="0" borderId="62" xfId="0" applyFont="1" applyBorder="1" applyAlignment="1">
      <alignment horizontal="center" vertical="center"/>
    </xf>
    <xf numFmtId="1" fontId="3" fillId="68" borderId="11" xfId="0" applyNumberFormat="1" applyFont="1" applyFill="1" applyBorder="1" applyAlignment="1">
      <alignment horizontal="center" vertical="center"/>
    </xf>
    <xf numFmtId="0" fontId="39" fillId="0" borderId="14" xfId="0" applyFont="1" applyBorder="1"/>
    <xf numFmtId="0" fontId="39" fillId="0" borderId="33" xfId="0" applyFont="1" applyBorder="1"/>
    <xf numFmtId="0" fontId="39" fillId="0" borderId="24" xfId="0" applyFont="1" applyBorder="1"/>
    <xf numFmtId="0" fontId="0" fillId="69" borderId="0" xfId="0" applyFill="1"/>
    <xf numFmtId="3" fontId="10" fillId="7" borderId="17" xfId="0" applyNumberFormat="1" applyFont="1" applyFill="1" applyBorder="1" applyAlignment="1">
      <alignment horizontal="center" vertical="center" wrapText="1"/>
    </xf>
    <xf numFmtId="3" fontId="10" fillId="7" borderId="22" xfId="0" applyNumberFormat="1" applyFont="1" applyFill="1" applyBorder="1" applyAlignment="1">
      <alignment horizontal="center" vertical="center" wrapText="1"/>
    </xf>
    <xf numFmtId="4" fontId="7" fillId="0" borderId="17" xfId="0" applyNumberFormat="1" applyFont="1" applyBorder="1" applyAlignment="1">
      <alignment horizontal="center"/>
    </xf>
    <xf numFmtId="4" fontId="7" fillId="0" borderId="18" xfId="0" applyNumberFormat="1" applyFont="1" applyBorder="1" applyAlignment="1">
      <alignment horizontal="center"/>
    </xf>
    <xf numFmtId="4" fontId="7" fillId="0" borderId="35" xfId="0" applyNumberFormat="1" applyFont="1" applyBorder="1" applyAlignment="1">
      <alignment horizontal="center"/>
    </xf>
    <xf numFmtId="4" fontId="0" fillId="0" borderId="0" xfId="0" applyNumberFormat="1"/>
    <xf numFmtId="0" fontId="7" fillId="0" borderId="25" xfId="0" applyFont="1" applyBorder="1" applyAlignment="1">
      <alignment horizontal="center" vertical="center" wrapText="1"/>
    </xf>
    <xf numFmtId="20" fontId="0" fillId="0" borderId="0" xfId="0" applyNumberFormat="1"/>
    <xf numFmtId="3" fontId="11" fillId="8" borderId="130" xfId="0" applyNumberFormat="1" applyFont="1" applyFill="1" applyBorder="1" applyAlignment="1">
      <alignment horizontal="center"/>
    </xf>
    <xf numFmtId="3" fontId="7" fillId="0" borderId="72" xfId="0" applyNumberFormat="1" applyFont="1" applyBorder="1" applyAlignment="1">
      <alignment horizontal="center"/>
    </xf>
    <xf numFmtId="0" fontId="7" fillId="0" borderId="59" xfId="0" applyFont="1" applyBorder="1" applyAlignment="1">
      <alignment horizontal="center" vertical="center" wrapText="1"/>
    </xf>
    <xf numFmtId="0" fontId="7" fillId="0" borderId="59" xfId="0" applyFont="1" applyBorder="1" applyAlignment="1">
      <alignment horizontal="center" vertical="center"/>
    </xf>
    <xf numFmtId="4" fontId="7" fillId="0" borderId="59" xfId="1" applyNumberFormat="1" applyFont="1" applyBorder="1" applyAlignment="1">
      <alignment horizontal="center" wrapText="1"/>
    </xf>
    <xf numFmtId="4" fontId="7" fillId="0" borderId="90" xfId="1" applyNumberFormat="1" applyFont="1" applyBorder="1" applyAlignment="1">
      <alignment horizontal="center" wrapText="1"/>
    </xf>
    <xf numFmtId="49" fontId="7" fillId="0" borderId="73" xfId="1" applyNumberFormat="1" applyFont="1" applyBorder="1" applyAlignment="1">
      <alignment horizontal="center" wrapText="1"/>
    </xf>
    <xf numFmtId="3" fontId="7" fillId="0" borderId="73" xfId="1" applyNumberFormat="1" applyFont="1" applyBorder="1" applyAlignment="1">
      <alignment horizontal="center"/>
    </xf>
    <xf numFmtId="0" fontId="14" fillId="39" borderId="43" xfId="10" applyFont="1" applyFill="1" applyBorder="1" applyAlignment="1">
      <alignment horizontal="center" vertical="top" wrapText="1"/>
    </xf>
    <xf numFmtId="0" fontId="80" fillId="59" borderId="18" xfId="0" applyFont="1" applyFill="1" applyBorder="1" applyAlignment="1">
      <alignment vertical="center"/>
    </xf>
    <xf numFmtId="0" fontId="80" fillId="59" borderId="1" xfId="0" applyFont="1" applyFill="1" applyBorder="1" applyAlignment="1">
      <alignment vertical="center"/>
    </xf>
    <xf numFmtId="0" fontId="89" fillId="0" borderId="1" xfId="13" applyFont="1" applyBorder="1"/>
    <xf numFmtId="175" fontId="89" fillId="0" borderId="1" xfId="13" applyNumberFormat="1" applyFont="1" applyBorder="1"/>
    <xf numFmtId="164" fontId="89" fillId="0" borderId="1" xfId="13" applyNumberFormat="1" applyFont="1" applyBorder="1"/>
    <xf numFmtId="175" fontId="89" fillId="0" borderId="2" xfId="13" applyNumberFormat="1" applyFont="1" applyBorder="1"/>
    <xf numFmtId="0" fontId="89" fillId="0" borderId="1" xfId="13" applyFont="1" applyBorder="1" applyAlignment="1">
      <alignment vertical="center"/>
    </xf>
    <xf numFmtId="0" fontId="89" fillId="0" borderId="75" xfId="13" applyFont="1" applyBorder="1"/>
    <xf numFmtId="175" fontId="89" fillId="0" borderId="75" xfId="13" applyNumberFormat="1" applyFont="1" applyBorder="1"/>
    <xf numFmtId="164" fontId="89" fillId="0" borderId="75" xfId="13" applyNumberFormat="1" applyFont="1" applyBorder="1"/>
    <xf numFmtId="175" fontId="89" fillId="0" borderId="101" xfId="13" applyNumberFormat="1" applyFont="1" applyBorder="1"/>
    <xf numFmtId="0" fontId="100" fillId="39" borderId="25" xfId="10" applyFont="1" applyFill="1" applyBorder="1" applyAlignment="1">
      <alignment horizontal="center" vertical="top" wrapText="1"/>
    </xf>
    <xf numFmtId="0" fontId="99" fillId="39" borderId="25" xfId="0" applyFont="1" applyFill="1" applyBorder="1"/>
    <xf numFmtId="0" fontId="100" fillId="59" borderId="25" xfId="10" applyFont="1" applyFill="1" applyBorder="1" applyAlignment="1">
      <alignment horizontal="center" vertical="top" wrapText="1"/>
    </xf>
    <xf numFmtId="0" fontId="99" fillId="0" borderId="18" xfId="0" applyFont="1" applyBorder="1"/>
    <xf numFmtId="0" fontId="99" fillId="0" borderId="1" xfId="0" applyFont="1" applyBorder="1"/>
    <xf numFmtId="172" fontId="99" fillId="0" borderId="1" xfId="1" applyNumberFormat="1" applyFont="1" applyBorder="1"/>
    <xf numFmtId="0" fontId="99" fillId="0" borderId="99" xfId="0" applyFont="1" applyBorder="1"/>
    <xf numFmtId="172" fontId="99" fillId="0" borderId="75" xfId="1" applyNumberFormat="1" applyFont="1" applyBorder="1"/>
    <xf numFmtId="0" fontId="89" fillId="0" borderId="25" xfId="13" applyFont="1" applyBorder="1"/>
    <xf numFmtId="0" fontId="14" fillId="59" borderId="43" xfId="10" applyFont="1" applyFill="1" applyBorder="1" applyAlignment="1">
      <alignment horizontal="center" vertical="top" wrapText="1"/>
    </xf>
    <xf numFmtId="0" fontId="82" fillId="60" borderId="51" xfId="10" applyFont="1" applyFill="1" applyBorder="1" applyAlignment="1">
      <alignment horizontal="center" vertical="top" wrapText="1"/>
    </xf>
    <xf numFmtId="0" fontId="82" fillId="59" borderId="44" xfId="10" applyFont="1" applyFill="1" applyBorder="1" applyAlignment="1">
      <alignment horizontal="center" vertical="top" wrapText="1"/>
    </xf>
    <xf numFmtId="0" fontId="82" fillId="59" borderId="43" xfId="10" applyFont="1" applyFill="1" applyBorder="1" applyAlignment="1">
      <alignment horizontal="center" vertical="top" wrapText="1"/>
    </xf>
    <xf numFmtId="0" fontId="80" fillId="61" borderId="40" xfId="0" applyFont="1" applyFill="1" applyBorder="1" applyAlignment="1">
      <alignment horizontal="left" vertical="center"/>
    </xf>
    <xf numFmtId="0" fontId="80" fillId="60" borderId="18" xfId="0" applyFont="1" applyFill="1" applyBorder="1" applyAlignment="1">
      <alignment horizontal="left" vertical="center"/>
    </xf>
    <xf numFmtId="0" fontId="14" fillId="60" borderId="12" xfId="10" applyFont="1" applyFill="1" applyBorder="1" applyAlignment="1">
      <alignment horizontal="center" vertical="top" wrapText="1"/>
    </xf>
    <xf numFmtId="0" fontId="14" fillId="60" borderId="13" xfId="10" applyFont="1" applyFill="1" applyBorder="1" applyAlignment="1">
      <alignment horizontal="center" vertical="top" wrapText="1"/>
    </xf>
    <xf numFmtId="0" fontId="14" fillId="60" borderId="10" xfId="10" applyFont="1" applyFill="1" applyBorder="1" applyAlignment="1">
      <alignment horizontal="center" vertical="top" wrapText="1"/>
    </xf>
    <xf numFmtId="0" fontId="14" fillId="60" borderId="99" xfId="10" applyFont="1" applyFill="1" applyBorder="1" applyAlignment="1">
      <alignment horizontal="center" vertical="top" wrapText="1"/>
    </xf>
    <xf numFmtId="0" fontId="14" fillId="60" borderId="43" xfId="10" applyFont="1" applyFill="1" applyBorder="1" applyAlignment="1">
      <alignment horizontal="center" vertical="top" wrapText="1"/>
    </xf>
    <xf numFmtId="0" fontId="7" fillId="40" borderId="1" xfId="0" applyFont="1" applyFill="1" applyBorder="1"/>
    <xf numFmtId="0" fontId="7" fillId="11" borderId="1" xfId="0" applyFont="1" applyFill="1" applyBorder="1"/>
    <xf numFmtId="0" fontId="98" fillId="5" borderId="108" xfId="0" applyFont="1" applyFill="1" applyBorder="1"/>
    <xf numFmtId="0" fontId="98" fillId="5" borderId="131" xfId="0" applyFont="1" applyFill="1" applyBorder="1"/>
    <xf numFmtId="0" fontId="98" fillId="64" borderId="0" xfId="0" applyFont="1" applyFill="1"/>
    <xf numFmtId="0" fontId="98" fillId="5" borderId="0" xfId="0" applyFont="1" applyFill="1"/>
    <xf numFmtId="0" fontId="7" fillId="49" borderId="14" xfId="0" applyFont="1" applyFill="1" applyBorder="1" applyAlignment="1">
      <alignment horizontal="center" vertical="center"/>
    </xf>
    <xf numFmtId="0" fontId="7" fillId="49" borderId="33" xfId="0" applyFont="1" applyFill="1" applyBorder="1" applyAlignment="1">
      <alignment horizontal="center" vertical="center"/>
    </xf>
    <xf numFmtId="0" fontId="7" fillId="49" borderId="24" xfId="0" applyFont="1" applyFill="1" applyBorder="1" applyAlignment="1">
      <alignment horizontal="center" vertical="center"/>
    </xf>
    <xf numFmtId="0" fontId="7" fillId="27" borderId="14" xfId="0" applyFont="1" applyFill="1" applyBorder="1" applyAlignment="1">
      <alignment horizontal="center" vertical="center"/>
    </xf>
    <xf numFmtId="0" fontId="7" fillId="27" borderId="33" xfId="0" applyFont="1" applyFill="1" applyBorder="1" applyAlignment="1">
      <alignment horizontal="center" vertical="center"/>
    </xf>
    <xf numFmtId="0" fontId="7" fillId="27" borderId="24" xfId="0" applyFont="1" applyFill="1" applyBorder="1" applyAlignment="1">
      <alignment horizontal="center" vertical="center"/>
    </xf>
    <xf numFmtId="0" fontId="7" fillId="49" borderId="15" xfId="0" applyFont="1" applyFill="1" applyBorder="1" applyAlignment="1">
      <alignment horizontal="center" vertical="center"/>
    </xf>
    <xf numFmtId="0" fontId="7" fillId="49" borderId="0" xfId="0" applyFont="1" applyFill="1" applyAlignment="1">
      <alignment horizontal="center" vertical="center"/>
    </xf>
    <xf numFmtId="0" fontId="7" fillId="49" borderId="49" xfId="0" applyFont="1" applyFill="1" applyBorder="1" applyAlignment="1">
      <alignment horizontal="center" vertical="center"/>
    </xf>
    <xf numFmtId="0" fontId="7" fillId="27" borderId="15" xfId="0" applyFont="1" applyFill="1" applyBorder="1" applyAlignment="1">
      <alignment horizontal="center" vertical="center"/>
    </xf>
    <xf numFmtId="0" fontId="7" fillId="27" borderId="0" xfId="0" applyFont="1" applyFill="1" applyAlignment="1">
      <alignment horizontal="center" vertical="center"/>
    </xf>
    <xf numFmtId="0" fontId="7" fillId="27" borderId="49" xfId="0" applyFont="1" applyFill="1" applyBorder="1" applyAlignment="1">
      <alignment horizontal="center" vertical="center"/>
    </xf>
    <xf numFmtId="0" fontId="7" fillId="14" borderId="1" xfId="0" applyFont="1" applyFill="1" applyBorder="1" applyAlignment="1">
      <alignment horizontal="left" vertical="center"/>
    </xf>
    <xf numFmtId="0" fontId="7" fillId="41" borderId="1" xfId="0" applyFont="1" applyFill="1" applyBorder="1" applyAlignment="1">
      <alignment horizontal="left" vertical="center"/>
    </xf>
    <xf numFmtId="0" fontId="7" fillId="14" borderId="1" xfId="0" applyFont="1" applyFill="1" applyBorder="1"/>
    <xf numFmtId="0" fontId="7" fillId="41" borderId="1" xfId="0" applyFont="1" applyFill="1" applyBorder="1"/>
    <xf numFmtId="0" fontId="7" fillId="49" borderId="16" xfId="0" applyFont="1" applyFill="1" applyBorder="1" applyAlignment="1">
      <alignment horizontal="center" vertical="center"/>
    </xf>
    <xf numFmtId="0" fontId="7" fillId="49" borderId="42" xfId="0" applyFont="1" applyFill="1" applyBorder="1" applyAlignment="1">
      <alignment horizontal="center" vertical="center"/>
    </xf>
    <xf numFmtId="0" fontId="7" fillId="49" borderId="11" xfId="0" applyFont="1" applyFill="1" applyBorder="1" applyAlignment="1">
      <alignment horizontal="center" vertical="center"/>
    </xf>
    <xf numFmtId="0" fontId="7" fillId="27" borderId="16" xfId="0" applyFont="1" applyFill="1" applyBorder="1" applyAlignment="1">
      <alignment horizontal="center" vertical="center"/>
    </xf>
    <xf numFmtId="0" fontId="7" fillId="27" borderId="42" xfId="0" applyFont="1" applyFill="1" applyBorder="1" applyAlignment="1">
      <alignment horizontal="center" vertical="center"/>
    </xf>
    <xf numFmtId="0" fontId="7" fillId="27" borderId="11" xfId="0" applyFont="1" applyFill="1" applyBorder="1" applyAlignment="1">
      <alignment horizontal="center" vertical="center"/>
    </xf>
    <xf numFmtId="0" fontId="26" fillId="6" borderId="1" xfId="0" applyFont="1" applyFill="1" applyBorder="1" applyAlignment="1">
      <alignment horizontal="center" vertical="center"/>
    </xf>
    <xf numFmtId="0" fontId="7" fillId="25" borderId="0" xfId="0" applyFont="1" applyFill="1" applyAlignment="1">
      <alignment horizontal="center" vertical="center"/>
    </xf>
    <xf numFmtId="0" fontId="7" fillId="6" borderId="1" xfId="0" applyFont="1" applyFill="1" applyBorder="1"/>
    <xf numFmtId="0" fontId="7" fillId="39" borderId="15" xfId="0" applyFont="1" applyFill="1" applyBorder="1" applyAlignment="1">
      <alignment horizontal="center" vertical="center"/>
    </xf>
    <xf numFmtId="0" fontId="7" fillId="39" borderId="0" xfId="0" applyFont="1" applyFill="1" applyAlignment="1">
      <alignment horizontal="center" vertical="center"/>
    </xf>
    <xf numFmtId="0" fontId="7" fillId="39" borderId="49" xfId="0" applyFont="1" applyFill="1" applyBorder="1" applyAlignment="1">
      <alignment horizontal="center" vertical="center"/>
    </xf>
    <xf numFmtId="0" fontId="7" fillId="39" borderId="16" xfId="0" applyFont="1" applyFill="1" applyBorder="1" applyAlignment="1">
      <alignment horizontal="center" vertical="center"/>
    </xf>
    <xf numFmtId="0" fontId="7" fillId="39" borderId="42" xfId="0" applyFont="1" applyFill="1" applyBorder="1" applyAlignment="1">
      <alignment horizontal="center" vertical="center"/>
    </xf>
    <xf numFmtId="0" fontId="7" fillId="39" borderId="11" xfId="0" applyFont="1" applyFill="1" applyBorder="1" applyAlignment="1">
      <alignment horizontal="center" vertical="center"/>
    </xf>
    <xf numFmtId="0" fontId="7" fillId="63" borderId="0" xfId="0" applyFont="1" applyFill="1"/>
    <xf numFmtId="0" fontId="92" fillId="24" borderId="2" xfId="0" applyFont="1" applyFill="1" applyBorder="1" applyAlignment="1">
      <alignment horizontal="center" vertical="center"/>
    </xf>
    <xf numFmtId="0" fontId="7" fillId="63" borderId="0" xfId="0" applyFont="1" applyFill="1" applyProtection="1">
      <protection locked="0"/>
    </xf>
    <xf numFmtId="0" fontId="7" fillId="0" borderId="0" xfId="0" applyFont="1" applyProtection="1">
      <protection locked="0"/>
    </xf>
    <xf numFmtId="0" fontId="94" fillId="50" borderId="19" xfId="0" applyFont="1" applyFill="1" applyBorder="1" applyAlignment="1">
      <alignment horizontal="center"/>
    </xf>
    <xf numFmtId="0" fontId="7" fillId="49" borderId="14" xfId="0" applyFont="1" applyFill="1" applyBorder="1"/>
    <xf numFmtId="0" fontId="7" fillId="49" borderId="33" xfId="0" applyFont="1" applyFill="1" applyBorder="1"/>
    <xf numFmtId="0" fontId="7" fillId="13" borderId="33" xfId="0" applyFont="1" applyFill="1" applyBorder="1"/>
    <xf numFmtId="0" fontId="7" fillId="28" borderId="15" xfId="0" applyFont="1" applyFill="1" applyBorder="1"/>
    <xf numFmtId="0" fontId="7" fillId="28" borderId="49" xfId="0" applyFont="1" applyFill="1" applyBorder="1"/>
    <xf numFmtId="0" fontId="7" fillId="49" borderId="15" xfId="0" applyFont="1" applyFill="1" applyBorder="1"/>
    <xf numFmtId="0" fontId="7" fillId="13" borderId="15" xfId="0" applyFont="1" applyFill="1" applyBorder="1"/>
    <xf numFmtId="0" fontId="7" fillId="13" borderId="49" xfId="0" applyFont="1" applyFill="1" applyBorder="1"/>
    <xf numFmtId="0" fontId="7" fillId="25" borderId="15" xfId="0" applyFont="1" applyFill="1" applyBorder="1"/>
    <xf numFmtId="0" fontId="7" fillId="25" borderId="49" xfId="0" applyFont="1" applyFill="1" applyBorder="1"/>
    <xf numFmtId="0" fontId="7" fillId="25" borderId="16" xfId="0" applyFont="1" applyFill="1" applyBorder="1"/>
    <xf numFmtId="0" fontId="7" fillId="25" borderId="42" xfId="0" applyFont="1" applyFill="1" applyBorder="1"/>
    <xf numFmtId="0" fontId="7" fillId="25" borderId="11" xfId="0" applyFont="1" applyFill="1" applyBorder="1"/>
    <xf numFmtId="0" fontId="7" fillId="26" borderId="15" xfId="0" applyFont="1" applyFill="1" applyBorder="1"/>
    <xf numFmtId="0" fontId="7" fillId="26" borderId="49" xfId="0" applyFont="1" applyFill="1" applyBorder="1"/>
    <xf numFmtId="0" fontId="7" fillId="26" borderId="16" xfId="0" applyFont="1" applyFill="1" applyBorder="1"/>
    <xf numFmtId="0" fontId="7" fillId="26" borderId="42" xfId="0" applyFont="1" applyFill="1" applyBorder="1"/>
    <xf numFmtId="0" fontId="7" fillId="27" borderId="14" xfId="0" applyFont="1" applyFill="1" applyBorder="1"/>
    <xf numFmtId="0" fontId="7" fillId="27" borderId="33" xfId="0" applyFont="1" applyFill="1" applyBorder="1"/>
    <xf numFmtId="0" fontId="7" fillId="27" borderId="15" xfId="0" applyFont="1" applyFill="1" applyBorder="1"/>
    <xf numFmtId="0" fontId="7" fillId="27" borderId="16" xfId="0" applyFont="1" applyFill="1" applyBorder="1"/>
    <xf numFmtId="0" fontId="7" fillId="27" borderId="42" xfId="0" applyFont="1" applyFill="1" applyBorder="1"/>
    <xf numFmtId="0" fontId="98" fillId="64" borderId="108" xfId="0" applyFont="1" applyFill="1" applyBorder="1" applyAlignment="1" applyProtection="1">
      <alignment horizontal="center" vertical="center"/>
      <protection locked="0"/>
    </xf>
    <xf numFmtId="0" fontId="98" fillId="5" borderId="108" xfId="0" applyFont="1" applyFill="1" applyBorder="1" applyAlignment="1" applyProtection="1">
      <alignment horizontal="center" vertical="center"/>
      <protection locked="0"/>
    </xf>
    <xf numFmtId="0" fontId="7" fillId="0" borderId="0" xfId="0" applyFont="1" applyAlignment="1">
      <alignment horizontal="center" vertical="center"/>
    </xf>
    <xf numFmtId="0" fontId="7" fillId="28" borderId="16" xfId="0" applyFont="1" applyFill="1" applyBorder="1"/>
    <xf numFmtId="0" fontId="7" fillId="28" borderId="42" xfId="0" applyFont="1" applyFill="1" applyBorder="1"/>
    <xf numFmtId="0" fontId="7" fillId="28" borderId="11" xfId="0" applyFont="1" applyFill="1" applyBorder="1"/>
    <xf numFmtId="0" fontId="7" fillId="29" borderId="14" xfId="0" applyFont="1" applyFill="1" applyBorder="1"/>
    <xf numFmtId="0" fontId="7" fillId="29" borderId="33" xfId="0" applyFont="1" applyFill="1" applyBorder="1"/>
    <xf numFmtId="0" fontId="7" fillId="29" borderId="24" xfId="0" applyFont="1" applyFill="1" applyBorder="1"/>
    <xf numFmtId="0" fontId="7" fillId="29" borderId="15" xfId="0" applyFont="1" applyFill="1" applyBorder="1"/>
    <xf numFmtId="0" fontId="7" fillId="29" borderId="49" xfId="0" applyFont="1" applyFill="1" applyBorder="1"/>
    <xf numFmtId="0" fontId="7" fillId="72" borderId="14" xfId="0" applyFont="1" applyFill="1" applyBorder="1"/>
    <xf numFmtId="0" fontId="7" fillId="72" borderId="33" xfId="0" applyFont="1" applyFill="1" applyBorder="1"/>
    <xf numFmtId="0" fontId="7" fillId="72" borderId="15" xfId="0" applyFont="1" applyFill="1" applyBorder="1"/>
    <xf numFmtId="0" fontId="14" fillId="50" borderId="19" xfId="0" applyFont="1" applyFill="1" applyBorder="1" applyAlignment="1">
      <alignment horizontal="center" vertical="center"/>
    </xf>
    <xf numFmtId="0" fontId="7" fillId="50" borderId="14" xfId="0" applyFont="1" applyFill="1" applyBorder="1"/>
    <xf numFmtId="0" fontId="7" fillId="50" borderId="15" xfId="0" applyFont="1" applyFill="1" applyBorder="1"/>
    <xf numFmtId="0" fontId="14" fillId="52" borderId="19" xfId="0" applyFont="1" applyFill="1" applyBorder="1" applyAlignment="1">
      <alignment horizontal="center" vertical="center"/>
    </xf>
    <xf numFmtId="0" fontId="7" fillId="52" borderId="14" xfId="0" applyFont="1" applyFill="1" applyBorder="1"/>
    <xf numFmtId="0" fontId="7" fillId="52" borderId="15" xfId="0" applyFont="1" applyFill="1" applyBorder="1"/>
    <xf numFmtId="0" fontId="14" fillId="73" borderId="19" xfId="0" applyFont="1" applyFill="1" applyBorder="1" applyAlignment="1">
      <alignment horizontal="center" vertical="center"/>
    </xf>
    <xf numFmtId="0" fontId="7" fillId="60" borderId="13" xfId="0" applyFont="1" applyFill="1" applyBorder="1"/>
    <xf numFmtId="0" fontId="7" fillId="60" borderId="12" xfId="0" applyFont="1" applyFill="1" applyBorder="1"/>
    <xf numFmtId="0" fontId="7" fillId="29" borderId="0" xfId="0" applyFont="1" applyFill="1"/>
    <xf numFmtId="0" fontId="7" fillId="49" borderId="0" xfId="0" applyFont="1" applyFill="1"/>
    <xf numFmtId="0" fontId="7" fillId="13" borderId="0" xfId="0" applyFont="1" applyFill="1"/>
    <xf numFmtId="0" fontId="7" fillId="72" borderId="0" xfId="0" applyFont="1" applyFill="1"/>
    <xf numFmtId="0" fontId="7" fillId="25" borderId="0" xfId="0" applyFont="1" applyFill="1"/>
    <xf numFmtId="0" fontId="7" fillId="26" borderId="0" xfId="0" applyFont="1" applyFill="1"/>
    <xf numFmtId="0" fontId="7" fillId="28" borderId="0" xfId="0" applyFont="1" applyFill="1"/>
    <xf numFmtId="0" fontId="7" fillId="27" borderId="0" xfId="0" applyFont="1" applyFill="1"/>
    <xf numFmtId="0" fontId="101" fillId="60" borderId="13" xfId="0" applyFont="1" applyFill="1" applyBorder="1" applyAlignment="1">
      <alignment textRotation="90"/>
    </xf>
    <xf numFmtId="0" fontId="102" fillId="60" borderId="13" xfId="0" applyFont="1" applyFill="1" applyBorder="1" applyAlignment="1">
      <alignment horizontal="center" vertical="center" textRotation="90"/>
    </xf>
    <xf numFmtId="0" fontId="7" fillId="72" borderId="12" xfId="0" applyFont="1" applyFill="1" applyBorder="1"/>
    <xf numFmtId="0" fontId="7" fillId="72" borderId="13" xfId="0" applyFont="1" applyFill="1" applyBorder="1"/>
    <xf numFmtId="0" fontId="7" fillId="72" borderId="10" xfId="0" applyFont="1" applyFill="1" applyBorder="1"/>
    <xf numFmtId="0" fontId="107" fillId="50" borderId="21" xfId="0" applyFont="1" applyFill="1" applyBorder="1" applyAlignment="1">
      <alignment horizontal="right" vertical="center"/>
    </xf>
    <xf numFmtId="171" fontId="81" fillId="21" borderId="1" xfId="10" applyNumberFormat="1" applyFont="1" applyFill="1" applyBorder="1"/>
    <xf numFmtId="171" fontId="81" fillId="18" borderId="1" xfId="10" applyNumberFormat="1" applyFont="1" applyFill="1" applyBorder="1"/>
    <xf numFmtId="0" fontId="0" fillId="18" borderId="0" xfId="0" applyFill="1"/>
    <xf numFmtId="176" fontId="5" fillId="0" borderId="84" xfId="0" applyNumberFormat="1" applyFont="1" applyBorder="1" applyAlignment="1">
      <alignment horizontal="center" vertical="center"/>
    </xf>
    <xf numFmtId="3" fontId="7" fillId="0" borderId="50" xfId="1" applyNumberFormat="1" applyFont="1" applyBorder="1" applyAlignment="1">
      <alignment horizontal="center"/>
    </xf>
    <xf numFmtId="3" fontId="10" fillId="0" borderId="43" xfId="1" applyNumberFormat="1" applyFont="1" applyBorder="1" applyAlignment="1">
      <alignment horizontal="center"/>
    </xf>
    <xf numFmtId="0" fontId="7" fillId="60" borderId="49" xfId="0" applyFont="1" applyFill="1" applyBorder="1"/>
    <xf numFmtId="0" fontId="7" fillId="60" borderId="11" xfId="0" applyFont="1" applyFill="1" applyBorder="1"/>
    <xf numFmtId="0" fontId="7" fillId="73" borderId="12" xfId="0" applyFont="1" applyFill="1" applyBorder="1"/>
    <xf numFmtId="0" fontId="7" fillId="73" borderId="13" xfId="0" applyFont="1" applyFill="1" applyBorder="1"/>
    <xf numFmtId="0" fontId="7" fillId="73" borderId="10" xfId="0" applyFont="1" applyFill="1" applyBorder="1"/>
    <xf numFmtId="0" fontId="7" fillId="74" borderId="15" xfId="0" applyFont="1" applyFill="1" applyBorder="1"/>
    <xf numFmtId="0" fontId="7" fillId="74" borderId="0" xfId="0" applyFont="1" applyFill="1"/>
    <xf numFmtId="0" fontId="7" fillId="74" borderId="49" xfId="0" applyFont="1" applyFill="1" applyBorder="1"/>
    <xf numFmtId="0" fontId="7" fillId="75" borderId="15" xfId="0" applyFont="1" applyFill="1" applyBorder="1"/>
    <xf numFmtId="0" fontId="7" fillId="75" borderId="0" xfId="0" applyFont="1" applyFill="1"/>
    <xf numFmtId="0" fontId="7" fillId="75" borderId="49" xfId="0" applyFont="1" applyFill="1" applyBorder="1"/>
    <xf numFmtId="0" fontId="7" fillId="76" borderId="15" xfId="0" applyFont="1" applyFill="1" applyBorder="1"/>
    <xf numFmtId="0" fontId="7" fillId="76" borderId="0" xfId="0" applyFont="1" applyFill="1"/>
    <xf numFmtId="0" fontId="115" fillId="0" borderId="18" xfId="10" applyFont="1" applyBorder="1"/>
    <xf numFmtId="0" fontId="115" fillId="0" borderId="76" xfId="10" applyFont="1" applyBorder="1"/>
    <xf numFmtId="0" fontId="5" fillId="77" borderId="132" xfId="0" applyFont="1" applyFill="1" applyBorder="1" applyAlignment="1">
      <alignment horizontal="center" vertical="top" wrapText="1"/>
    </xf>
    <xf numFmtId="0" fontId="5" fillId="77" borderId="132" xfId="0" applyFont="1" applyFill="1" applyBorder="1" applyAlignment="1">
      <alignment horizontal="center" vertical="center" wrapText="1"/>
    </xf>
    <xf numFmtId="0" fontId="5" fillId="21" borderId="109" xfId="0" applyFont="1" applyFill="1" applyBorder="1" applyAlignment="1">
      <alignment horizontal="center" vertical="center" wrapText="1"/>
    </xf>
    <xf numFmtId="0" fontId="5" fillId="45" borderId="109" xfId="0" applyFont="1" applyFill="1" applyBorder="1" applyAlignment="1">
      <alignment horizontal="center" vertical="center" wrapText="1"/>
    </xf>
    <xf numFmtId="0" fontId="117" fillId="78" borderId="1" xfId="0" applyFont="1" applyFill="1" applyBorder="1" applyAlignment="1">
      <alignment horizontal="center" vertical="center" wrapText="1"/>
    </xf>
    <xf numFmtId="0" fontId="62" fillId="38" borderId="2" xfId="0" applyFont="1" applyFill="1" applyBorder="1" applyAlignment="1">
      <alignment horizontal="center" vertical="center" wrapText="1"/>
    </xf>
    <xf numFmtId="0" fontId="62" fillId="38" borderId="40" xfId="0" applyFont="1" applyFill="1" applyBorder="1" applyAlignment="1">
      <alignment horizontal="center" vertical="center" wrapText="1"/>
    </xf>
    <xf numFmtId="0" fontId="62" fillId="38" borderId="18" xfId="0" applyFont="1" applyFill="1" applyBorder="1" applyAlignment="1">
      <alignment horizontal="center" vertical="center" wrapText="1"/>
    </xf>
    <xf numFmtId="0" fontId="19" fillId="7" borderId="19" xfId="10" applyFont="1" applyFill="1" applyBorder="1" applyAlignment="1">
      <alignment horizontal="center" vertical="center"/>
    </xf>
    <xf numFmtId="0" fontId="19" fillId="7" borderId="21" xfId="10" applyFont="1" applyFill="1" applyBorder="1" applyAlignment="1">
      <alignment horizontal="center" vertical="center"/>
    </xf>
    <xf numFmtId="0" fontId="19" fillId="0" borderId="25" xfId="0" applyFont="1" applyBorder="1" applyAlignment="1">
      <alignment horizontal="center" vertical="center" wrapText="1"/>
    </xf>
    <xf numFmtId="0" fontId="19" fillId="0" borderId="102" xfId="0" applyFont="1" applyBorder="1" applyAlignment="1">
      <alignment horizontal="center" vertical="center" wrapText="1"/>
    </xf>
    <xf numFmtId="0" fontId="19" fillId="0" borderId="50" xfId="0" applyFont="1" applyBorder="1" applyAlignment="1">
      <alignment horizontal="center" vertical="center" wrapText="1"/>
    </xf>
    <xf numFmtId="0" fontId="19" fillId="0" borderId="88" xfId="0" applyFont="1" applyBorder="1" applyAlignment="1">
      <alignment horizontal="center" vertical="center" wrapText="1"/>
    </xf>
    <xf numFmtId="0" fontId="19" fillId="0" borderId="100" xfId="0" applyFont="1" applyBorder="1" applyAlignment="1">
      <alignment horizontal="center" vertical="center" wrapText="1"/>
    </xf>
    <xf numFmtId="0" fontId="0" fillId="0" borderId="1" xfId="0" applyBorder="1"/>
    <xf numFmtId="3" fontId="5" fillId="0" borderId="1" xfId="0" applyNumberFormat="1" applyFont="1" applyBorder="1" applyAlignment="1" applyProtection="1">
      <alignment horizontal="center"/>
      <protection locked="0"/>
    </xf>
    <xf numFmtId="3" fontId="5" fillId="0" borderId="75" xfId="0" applyNumberFormat="1" applyFont="1" applyBorder="1" applyAlignment="1" applyProtection="1">
      <alignment horizontal="center"/>
      <protection locked="0"/>
    </xf>
    <xf numFmtId="0" fontId="48" fillId="34" borderId="10" xfId="0" applyFont="1" applyFill="1" applyBorder="1" applyAlignment="1">
      <alignment horizontal="center" vertical="center" wrapText="1"/>
    </xf>
    <xf numFmtId="0" fontId="48" fillId="34" borderId="11" xfId="0" applyFont="1" applyFill="1" applyBorder="1" applyAlignment="1">
      <alignment horizontal="center" vertical="center" wrapText="1"/>
    </xf>
    <xf numFmtId="0" fontId="19" fillId="7" borderId="16" xfId="11" applyFont="1" applyFill="1" applyBorder="1" applyAlignment="1">
      <alignment horizontal="center" vertical="center"/>
    </xf>
    <xf numFmtId="0" fontId="19" fillId="7" borderId="11" xfId="11" applyFont="1" applyFill="1" applyBorder="1" applyAlignment="1">
      <alignment horizontal="center" vertical="center"/>
    </xf>
    <xf numFmtId="0" fontId="46" fillId="7" borderId="16" xfId="11" applyFont="1" applyFill="1" applyBorder="1" applyAlignment="1">
      <alignment horizontal="center" vertical="center"/>
    </xf>
    <xf numFmtId="0" fontId="46" fillId="7" borderId="42" xfId="11" applyFont="1" applyFill="1" applyBorder="1" applyAlignment="1">
      <alignment horizontal="center" vertical="center"/>
    </xf>
    <xf numFmtId="0" fontId="46" fillId="7" borderId="11" xfId="11" applyFont="1" applyFill="1" applyBorder="1" applyAlignment="1">
      <alignment horizontal="center" vertical="center"/>
    </xf>
    <xf numFmtId="0" fontId="46" fillId="7" borderId="10" xfId="11" applyFont="1" applyFill="1" applyBorder="1" applyAlignment="1">
      <alignment horizontal="center" vertical="center"/>
    </xf>
    <xf numFmtId="0" fontId="19" fillId="15" borderId="0" xfId="0" applyFont="1" applyFill="1" applyAlignment="1">
      <alignment horizontal="center" vertical="center"/>
    </xf>
    <xf numFmtId="0" fontId="19" fillId="7" borderId="16" xfId="10" applyFont="1" applyFill="1" applyBorder="1" applyAlignment="1">
      <alignment horizontal="center" vertical="center"/>
    </xf>
    <xf numFmtId="0" fontId="19" fillId="7" borderId="11" xfId="10" applyFont="1" applyFill="1" applyBorder="1" applyAlignment="1">
      <alignment horizontal="center" vertical="center"/>
    </xf>
    <xf numFmtId="0" fontId="19" fillId="7" borderId="42" xfId="10" applyFont="1" applyFill="1" applyBorder="1" applyAlignment="1">
      <alignment horizontal="center" vertical="center"/>
    </xf>
    <xf numFmtId="0" fontId="19" fillId="7" borderId="16" xfId="10" applyFont="1" applyFill="1" applyBorder="1" applyAlignment="1">
      <alignment horizontal="center" vertical="center" wrapText="1"/>
    </xf>
    <xf numFmtId="0" fontId="19" fillId="7" borderId="42" xfId="10" applyFont="1" applyFill="1" applyBorder="1" applyAlignment="1">
      <alignment horizontal="center" vertical="center" wrapText="1"/>
    </xf>
    <xf numFmtId="0" fontId="19" fillId="7" borderId="11" xfId="10" applyFont="1" applyFill="1" applyBorder="1" applyAlignment="1">
      <alignment horizontal="center" vertical="center" wrapText="1"/>
    </xf>
    <xf numFmtId="0" fontId="19" fillId="0" borderId="51" xfId="0" applyFont="1" applyBorder="1" applyAlignment="1">
      <alignment horizontal="center" vertical="center" wrapText="1"/>
    </xf>
    <xf numFmtId="0" fontId="19" fillId="0" borderId="71" xfId="0" applyFont="1" applyBorder="1" applyAlignment="1">
      <alignment horizontal="center" vertical="center" wrapText="1"/>
    </xf>
    <xf numFmtId="0" fontId="7" fillId="0" borderId="34" xfId="0" applyFont="1" applyBorder="1" applyAlignment="1">
      <alignment horizontal="center" vertical="center"/>
    </xf>
    <xf numFmtId="0" fontId="10" fillId="36" borderId="88" xfId="0" applyFont="1" applyFill="1" applyBorder="1" applyAlignment="1">
      <alignment horizontal="center" vertical="center"/>
    </xf>
    <xf numFmtId="0" fontId="10" fillId="36" borderId="50" xfId="0" applyFont="1" applyFill="1" applyBorder="1" applyAlignment="1">
      <alignment horizontal="center" vertical="center"/>
    </xf>
    <xf numFmtId="0" fontId="10" fillId="36" borderId="86" xfId="0" applyFont="1" applyFill="1" applyBorder="1" applyAlignment="1">
      <alignment horizontal="center" vertical="center"/>
    </xf>
    <xf numFmtId="0" fontId="10" fillId="36" borderId="102" xfId="0" applyFont="1" applyFill="1" applyBorder="1" applyAlignment="1">
      <alignment horizontal="center" vertical="center"/>
    </xf>
    <xf numFmtId="0" fontId="10" fillId="22" borderId="25" xfId="0" applyFont="1" applyFill="1" applyBorder="1" applyAlignment="1">
      <alignment horizontal="center"/>
    </xf>
    <xf numFmtId="0" fontId="10" fillId="22" borderId="34" xfId="0" applyFont="1" applyFill="1" applyBorder="1" applyAlignment="1">
      <alignment horizontal="center"/>
    </xf>
    <xf numFmtId="0" fontId="105" fillId="25" borderId="43" xfId="0" applyFont="1" applyFill="1" applyBorder="1" applyAlignment="1">
      <alignment horizontal="center" vertical="center"/>
    </xf>
    <xf numFmtId="4" fontId="7" fillId="0" borderId="4" xfId="0" applyNumberFormat="1" applyFont="1" applyBorder="1" applyAlignment="1">
      <alignment horizontal="center"/>
    </xf>
    <xf numFmtId="4" fontId="7" fillId="0" borderId="7" xfId="0" applyNumberFormat="1" applyFont="1" applyBorder="1" applyAlignment="1">
      <alignment horizontal="center"/>
    </xf>
    <xf numFmtId="4" fontId="7" fillId="0" borderId="26" xfId="0" applyNumberFormat="1" applyFont="1" applyBorder="1" applyAlignment="1">
      <alignment horizontal="center"/>
    </xf>
    <xf numFmtId="0" fontId="120" fillId="0" borderId="11" xfId="0" applyFont="1" applyBorder="1" applyAlignment="1">
      <alignment horizontal="center" vertical="center"/>
    </xf>
    <xf numFmtId="0" fontId="121" fillId="18" borderId="11" xfId="0" applyFont="1" applyFill="1" applyBorder="1" applyAlignment="1">
      <alignment horizontal="center" vertical="center"/>
    </xf>
    <xf numFmtId="1" fontId="120" fillId="0" borderId="11" xfId="0" applyNumberFormat="1" applyFont="1" applyBorder="1" applyAlignment="1">
      <alignment horizontal="center" vertical="center"/>
    </xf>
    <xf numFmtId="0" fontId="0" fillId="0" borderId="18" xfId="0" applyBorder="1"/>
    <xf numFmtId="0" fontId="0" fillId="0" borderId="2" xfId="0" applyBorder="1"/>
    <xf numFmtId="0" fontId="0" fillId="0" borderId="44" xfId="0" applyBorder="1"/>
    <xf numFmtId="0" fontId="0" fillId="0" borderId="25" xfId="0" applyBorder="1"/>
    <xf numFmtId="0" fontId="0" fillId="0" borderId="51" xfId="0" applyBorder="1"/>
    <xf numFmtId="0" fontId="0" fillId="0" borderId="99" xfId="0" applyBorder="1"/>
    <xf numFmtId="0" fontId="0" fillId="0" borderId="75" xfId="0" applyBorder="1"/>
    <xf numFmtId="0" fontId="0" fillId="0" borderId="101" xfId="0" applyBorder="1"/>
    <xf numFmtId="0" fontId="10" fillId="0" borderId="18" xfId="0" applyFont="1" applyBorder="1" applyAlignment="1">
      <alignment horizontal="center" vertical="center"/>
    </xf>
    <xf numFmtId="0" fontId="7" fillId="0" borderId="0" xfId="0" applyFont="1" applyAlignment="1">
      <alignment horizontal="left" vertical="center"/>
    </xf>
    <xf numFmtId="0" fontId="23" fillId="0" borderId="0" xfId="0" applyFont="1" applyAlignment="1">
      <alignment horizontal="left" vertical="center"/>
    </xf>
    <xf numFmtId="0" fontId="97" fillId="0" borderId="0" xfId="0" applyFont="1" applyAlignment="1">
      <alignment horizontal="left" vertical="center"/>
    </xf>
    <xf numFmtId="0" fontId="57" fillId="0" borderId="0" xfId="0" applyFont="1" applyAlignment="1">
      <alignment horizontal="left" vertical="center"/>
    </xf>
    <xf numFmtId="0" fontId="94" fillId="0" borderId="0" xfId="0" applyFont="1" applyAlignment="1">
      <alignment horizontal="left" vertical="center"/>
    </xf>
    <xf numFmtId="0" fontId="10" fillId="0" borderId="0" xfId="0" applyFont="1" applyAlignment="1">
      <alignment horizontal="left" vertical="center"/>
    </xf>
    <xf numFmtId="3" fontId="12" fillId="6" borderId="53" xfId="0" applyNumberFormat="1" applyFont="1" applyFill="1" applyBorder="1" applyAlignment="1">
      <alignment horizontal="center"/>
    </xf>
    <xf numFmtId="3" fontId="12" fillId="6" borderId="9" xfId="0" applyNumberFormat="1" applyFont="1" applyFill="1" applyBorder="1" applyAlignment="1">
      <alignment horizontal="center"/>
    </xf>
    <xf numFmtId="3" fontId="12" fillId="6" borderId="69" xfId="0" applyNumberFormat="1" applyFont="1" applyFill="1" applyBorder="1" applyAlignment="1">
      <alignment horizontal="center"/>
    </xf>
    <xf numFmtId="166" fontId="10" fillId="0" borderId="1" xfId="0" applyNumberFormat="1" applyFont="1" applyBorder="1" applyAlignment="1">
      <alignment horizontal="center" vertical="center"/>
    </xf>
    <xf numFmtId="3" fontId="10" fillId="0" borderId="4" xfId="0" applyNumberFormat="1" applyFont="1" applyBorder="1" applyAlignment="1">
      <alignment horizontal="center" vertical="center"/>
    </xf>
    <xf numFmtId="166" fontId="10" fillId="0" borderId="5" xfId="0" applyNumberFormat="1" applyFont="1" applyBorder="1" applyAlignment="1">
      <alignment horizontal="center" vertical="center"/>
    </xf>
    <xf numFmtId="3" fontId="20" fillId="0" borderId="6" xfId="9" applyNumberFormat="1" applyFont="1" applyBorder="1" applyAlignment="1">
      <alignment horizontal="center" vertical="center"/>
    </xf>
    <xf numFmtId="3" fontId="10" fillId="0" borderId="7" xfId="0" applyNumberFormat="1" applyFont="1" applyBorder="1" applyAlignment="1">
      <alignment horizontal="center" vertical="center"/>
    </xf>
    <xf numFmtId="3" fontId="10" fillId="0" borderId="26" xfId="0" applyNumberFormat="1" applyFont="1" applyBorder="1" applyAlignment="1">
      <alignment horizontal="center" vertical="center"/>
    </xf>
    <xf numFmtId="166" fontId="10" fillId="0" borderId="27" xfId="0" applyNumberFormat="1" applyFont="1" applyBorder="1" applyAlignment="1">
      <alignment horizontal="center" vertical="center"/>
    </xf>
    <xf numFmtId="0" fontId="126" fillId="0" borderId="1" xfId="0" applyFont="1" applyBorder="1" applyAlignment="1">
      <alignment horizontal="center" vertical="center"/>
    </xf>
    <xf numFmtId="0" fontId="126" fillId="0" borderId="27" xfId="0" applyFont="1" applyBorder="1" applyAlignment="1">
      <alignment horizontal="center" vertical="center"/>
    </xf>
    <xf numFmtId="0" fontId="126" fillId="22" borderId="1" xfId="0" applyFont="1" applyFill="1" applyBorder="1" applyAlignment="1">
      <alignment horizontal="center" vertical="center"/>
    </xf>
    <xf numFmtId="0" fontId="126" fillId="22" borderId="27" xfId="0" applyFont="1" applyFill="1" applyBorder="1" applyAlignment="1">
      <alignment horizontal="center" vertical="center"/>
    </xf>
    <xf numFmtId="0" fontId="127" fillId="0" borderId="8" xfId="0" applyFont="1" applyBorder="1" applyAlignment="1">
      <alignment horizontal="center" vertical="center"/>
    </xf>
    <xf numFmtId="0" fontId="99" fillId="0" borderId="75" xfId="0" applyFont="1" applyBorder="1"/>
    <xf numFmtId="0" fontId="100" fillId="39" borderId="50" xfId="10" applyFont="1" applyFill="1" applyBorder="1" applyAlignment="1">
      <alignment horizontal="center" vertical="top" wrapText="1"/>
    </xf>
    <xf numFmtId="0" fontId="100" fillId="59" borderId="50" xfId="10" applyFont="1" applyFill="1" applyBorder="1" applyAlignment="1">
      <alignment horizontal="center" vertical="top" wrapText="1"/>
    </xf>
    <xf numFmtId="0" fontId="82" fillId="61" borderId="50" xfId="10" applyFont="1" applyFill="1" applyBorder="1" applyAlignment="1">
      <alignment horizontal="center" vertical="top" wrapText="1"/>
    </xf>
    <xf numFmtId="0" fontId="82" fillId="60" borderId="50" xfId="10" applyFont="1" applyFill="1" applyBorder="1" applyAlignment="1">
      <alignment horizontal="center" vertical="top" wrapText="1"/>
    </xf>
    <xf numFmtId="0" fontId="82" fillId="59" borderId="12" xfId="10" applyFont="1" applyFill="1" applyBorder="1" applyAlignment="1">
      <alignment horizontal="center" vertical="top" wrapText="1"/>
    </xf>
    <xf numFmtId="0" fontId="89" fillId="0" borderId="50" xfId="13" applyFont="1" applyBorder="1"/>
    <xf numFmtId="0" fontId="99" fillId="0" borderId="44" xfId="0" applyFont="1" applyBorder="1"/>
    <xf numFmtId="0" fontId="99" fillId="0" borderId="25" xfId="0" applyFont="1" applyBorder="1"/>
    <xf numFmtId="172" fontId="99" fillId="0" borderId="25" xfId="1" applyNumberFormat="1" applyFont="1" applyBorder="1"/>
    <xf numFmtId="175" fontId="89" fillId="0" borderId="25" xfId="13" applyNumberFormat="1" applyFont="1" applyBorder="1"/>
    <xf numFmtId="164" fontId="89" fillId="0" borderId="25" xfId="13" applyNumberFormat="1" applyFont="1" applyBorder="1"/>
    <xf numFmtId="175" fontId="89" fillId="0" borderId="51" xfId="13" applyNumberFormat="1" applyFont="1" applyBorder="1"/>
    <xf numFmtId="0" fontId="100" fillId="71" borderId="54" xfId="0" applyFont="1" applyFill="1" applyBorder="1"/>
    <xf numFmtId="0" fontId="100" fillId="71" borderId="55" xfId="0" applyFont="1" applyFill="1" applyBorder="1"/>
    <xf numFmtId="0" fontId="100" fillId="71" borderId="55" xfId="13" applyFont="1" applyFill="1" applyBorder="1"/>
    <xf numFmtId="0" fontId="100" fillId="71" borderId="56" xfId="13" applyFont="1" applyFill="1" applyBorder="1"/>
    <xf numFmtId="0" fontId="128" fillId="0" borderId="0" xfId="0" applyFont="1" applyAlignment="1">
      <alignment horizontal="center" vertical="center"/>
    </xf>
    <xf numFmtId="3" fontId="130" fillId="42" borderId="1" xfId="0" applyNumberFormat="1" applyFont="1" applyFill="1" applyBorder="1" applyAlignment="1">
      <alignment horizontal="center" vertical="center"/>
    </xf>
    <xf numFmtId="3" fontId="128" fillId="0" borderId="1" xfId="0" applyNumberFormat="1" applyFont="1" applyBorder="1" applyAlignment="1">
      <alignment horizontal="center" vertical="center"/>
    </xf>
    <xf numFmtId="0" fontId="129" fillId="42" borderId="25" xfId="0" applyFont="1" applyFill="1" applyBorder="1" applyAlignment="1">
      <alignment horizontal="center" vertical="center"/>
    </xf>
    <xf numFmtId="49" fontId="25" fillId="0" borderId="0" xfId="0" applyNumberFormat="1" applyFont="1" applyAlignment="1">
      <alignment horizontal="left" vertical="center"/>
    </xf>
    <xf numFmtId="49" fontId="31" fillId="0" borderId="0" xfId="0" applyNumberFormat="1" applyFont="1" applyAlignment="1">
      <alignment horizontal="left" vertical="center"/>
    </xf>
    <xf numFmtId="0" fontId="5" fillId="0" borderId="1" xfId="0" applyFont="1" applyBorder="1" applyAlignment="1">
      <alignment horizontal="center"/>
    </xf>
    <xf numFmtId="0" fontId="137" fillId="0" borderId="0" xfId="0" applyFont="1"/>
    <xf numFmtId="0" fontId="138" fillId="0" borderId="0" xfId="0" applyFont="1"/>
    <xf numFmtId="0" fontId="141" fillId="0" borderId="0" xfId="0" applyFont="1"/>
    <xf numFmtId="0" fontId="137" fillId="0" borderId="140" xfId="0" applyFont="1" applyBorder="1"/>
    <xf numFmtId="0" fontId="142" fillId="0" borderId="140" xfId="0" applyFont="1" applyBorder="1"/>
    <xf numFmtId="14" fontId="143" fillId="0" borderId="141" xfId="0" applyNumberFormat="1" applyFont="1" applyBorder="1"/>
    <xf numFmtId="0" fontId="142" fillId="0" borderId="0" xfId="0" applyFont="1"/>
    <xf numFmtId="14" fontId="143" fillId="0" borderId="0" xfId="0" applyNumberFormat="1" applyFont="1" applyAlignment="1">
      <alignment horizontal="right" indent="1"/>
    </xf>
    <xf numFmtId="0" fontId="144" fillId="40" borderId="0" xfId="0" applyFont="1" applyFill="1" applyAlignment="1">
      <alignment horizontal="left" vertical="center"/>
    </xf>
    <xf numFmtId="0" fontId="144" fillId="40" borderId="0" xfId="0" applyFont="1" applyFill="1" applyAlignment="1">
      <alignment vertical="center"/>
    </xf>
    <xf numFmtId="0" fontId="145" fillId="40" borderId="0" xfId="0" applyFont="1" applyFill="1" applyAlignment="1">
      <alignment horizontal="left" vertical="center"/>
    </xf>
    <xf numFmtId="0" fontId="146" fillId="0" borderId="0" xfId="0" applyFont="1"/>
    <xf numFmtId="0" fontId="147" fillId="0" borderId="0" xfId="0" applyFont="1" applyAlignment="1">
      <alignment horizontal="left" indent="1"/>
    </xf>
    <xf numFmtId="49" fontId="23" fillId="0" borderId="0" xfId="0" applyNumberFormat="1" applyFont="1" applyAlignment="1">
      <alignment horizontal="left" vertical="top"/>
    </xf>
    <xf numFmtId="0" fontId="148" fillId="0" borderId="0" xfId="0" applyFont="1"/>
    <xf numFmtId="0" fontId="5" fillId="0" borderId="0" xfId="0" applyFont="1" applyAlignment="1">
      <alignment horizontal="left"/>
    </xf>
    <xf numFmtId="0" fontId="149" fillId="0" borderId="0" xfId="0" applyFont="1" applyAlignment="1">
      <alignment horizontal="left"/>
    </xf>
    <xf numFmtId="0" fontId="151" fillId="0" borderId="0" xfId="0" applyFont="1" applyAlignment="1">
      <alignment vertical="center"/>
    </xf>
    <xf numFmtId="0" fontId="152" fillId="0" borderId="0" xfId="0" applyFont="1"/>
    <xf numFmtId="168" fontId="5" fillId="0" borderId="0" xfId="0" applyNumberFormat="1" applyFont="1" applyAlignment="1">
      <alignment horizontal="left"/>
    </xf>
    <xf numFmtId="0" fontId="153" fillId="0" borderId="0" xfId="0" applyFont="1"/>
    <xf numFmtId="2" fontId="5" fillId="0" borderId="0" xfId="0" applyNumberFormat="1" applyFont="1" applyAlignment="1">
      <alignment horizontal="left"/>
    </xf>
    <xf numFmtId="14" fontId="143" fillId="0" borderId="0" xfId="0" applyNumberFormat="1" applyFont="1"/>
    <xf numFmtId="14" fontId="143" fillId="0" borderId="140" xfId="0" applyNumberFormat="1" applyFont="1" applyBorder="1"/>
    <xf numFmtId="0" fontId="150" fillId="0" borderId="0" xfId="0" applyFont="1" applyAlignment="1">
      <alignment horizontal="left" vertical="center"/>
    </xf>
    <xf numFmtId="0" fontId="156" fillId="8" borderId="136" xfId="0" applyFont="1" applyFill="1" applyBorder="1"/>
    <xf numFmtId="0" fontId="156" fillId="8" borderId="139" xfId="0" applyFont="1" applyFill="1" applyBorder="1"/>
    <xf numFmtId="0" fontId="144" fillId="40" borderId="0" xfId="0" applyFont="1" applyFill="1" applyAlignment="1">
      <alignment horizontal="right" vertical="center"/>
    </xf>
    <xf numFmtId="0" fontId="154" fillId="0" borderId="143" xfId="0" applyFont="1" applyBorder="1"/>
    <xf numFmtId="0" fontId="157" fillId="0" borderId="0" xfId="0" applyFont="1" applyAlignment="1">
      <alignment horizontal="left"/>
    </xf>
    <xf numFmtId="0" fontId="158" fillId="0" borderId="143" xfId="0" applyFont="1" applyBorder="1"/>
    <xf numFmtId="0" fontId="159" fillId="0" borderId="0" xfId="0" applyFont="1"/>
    <xf numFmtId="0" fontId="157" fillId="0" borderId="0" xfId="0" applyFont="1"/>
    <xf numFmtId="0" fontId="160" fillId="0" borderId="0" xfId="0" applyFont="1"/>
    <xf numFmtId="0" fontId="160" fillId="0" borderId="0" xfId="0" applyFont="1" applyAlignment="1">
      <alignment horizontal="left" vertical="center"/>
    </xf>
    <xf numFmtId="0" fontId="143" fillId="0" borderId="0" xfId="0" applyFont="1"/>
    <xf numFmtId="0" fontId="161" fillId="0" borderId="0" xfId="0" applyFont="1" applyAlignment="1">
      <alignment horizontal="left"/>
    </xf>
    <xf numFmtId="0" fontId="137" fillId="0" borderId="0" xfId="0" applyFont="1" applyAlignment="1">
      <alignment horizontal="left"/>
    </xf>
    <xf numFmtId="0" fontId="160" fillId="0" borderId="0" xfId="0" applyFont="1" applyAlignment="1">
      <alignment horizontal="left"/>
    </xf>
    <xf numFmtId="177" fontId="160" fillId="0" borderId="0" xfId="15" applyNumberFormat="1" applyFont="1" applyBorder="1" applyAlignment="1">
      <alignment horizontal="left" vertical="center"/>
    </xf>
    <xf numFmtId="178" fontId="160" fillId="0" borderId="0" xfId="0" applyNumberFormat="1" applyFont="1" applyAlignment="1">
      <alignment horizontal="left"/>
    </xf>
    <xf numFmtId="180" fontId="160" fillId="0" borderId="0" xfId="14" applyNumberFormat="1" applyFont="1" applyAlignment="1">
      <alignment horizontal="left" vertical="center"/>
    </xf>
    <xf numFmtId="168" fontId="160" fillId="0" borderId="0" xfId="0" applyNumberFormat="1" applyFont="1" applyAlignment="1">
      <alignment horizontal="left"/>
    </xf>
    <xf numFmtId="0" fontId="162" fillId="0" borderId="0" xfId="0" applyFont="1" applyAlignment="1">
      <alignment horizontal="left" indent="1"/>
    </xf>
    <xf numFmtId="178" fontId="160" fillId="0" borderId="0" xfId="15" applyNumberFormat="1" applyFont="1" applyBorder="1" applyAlignment="1">
      <alignment horizontal="left"/>
    </xf>
    <xf numFmtId="10" fontId="164" fillId="0" borderId="0" xfId="0" applyNumberFormat="1" applyFont="1" applyAlignment="1">
      <alignment horizontal="left"/>
    </xf>
    <xf numFmtId="177" fontId="160" fillId="0" borderId="0" xfId="15" applyNumberFormat="1" applyFont="1" applyBorder="1" applyAlignment="1">
      <alignment horizontal="left"/>
    </xf>
    <xf numFmtId="0" fontId="163" fillId="0" borderId="0" xfId="0" applyFont="1"/>
    <xf numFmtId="0" fontId="165" fillId="0" borderId="0" xfId="0" applyFont="1"/>
    <xf numFmtId="0" fontId="164" fillId="0" borderId="0" xfId="0" applyFont="1"/>
    <xf numFmtId="0" fontId="166" fillId="0" borderId="0" xfId="0" applyFont="1"/>
    <xf numFmtId="0" fontId="167" fillId="0" borderId="0" xfId="0" applyFont="1"/>
    <xf numFmtId="2" fontId="160" fillId="0" borderId="0" xfId="0" applyNumberFormat="1" applyFont="1" applyAlignment="1">
      <alignment horizontal="left"/>
    </xf>
    <xf numFmtId="0" fontId="161" fillId="0" borderId="0" xfId="0" applyFont="1" applyAlignment="1">
      <alignment vertical="center"/>
    </xf>
    <xf numFmtId="1" fontId="160" fillId="0" borderId="0" xfId="15" applyNumberFormat="1" applyFont="1" applyBorder="1" applyAlignment="1">
      <alignment horizontal="left"/>
    </xf>
    <xf numFmtId="2" fontId="137" fillId="0" borderId="0" xfId="0" applyNumberFormat="1" applyFont="1" applyAlignment="1">
      <alignment horizontal="left"/>
    </xf>
    <xf numFmtId="0" fontId="168" fillId="8" borderId="144" xfId="0" applyFont="1" applyFill="1" applyBorder="1" applyAlignment="1">
      <alignment horizontal="center" vertical="center"/>
    </xf>
    <xf numFmtId="1" fontId="161" fillId="0" borderId="144" xfId="0" applyNumberFormat="1" applyFont="1" applyBorder="1" applyAlignment="1">
      <alignment horizontal="center" vertical="center"/>
    </xf>
    <xf numFmtId="1" fontId="160" fillId="0" borderId="0" xfId="0" applyNumberFormat="1" applyFont="1" applyAlignment="1">
      <alignment horizontal="left"/>
    </xf>
    <xf numFmtId="0" fontId="0" fillId="6" borderId="64" xfId="0" applyFill="1" applyBorder="1"/>
    <xf numFmtId="0" fontId="0" fillId="0" borderId="17" xfId="0" applyBorder="1" applyProtection="1">
      <protection locked="0"/>
    </xf>
    <xf numFmtId="0" fontId="0" fillId="0" borderId="6" xfId="0" applyBorder="1" applyProtection="1">
      <protection locked="0"/>
    </xf>
    <xf numFmtId="0" fontId="0" fillId="6" borderId="65" xfId="0" applyFill="1" applyBorder="1"/>
    <xf numFmtId="0" fontId="0" fillId="6" borderId="66" xfId="0" applyFill="1" applyBorder="1"/>
    <xf numFmtId="0" fontId="0" fillId="21" borderId="87" xfId="0" applyFill="1" applyBorder="1"/>
    <xf numFmtId="0" fontId="0" fillId="0" borderId="34" xfId="0" applyBorder="1"/>
    <xf numFmtId="0" fontId="0" fillId="21" borderId="66" xfId="0" applyFill="1" applyBorder="1"/>
    <xf numFmtId="0" fontId="0" fillId="0" borderId="35" xfId="0" applyBorder="1"/>
    <xf numFmtId="0" fontId="0" fillId="23" borderId="87" xfId="0" applyFill="1" applyBorder="1"/>
    <xf numFmtId="0" fontId="0" fillId="23" borderId="66" xfId="0" applyFill="1" applyBorder="1"/>
    <xf numFmtId="0" fontId="0" fillId="79" borderId="68" xfId="0" applyFill="1" applyBorder="1"/>
    <xf numFmtId="0" fontId="0" fillId="79" borderId="79" xfId="0" applyFill="1" applyBorder="1"/>
    <xf numFmtId="0" fontId="0" fillId="79" borderId="103" xfId="0" applyFill="1" applyBorder="1"/>
    <xf numFmtId="0" fontId="0" fillId="80" borderId="64" xfId="0" applyFill="1" applyBorder="1"/>
    <xf numFmtId="0" fontId="0" fillId="80" borderId="65" xfId="0" applyFill="1" applyBorder="1"/>
    <xf numFmtId="0" fontId="0" fillId="80" borderId="104" xfId="0" applyFill="1" applyBorder="1"/>
    <xf numFmtId="0" fontId="0" fillId="8" borderId="67" xfId="0" applyFill="1" applyBorder="1"/>
    <xf numFmtId="0" fontId="0" fillId="8" borderId="79" xfId="0" applyFill="1" applyBorder="1"/>
    <xf numFmtId="0" fontId="39" fillId="0" borderId="1" xfId="0" applyFont="1" applyBorder="1"/>
    <xf numFmtId="0" fontId="40" fillId="23" borderId="2" xfId="0" applyFont="1" applyFill="1" applyBorder="1" applyAlignment="1">
      <alignment horizontal="center" vertical="center"/>
    </xf>
    <xf numFmtId="0" fontId="40" fillId="23" borderId="1" xfId="0" applyFont="1" applyFill="1" applyBorder="1" applyAlignment="1">
      <alignment horizontal="center" vertical="center"/>
    </xf>
    <xf numFmtId="0" fontId="171" fillId="0" borderId="10" xfId="0" applyFont="1" applyBorder="1" applyAlignment="1">
      <alignment vertical="center"/>
    </xf>
    <xf numFmtId="181" fontId="0" fillId="0" borderId="1" xfId="0" applyNumberFormat="1" applyBorder="1"/>
    <xf numFmtId="0" fontId="171" fillId="82" borderId="11" xfId="0" applyFont="1" applyFill="1" applyBorder="1" applyAlignment="1">
      <alignment vertical="center"/>
    </xf>
    <xf numFmtId="0" fontId="171" fillId="82" borderId="11" xfId="0" applyFont="1" applyFill="1" applyBorder="1" applyAlignment="1">
      <alignment horizontal="center" vertical="center"/>
    </xf>
    <xf numFmtId="0" fontId="171" fillId="0" borderId="11" xfId="0" applyFont="1" applyBorder="1" applyAlignment="1">
      <alignment vertical="center"/>
    </xf>
    <xf numFmtId="0" fontId="171" fillId="0" borderId="11" xfId="0" applyFont="1" applyBorder="1" applyAlignment="1">
      <alignment horizontal="center" vertical="center"/>
    </xf>
    <xf numFmtId="0" fontId="173" fillId="18" borderId="1" xfId="0" applyFont="1" applyFill="1" applyBorder="1" applyAlignment="1">
      <alignment horizontal="center" vertical="center"/>
    </xf>
    <xf numFmtId="0" fontId="174" fillId="23" borderId="43" xfId="0" applyFont="1" applyFill="1" applyBorder="1" applyAlignment="1">
      <alignment vertical="center"/>
    </xf>
    <xf numFmtId="0" fontId="174" fillId="23" borderId="21" xfId="0" applyFont="1" applyFill="1" applyBorder="1" applyAlignment="1">
      <alignment vertical="center"/>
    </xf>
    <xf numFmtId="0" fontId="151" fillId="0" borderId="49" xfId="0" applyFont="1" applyBorder="1" applyAlignment="1">
      <alignment vertical="center"/>
    </xf>
    <xf numFmtId="0" fontId="151" fillId="0" borderId="11" xfId="0" applyFont="1" applyBorder="1" applyAlignment="1">
      <alignment vertical="center"/>
    </xf>
    <xf numFmtId="49" fontId="39" fillId="0" borderId="43" xfId="0" applyNumberFormat="1" applyFont="1" applyBorder="1" applyAlignment="1">
      <alignment horizontal="center" vertical="center"/>
    </xf>
    <xf numFmtId="0" fontId="39" fillId="0" borderId="43" xfId="0" applyFont="1" applyBorder="1" applyAlignment="1">
      <alignment horizontal="center"/>
    </xf>
    <xf numFmtId="0" fontId="1" fillId="0" borderId="64" xfId="0" applyFont="1" applyBorder="1" applyAlignment="1">
      <alignment horizontal="center"/>
    </xf>
    <xf numFmtId="0" fontId="1" fillId="0" borderId="87" xfId="0" applyFont="1" applyBorder="1" applyAlignment="1">
      <alignment horizontal="center"/>
    </xf>
    <xf numFmtId="0" fontId="60" fillId="0" borderId="65" xfId="0" applyFont="1" applyBorder="1" applyAlignment="1">
      <alignment horizontal="center"/>
    </xf>
    <xf numFmtId="0" fontId="40" fillId="23" borderId="12" xfId="0" applyFont="1" applyFill="1" applyBorder="1"/>
    <xf numFmtId="0" fontId="40" fillId="23" borderId="24" xfId="0" applyFont="1" applyFill="1" applyBorder="1"/>
    <xf numFmtId="0" fontId="40" fillId="23" borderId="43" xfId="0" applyFont="1" applyFill="1" applyBorder="1"/>
    <xf numFmtId="0" fontId="40" fillId="23" borderId="1" xfId="0" applyFont="1" applyFill="1" applyBorder="1"/>
    <xf numFmtId="0" fontId="176" fillId="0" borderId="4" xfId="0" applyFont="1" applyBorder="1" applyAlignment="1">
      <alignment horizontal="center" vertical="center"/>
    </xf>
    <xf numFmtId="0" fontId="0" fillId="0" borderId="5" xfId="0" applyBorder="1"/>
    <xf numFmtId="0" fontId="39" fillId="0" borderId="6" xfId="0" applyFont="1" applyBorder="1" applyAlignment="1">
      <alignment horizontal="center"/>
    </xf>
    <xf numFmtId="0" fontId="0" fillId="0" borderId="21" xfId="0" applyBorder="1"/>
    <xf numFmtId="0" fontId="176" fillId="0" borderId="7" xfId="0" applyFont="1" applyBorder="1" applyAlignment="1">
      <alignment horizontal="center" vertical="center"/>
    </xf>
    <xf numFmtId="0" fontId="39" fillId="0" borderId="8" xfId="0" applyFont="1" applyBorder="1" applyAlignment="1">
      <alignment horizontal="center"/>
    </xf>
    <xf numFmtId="0" fontId="1" fillId="0" borderId="65" xfId="0" applyFont="1" applyBorder="1" applyAlignment="1">
      <alignment horizontal="center"/>
    </xf>
    <xf numFmtId="0" fontId="176" fillId="0" borderId="26" xfId="0" applyFont="1" applyBorder="1" applyAlignment="1">
      <alignment horizontal="center" vertical="center"/>
    </xf>
    <xf numFmtId="0" fontId="0" fillId="0" borderId="27" xfId="0" applyBorder="1"/>
    <xf numFmtId="0" fontId="39" fillId="0" borderId="28" xfId="0" applyFont="1" applyBorder="1" applyAlignment="1">
      <alignment horizontal="center"/>
    </xf>
    <xf numFmtId="0" fontId="60" fillId="0" borderId="66" xfId="0" applyFont="1" applyBorder="1" applyAlignment="1">
      <alignment horizontal="center"/>
    </xf>
    <xf numFmtId="0" fontId="125" fillId="0" borderId="43" xfId="0" applyFont="1" applyBorder="1"/>
    <xf numFmtId="0" fontId="95" fillId="0" borderId="0" xfId="0" applyFont="1"/>
    <xf numFmtId="0" fontId="151" fillId="23" borderId="12" xfId="0" applyFont="1" applyFill="1" applyBorder="1" applyAlignment="1">
      <alignment vertical="center" wrapText="1"/>
    </xf>
    <xf numFmtId="0" fontId="151" fillId="23" borderId="24" xfId="0" applyFont="1" applyFill="1" applyBorder="1" applyAlignment="1">
      <alignment vertical="center" wrapText="1"/>
    </xf>
    <xf numFmtId="0" fontId="151" fillId="23" borderId="10" xfId="0" applyFont="1" applyFill="1" applyBorder="1" applyAlignment="1">
      <alignment vertical="center" wrapText="1"/>
    </xf>
    <xf numFmtId="0" fontId="151" fillId="23" borderId="11" xfId="0" applyFont="1" applyFill="1" applyBorder="1" applyAlignment="1">
      <alignment vertical="center" wrapText="1"/>
    </xf>
    <xf numFmtId="0" fontId="174" fillId="23" borderId="10" xfId="0" applyFont="1" applyFill="1" applyBorder="1" applyAlignment="1">
      <alignment vertical="center" wrapText="1"/>
    </xf>
    <xf numFmtId="0" fontId="151" fillId="0" borderId="11" xfId="0" applyFont="1" applyBorder="1" applyAlignment="1">
      <alignment vertical="center" wrapText="1"/>
    </xf>
    <xf numFmtId="0" fontId="8" fillId="0" borderId="43" xfId="0" applyFont="1" applyBorder="1"/>
    <xf numFmtId="0" fontId="39" fillId="0" borderId="54" xfId="0" applyFont="1" applyBorder="1"/>
    <xf numFmtId="0" fontId="39" fillId="0" borderId="55" xfId="0" applyFont="1" applyBorder="1"/>
    <xf numFmtId="0" fontId="39" fillId="18" borderId="55" xfId="0" applyFont="1" applyFill="1" applyBorder="1"/>
    <xf numFmtId="0" fontId="39" fillId="0" borderId="56" xfId="0" applyFont="1" applyBorder="1"/>
    <xf numFmtId="0" fontId="0" fillId="0" borderId="4" xfId="0" applyBorder="1"/>
    <xf numFmtId="0" fontId="0" fillId="18" borderId="5" xfId="0" applyFill="1" applyBorder="1"/>
    <xf numFmtId="0" fontId="0" fillId="0" borderId="6" xfId="0" applyBorder="1"/>
    <xf numFmtId="0" fontId="0" fillId="0" borderId="7" xfId="0" applyBorder="1"/>
    <xf numFmtId="0" fontId="0" fillId="18" borderId="1" xfId="0" applyFill="1" applyBorder="1"/>
    <xf numFmtId="0" fontId="0" fillId="0" borderId="8" xfId="0" applyBorder="1"/>
    <xf numFmtId="0" fontId="40" fillId="23" borderId="43" xfId="0" applyFont="1" applyFill="1" applyBorder="1" applyAlignment="1">
      <alignment horizontal="center" vertical="center"/>
    </xf>
    <xf numFmtId="0" fontId="40" fillId="23" borderId="60" xfId="0" applyFont="1" applyFill="1" applyBorder="1" applyAlignment="1">
      <alignment horizontal="center" vertical="center"/>
    </xf>
    <xf numFmtId="0" fontId="40" fillId="23" borderId="55" xfId="0" applyFont="1" applyFill="1" applyBorder="1" applyAlignment="1">
      <alignment horizontal="center" vertical="center"/>
    </xf>
    <xf numFmtId="0" fontId="40" fillId="23" borderId="56" xfId="0" applyFont="1" applyFill="1" applyBorder="1" applyAlignment="1">
      <alignment horizontal="center" vertical="center"/>
    </xf>
    <xf numFmtId="0" fontId="39" fillId="23" borderId="64" xfId="0" applyFont="1" applyFill="1" applyBorder="1" applyAlignment="1">
      <alignment horizontal="center" vertical="center"/>
    </xf>
    <xf numFmtId="0" fontId="39" fillId="23" borderId="65" xfId="0" applyFont="1" applyFill="1" applyBorder="1" applyAlignment="1">
      <alignment horizontal="center" vertical="center"/>
    </xf>
    <xf numFmtId="0" fontId="0" fillId="14" borderId="7" xfId="0" applyFill="1" applyBorder="1"/>
    <xf numFmtId="0" fontId="0" fillId="14" borderId="26" xfId="0" applyFill="1" applyBorder="1"/>
    <xf numFmtId="0" fontId="0" fillId="14" borderId="27" xfId="0" applyFill="1" applyBorder="1"/>
    <xf numFmtId="0" fontId="0" fillId="14" borderId="28" xfId="0" applyFill="1" applyBorder="1"/>
    <xf numFmtId="0" fontId="39" fillId="18" borderId="1" xfId="0" applyFont="1" applyFill="1" applyBorder="1"/>
    <xf numFmtId="0" fontId="39" fillId="23" borderId="66" xfId="0" applyFont="1" applyFill="1" applyBorder="1" applyAlignment="1">
      <alignment horizontal="center" vertical="center"/>
    </xf>
    <xf numFmtId="0" fontId="0" fillId="0" borderId="28" xfId="0" applyBorder="1"/>
    <xf numFmtId="0" fontId="39" fillId="18" borderId="56" xfId="0" applyFont="1" applyFill="1" applyBorder="1"/>
    <xf numFmtId="0" fontId="0" fillId="0" borderId="29" xfId="0" applyBorder="1"/>
    <xf numFmtId="0" fontId="0" fillId="0" borderId="73" xfId="0" applyBorder="1"/>
    <xf numFmtId="0" fontId="178" fillId="0" borderId="0" xfId="0" applyFont="1"/>
    <xf numFmtId="0" fontId="179" fillId="18" borderId="1" xfId="0" applyFont="1" applyFill="1" applyBorder="1" applyAlignment="1">
      <alignment horizontal="center" vertical="center"/>
    </xf>
    <xf numFmtId="0" fontId="180" fillId="23" borderId="1" xfId="0" applyFont="1" applyFill="1" applyBorder="1"/>
    <xf numFmtId="0" fontId="160" fillId="0" borderId="1" xfId="0" applyFont="1" applyBorder="1"/>
    <xf numFmtId="0" fontId="179" fillId="0" borderId="0" xfId="0" applyFont="1"/>
    <xf numFmtId="0" fontId="179" fillId="0" borderId="1" xfId="0" applyFont="1" applyBorder="1" applyAlignment="1">
      <alignment horizontal="center"/>
    </xf>
    <xf numFmtId="1" fontId="178" fillId="0" borderId="1" xfId="0" applyNumberFormat="1" applyFont="1" applyBorder="1" applyAlignment="1">
      <alignment horizontal="center"/>
    </xf>
    <xf numFmtId="1" fontId="179" fillId="18" borderId="1" xfId="0" applyNumberFormat="1" applyFont="1" applyFill="1" applyBorder="1" applyAlignment="1">
      <alignment horizontal="center"/>
    </xf>
    <xf numFmtId="1" fontId="179" fillId="0" borderId="1" xfId="0" applyNumberFormat="1" applyFont="1" applyBorder="1" applyAlignment="1">
      <alignment horizontal="center"/>
    </xf>
    <xf numFmtId="1" fontId="178" fillId="0" borderId="0" xfId="0" applyNumberFormat="1" applyFont="1" applyAlignment="1">
      <alignment horizontal="center"/>
    </xf>
    <xf numFmtId="0" fontId="178" fillId="0" borderId="0" xfId="0" applyFont="1" applyAlignment="1">
      <alignment horizontal="center"/>
    </xf>
    <xf numFmtId="2" fontId="5" fillId="0" borderId="1" xfId="0" applyNumberFormat="1" applyFont="1" applyBorder="1" applyAlignment="1">
      <alignment horizontal="center"/>
    </xf>
    <xf numFmtId="0" fontId="178" fillId="0" borderId="1" xfId="0" applyFont="1" applyBorder="1" applyAlignment="1">
      <alignment horizontal="center"/>
    </xf>
    <xf numFmtId="0" fontId="0" fillId="40" borderId="67" xfId="0" applyFill="1"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40" borderId="79" xfId="0"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40" borderId="105" xfId="0" applyFill="1" applyBorder="1" applyAlignment="1">
      <alignment horizontal="center" vertical="center"/>
    </xf>
    <xf numFmtId="0" fontId="0" fillId="0" borderId="84" xfId="0" applyBorder="1" applyAlignment="1">
      <alignment horizontal="center" vertical="center"/>
    </xf>
    <xf numFmtId="0" fontId="0" fillId="0" borderId="75" xfId="0" applyBorder="1" applyAlignment="1">
      <alignment horizontal="center" vertical="center"/>
    </xf>
    <xf numFmtId="0" fontId="0" fillId="0" borderId="89" xfId="0" applyBorder="1" applyAlignment="1">
      <alignment horizontal="center" vertical="center"/>
    </xf>
    <xf numFmtId="0" fontId="179" fillId="0" borderId="1" xfId="0" applyFont="1" applyBorder="1"/>
    <xf numFmtId="168" fontId="0" fillId="0" borderId="4" xfId="0" applyNumberFormat="1" applyBorder="1" applyAlignment="1">
      <alignment horizontal="center" vertical="center"/>
    </xf>
    <xf numFmtId="168" fontId="0" fillId="0" borderId="5" xfId="0" applyNumberFormat="1" applyBorder="1" applyAlignment="1">
      <alignment horizontal="center" vertical="center"/>
    </xf>
    <xf numFmtId="168" fontId="0" fillId="0" borderId="6" xfId="0" applyNumberFormat="1" applyBorder="1" applyAlignment="1">
      <alignment horizontal="center" vertical="center"/>
    </xf>
    <xf numFmtId="168" fontId="0" fillId="0" borderId="7" xfId="0" applyNumberFormat="1" applyBorder="1" applyAlignment="1">
      <alignment horizontal="center" vertical="center"/>
    </xf>
    <xf numFmtId="168" fontId="0" fillId="0" borderId="1" xfId="0" applyNumberFormat="1" applyBorder="1" applyAlignment="1">
      <alignment horizontal="center" vertical="center"/>
    </xf>
    <xf numFmtId="168" fontId="0" fillId="0" borderId="8" xfId="0" applyNumberFormat="1" applyBorder="1" applyAlignment="1">
      <alignment horizontal="center" vertical="center"/>
    </xf>
    <xf numFmtId="0" fontId="0" fillId="40" borderId="103" xfId="0" applyFill="1" applyBorder="1" applyAlignment="1">
      <alignment horizontal="center" vertical="center"/>
    </xf>
    <xf numFmtId="168" fontId="0" fillId="0" borderId="26" xfId="0" applyNumberFormat="1" applyBorder="1" applyAlignment="1">
      <alignment horizontal="center" vertical="center"/>
    </xf>
    <xf numFmtId="168" fontId="0" fillId="0" borderId="27" xfId="0" applyNumberFormat="1" applyBorder="1" applyAlignment="1">
      <alignment horizontal="center" vertical="center"/>
    </xf>
    <xf numFmtId="168" fontId="0" fillId="0" borderId="28" xfId="0" applyNumberFormat="1" applyBorder="1" applyAlignment="1">
      <alignment horizontal="center" vertical="center"/>
    </xf>
    <xf numFmtId="0" fontId="0" fillId="40" borderId="64" xfId="0" applyFill="1" applyBorder="1" applyAlignment="1">
      <alignment horizontal="center" vertical="center"/>
    </xf>
    <xf numFmtId="0" fontId="0" fillId="0" borderId="29" xfId="0" applyBorder="1" applyAlignment="1">
      <alignment horizontal="center" vertical="center"/>
    </xf>
    <xf numFmtId="0" fontId="0" fillId="0" borderId="44" xfId="0" applyBorder="1" applyAlignment="1">
      <alignment horizontal="center" vertical="center"/>
    </xf>
    <xf numFmtId="0" fontId="0" fillId="0" borderId="123" xfId="0" applyBorder="1" applyAlignment="1">
      <alignment horizontal="center" vertical="center"/>
    </xf>
    <xf numFmtId="0" fontId="179" fillId="0" borderId="0" xfId="0" applyFont="1" applyAlignment="1">
      <alignment horizontal="center"/>
    </xf>
    <xf numFmtId="0" fontId="0" fillId="40" borderId="66" xfId="0" applyFill="1" applyBorder="1" applyAlignment="1">
      <alignment horizontal="center" vertical="center"/>
    </xf>
    <xf numFmtId="0" fontId="0" fillId="40" borderId="15" xfId="0" applyFill="1" applyBorder="1" applyAlignment="1">
      <alignment horizontal="center" vertical="center"/>
    </xf>
    <xf numFmtId="168" fontId="0" fillId="0" borderId="54" xfId="0" applyNumberFormat="1" applyBorder="1" applyAlignment="1">
      <alignment horizontal="center" vertical="center"/>
    </xf>
    <xf numFmtId="168" fontId="0" fillId="0" borderId="55" xfId="0" applyNumberFormat="1" applyBorder="1" applyAlignment="1">
      <alignment horizontal="center" vertical="center"/>
    </xf>
    <xf numFmtId="168" fontId="0" fillId="0" borderId="56" xfId="0" applyNumberFormat="1" applyBorder="1" applyAlignment="1">
      <alignment horizontal="center" vertical="center"/>
    </xf>
    <xf numFmtId="0" fontId="0" fillId="0" borderId="25" xfId="0" applyBorder="1" applyAlignment="1">
      <alignment horizontal="center" vertical="center"/>
    </xf>
    <xf numFmtId="0" fontId="0" fillId="0" borderId="34" xfId="0" applyBorder="1" applyAlignment="1">
      <alignment horizontal="center" vertical="center"/>
    </xf>
    <xf numFmtId="0" fontId="0" fillId="40" borderId="68" xfId="0" applyFill="1"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40" borderId="65" xfId="0" applyFill="1" applyBorder="1" applyAlignment="1">
      <alignment horizontal="center" vertical="center"/>
    </xf>
    <xf numFmtId="0" fontId="0" fillId="40" borderId="104" xfId="0" applyFill="1" applyBorder="1" applyAlignment="1">
      <alignment horizontal="center" vertical="center"/>
    </xf>
    <xf numFmtId="0" fontId="0" fillId="0" borderId="99" xfId="0" applyBorder="1" applyAlignment="1">
      <alignment horizontal="center" vertical="center"/>
    </xf>
    <xf numFmtId="0" fontId="0" fillId="0" borderId="147" xfId="0" applyBorder="1" applyAlignment="1">
      <alignment horizontal="center" vertical="center"/>
    </xf>
    <xf numFmtId="0" fontId="0" fillId="40" borderId="43" xfId="0" applyFill="1" applyBorder="1" applyAlignment="1">
      <alignment horizontal="center" vertical="center"/>
    </xf>
    <xf numFmtId="0" fontId="0" fillId="0" borderId="60" xfId="0" applyBorder="1" applyAlignment="1">
      <alignment horizontal="center" vertical="center"/>
    </xf>
    <xf numFmtId="0" fontId="0" fillId="0" borderId="21" xfId="0" applyBorder="1" applyAlignment="1">
      <alignment horizontal="center" vertical="center"/>
    </xf>
    <xf numFmtId="0" fontId="0" fillId="8" borderId="64" xfId="0" applyFill="1" applyBorder="1" applyAlignment="1">
      <alignment horizontal="center" vertical="center"/>
    </xf>
    <xf numFmtId="0" fontId="0" fillId="8" borderId="65" xfId="0" applyFill="1" applyBorder="1" applyAlignment="1">
      <alignment horizontal="center" vertical="center"/>
    </xf>
    <xf numFmtId="0" fontId="0" fillId="0" borderId="18" xfId="0" applyBorder="1" applyAlignment="1">
      <alignment horizontal="center" vertical="center"/>
    </xf>
    <xf numFmtId="0" fontId="0" fillId="0" borderId="41" xfId="0" applyBorder="1" applyAlignment="1">
      <alignment horizontal="center" vertical="center"/>
    </xf>
    <xf numFmtId="1" fontId="0" fillId="0" borderId="7" xfId="0" applyNumberFormat="1" applyBorder="1" applyAlignment="1">
      <alignment horizontal="center" vertical="center"/>
    </xf>
    <xf numFmtId="1" fontId="0" fillId="0" borderId="1" xfId="0" applyNumberFormat="1" applyBorder="1" applyAlignment="1">
      <alignment horizontal="center" vertical="center"/>
    </xf>
    <xf numFmtId="1" fontId="0" fillId="0" borderId="8" xfId="0" applyNumberFormat="1" applyBorder="1" applyAlignment="1">
      <alignment horizontal="center" vertical="center"/>
    </xf>
    <xf numFmtId="0" fontId="0" fillId="8" borderId="65" xfId="0" applyFill="1" applyBorder="1"/>
    <xf numFmtId="0" fontId="0" fillId="0" borderId="7" xfId="0" applyBorder="1" applyAlignment="1">
      <alignment horizontal="right"/>
    </xf>
    <xf numFmtId="0" fontId="0" fillId="0" borderId="1" xfId="0" applyBorder="1" applyAlignment="1">
      <alignment horizontal="right"/>
    </xf>
    <xf numFmtId="0" fontId="0" fillId="0" borderId="8" xfId="0" applyBorder="1" applyAlignment="1">
      <alignment horizontal="right"/>
    </xf>
    <xf numFmtId="0" fontId="0" fillId="8" borderId="104" xfId="0" applyFill="1" applyBorder="1"/>
    <xf numFmtId="0" fontId="0" fillId="0" borderId="84" xfId="0" applyBorder="1" applyAlignment="1">
      <alignment horizontal="right"/>
    </xf>
    <xf numFmtId="0" fontId="0" fillId="0" borderId="75" xfId="0" applyBorder="1" applyAlignment="1">
      <alignment horizontal="right"/>
    </xf>
    <xf numFmtId="0" fontId="0" fillId="0" borderId="89" xfId="0" applyBorder="1" applyAlignment="1">
      <alignment horizontal="right"/>
    </xf>
    <xf numFmtId="0" fontId="0" fillId="8" borderId="19" xfId="0" applyFill="1" applyBorder="1"/>
    <xf numFmtId="1" fontId="0" fillId="0" borderId="54" xfId="0" applyNumberFormat="1" applyBorder="1" applyAlignment="1">
      <alignment horizontal="right"/>
    </xf>
    <xf numFmtId="1" fontId="0" fillId="0" borderId="55" xfId="0" applyNumberFormat="1" applyBorder="1" applyAlignment="1">
      <alignment horizontal="right"/>
    </xf>
    <xf numFmtId="1" fontId="0" fillId="0" borderId="56" xfId="0" applyNumberFormat="1" applyBorder="1" applyAlignment="1">
      <alignment horizontal="right"/>
    </xf>
    <xf numFmtId="0" fontId="178" fillId="15" borderId="64" xfId="0" applyFont="1" applyFill="1" applyBorder="1"/>
    <xf numFmtId="0" fontId="178" fillId="0" borderId="44" xfId="0" applyFont="1" applyBorder="1" applyAlignment="1">
      <alignment horizontal="right"/>
    </xf>
    <xf numFmtId="0" fontId="178" fillId="0" borderId="25" xfId="0" applyFont="1" applyBorder="1" applyAlignment="1">
      <alignment horizontal="right"/>
    </xf>
    <xf numFmtId="0" fontId="178" fillId="0" borderId="34" xfId="0" applyFont="1" applyBorder="1" applyAlignment="1">
      <alignment horizontal="right"/>
    </xf>
    <xf numFmtId="0" fontId="178" fillId="15" borderId="65" xfId="0" applyFont="1" applyFill="1" applyBorder="1"/>
    <xf numFmtId="0" fontId="178" fillId="0" borderId="18" xfId="0" applyFont="1" applyBorder="1" applyAlignment="1">
      <alignment horizontal="right"/>
    </xf>
    <xf numFmtId="0" fontId="178" fillId="0" borderId="1" xfId="0" applyFont="1" applyBorder="1" applyAlignment="1">
      <alignment horizontal="right"/>
    </xf>
    <xf numFmtId="0" fontId="178" fillId="0" borderId="8" xfId="0" applyFont="1" applyBorder="1" applyAlignment="1">
      <alignment horizontal="right"/>
    </xf>
    <xf numFmtId="0" fontId="178" fillId="0" borderId="41" xfId="0" applyFont="1" applyBorder="1" applyAlignment="1">
      <alignment horizontal="right"/>
    </xf>
    <xf numFmtId="0" fontId="178" fillId="15" borderId="66" xfId="0" applyFont="1" applyFill="1" applyBorder="1"/>
    <xf numFmtId="0" fontId="178" fillId="0" borderId="35" xfId="0" applyFont="1" applyBorder="1" applyAlignment="1">
      <alignment horizontal="right"/>
    </xf>
    <xf numFmtId="0" fontId="178" fillId="0" borderId="27" xfId="0" applyFont="1" applyBorder="1" applyAlignment="1">
      <alignment horizontal="right"/>
    </xf>
    <xf numFmtId="0" fontId="178" fillId="0" borderId="28" xfId="0" applyFont="1" applyBorder="1" applyAlignment="1">
      <alignment horizontal="right"/>
    </xf>
    <xf numFmtId="0" fontId="178" fillId="0" borderId="17" xfId="0" applyFont="1" applyBorder="1" applyAlignment="1">
      <alignment horizontal="right"/>
    </xf>
    <xf numFmtId="0" fontId="178" fillId="0" borderId="39" xfId="0" applyFont="1" applyBorder="1" applyAlignment="1">
      <alignment horizontal="right"/>
    </xf>
    <xf numFmtId="0" fontId="178" fillId="83" borderId="67" xfId="0" applyFont="1" applyFill="1" applyBorder="1"/>
    <xf numFmtId="0" fontId="178" fillId="0" borderId="4" xfId="0" applyFont="1" applyBorder="1" applyAlignment="1">
      <alignment horizontal="right"/>
    </xf>
    <xf numFmtId="0" fontId="178" fillId="0" borderId="5" xfId="0" applyFont="1" applyBorder="1" applyAlignment="1">
      <alignment horizontal="right"/>
    </xf>
    <xf numFmtId="0" fontId="178" fillId="0" borderId="6" xfId="0" applyFont="1" applyBorder="1" applyAlignment="1">
      <alignment horizontal="right"/>
    </xf>
    <xf numFmtId="0" fontId="178" fillId="83" borderId="79" xfId="0" applyFont="1" applyFill="1" applyBorder="1"/>
    <xf numFmtId="0" fontId="178" fillId="0" borderId="7" xfId="0" applyFont="1" applyBorder="1" applyAlignment="1">
      <alignment horizontal="right"/>
    </xf>
    <xf numFmtId="0" fontId="178" fillId="83" borderId="103" xfId="0" applyFont="1" applyFill="1" applyBorder="1"/>
    <xf numFmtId="0" fontId="178" fillId="0" borderId="26" xfId="0" applyFont="1" applyBorder="1" applyAlignment="1">
      <alignment horizontal="right"/>
    </xf>
    <xf numFmtId="0" fontId="0" fillId="12" borderId="64" xfId="0" applyFill="1" applyBorder="1"/>
    <xf numFmtId="1" fontId="178" fillId="0" borderId="18" xfId="0" applyNumberFormat="1" applyFont="1" applyBorder="1" applyAlignment="1">
      <alignment horizontal="right"/>
    </xf>
    <xf numFmtId="1" fontId="178" fillId="0" borderId="1" xfId="0" applyNumberFormat="1" applyFont="1" applyBorder="1" applyAlignment="1">
      <alignment horizontal="right"/>
    </xf>
    <xf numFmtId="1" fontId="178" fillId="0" borderId="8" xfId="0" applyNumberFormat="1" applyFont="1" applyBorder="1" applyAlignment="1">
      <alignment horizontal="right"/>
    </xf>
    <xf numFmtId="0" fontId="0" fillId="12" borderId="65" xfId="0" applyFill="1" applyBorder="1"/>
    <xf numFmtId="0" fontId="0" fillId="12" borderId="66" xfId="0" applyFill="1" applyBorder="1"/>
    <xf numFmtId="1" fontId="178" fillId="0" borderId="99" xfId="0" applyNumberFormat="1" applyFont="1" applyBorder="1" applyAlignment="1">
      <alignment horizontal="right"/>
    </xf>
    <xf numFmtId="1" fontId="178" fillId="0" borderId="75" xfId="0" applyNumberFormat="1" applyFont="1" applyBorder="1" applyAlignment="1">
      <alignment horizontal="right"/>
    </xf>
    <xf numFmtId="1" fontId="178" fillId="0" borderId="89" xfId="0" applyNumberFormat="1" applyFont="1" applyBorder="1" applyAlignment="1">
      <alignment horizontal="right"/>
    </xf>
    <xf numFmtId="2" fontId="178" fillId="0" borderId="54" xfId="0" applyNumberFormat="1" applyFont="1" applyBorder="1" applyAlignment="1">
      <alignment horizontal="right"/>
    </xf>
    <xf numFmtId="2" fontId="178" fillId="0" borderId="55" xfId="0" applyNumberFormat="1" applyFont="1" applyBorder="1" applyAlignment="1">
      <alignment horizontal="right"/>
    </xf>
    <xf numFmtId="2" fontId="178" fillId="0" borderId="56" xfId="0" applyNumberFormat="1" applyFont="1" applyBorder="1" applyAlignment="1">
      <alignment horizontal="right"/>
    </xf>
    <xf numFmtId="0" fontId="178" fillId="0" borderId="0" xfId="0" applyFont="1" applyAlignment="1">
      <alignment horizontal="right"/>
    </xf>
    <xf numFmtId="0" fontId="0" fillId="0" borderId="1" xfId="0" quotePrefix="1" applyBorder="1" applyAlignment="1">
      <alignment horizontal="center"/>
    </xf>
    <xf numFmtId="0" fontId="8" fillId="0" borderId="1" xfId="16" quotePrefix="1" applyBorder="1" applyAlignment="1">
      <alignment horizontal="center"/>
    </xf>
    <xf numFmtId="1" fontId="0" fillId="0" borderId="1" xfId="0" applyNumberFormat="1" applyBorder="1" applyAlignment="1">
      <alignment horizontal="center"/>
    </xf>
    <xf numFmtId="168" fontId="0" fillId="0" borderId="1" xfId="0" applyNumberFormat="1" applyBorder="1" applyAlignment="1">
      <alignment horizontal="center"/>
    </xf>
    <xf numFmtId="0" fontId="8" fillId="0" borderId="1" xfId="16" applyBorder="1" applyAlignment="1">
      <alignment horizontal="center"/>
    </xf>
    <xf numFmtId="0" fontId="8" fillId="0" borderId="1" xfId="0" quotePrefix="1" applyFont="1" applyBorder="1" applyAlignment="1">
      <alignment horizontal="center"/>
    </xf>
    <xf numFmtId="1" fontId="183" fillId="0" borderId="1" xfId="13" applyNumberFormat="1" applyFont="1" applyBorder="1" applyAlignment="1">
      <alignment horizontal="center"/>
    </xf>
    <xf numFmtId="1" fontId="184" fillId="0" borderId="1" xfId="13" applyNumberFormat="1" applyFont="1" applyBorder="1" applyAlignment="1">
      <alignment horizontal="center"/>
    </xf>
    <xf numFmtId="49" fontId="131" fillId="0" borderId="0" xfId="0" applyNumberFormat="1" applyFont="1" applyAlignment="1">
      <alignment vertical="center"/>
    </xf>
    <xf numFmtId="49" fontId="23" fillId="0" borderId="0" xfId="0" applyNumberFormat="1" applyFont="1" applyAlignment="1">
      <alignment vertical="center"/>
    </xf>
    <xf numFmtId="49" fontId="97" fillId="0" borderId="0" xfId="0" applyNumberFormat="1" applyFont="1" applyAlignment="1">
      <alignment vertical="center"/>
    </xf>
    <xf numFmtId="49" fontId="57" fillId="0" borderId="0" xfId="0" applyNumberFormat="1" applyFont="1" applyAlignment="1">
      <alignment vertical="center"/>
    </xf>
    <xf numFmtId="49" fontId="94" fillId="0" borderId="0" xfId="0" applyNumberFormat="1" applyFont="1" applyAlignment="1">
      <alignment vertical="center"/>
    </xf>
    <xf numFmtId="49" fontId="7" fillId="0" borderId="0" xfId="0" applyNumberFormat="1" applyFont="1" applyAlignment="1">
      <alignment horizontal="left" vertical="center"/>
    </xf>
    <xf numFmtId="49" fontId="97" fillId="0" borderId="0" xfId="0" applyNumberFormat="1" applyFont="1" applyAlignment="1">
      <alignment horizontal="left" vertical="center"/>
    </xf>
    <xf numFmtId="49" fontId="57" fillId="0" borderId="0" xfId="0" applyNumberFormat="1" applyFont="1" applyAlignment="1">
      <alignment horizontal="left" vertical="center"/>
    </xf>
    <xf numFmtId="49" fontId="94" fillId="0" borderId="0" xfId="0" applyNumberFormat="1" applyFont="1" applyAlignment="1">
      <alignment horizontal="left" vertical="center"/>
    </xf>
    <xf numFmtId="49" fontId="10" fillId="0" borderId="0" xfId="0" applyNumberFormat="1" applyFont="1" applyAlignment="1">
      <alignment horizontal="left" vertical="center"/>
    </xf>
    <xf numFmtId="49" fontId="135" fillId="0" borderId="0" xfId="0" applyNumberFormat="1" applyFont="1" applyAlignment="1">
      <alignment vertical="center"/>
    </xf>
    <xf numFmtId="49" fontId="5" fillId="0" borderId="0" xfId="0" applyNumberFormat="1" applyFont="1" applyAlignment="1">
      <alignment horizontal="left" vertical="center"/>
    </xf>
    <xf numFmtId="49" fontId="131" fillId="0" borderId="0" xfId="0" applyNumberFormat="1" applyFont="1" applyAlignment="1">
      <alignment horizontal="left" vertical="center"/>
    </xf>
    <xf numFmtId="49" fontId="27" fillId="0" borderId="0" xfId="0" applyNumberFormat="1" applyFont="1" applyAlignment="1">
      <alignment horizontal="left" vertical="center"/>
    </xf>
    <xf numFmtId="49" fontId="44" fillId="0" borderId="0" xfId="0" applyNumberFormat="1" applyFont="1" applyAlignment="1">
      <alignment horizontal="left" vertical="center"/>
    </xf>
    <xf numFmtId="49" fontId="99" fillId="0" borderId="0" xfId="0" applyNumberFormat="1" applyFont="1" applyAlignment="1">
      <alignment horizontal="left" vertical="center"/>
    </xf>
    <xf numFmtId="49" fontId="17" fillId="0" borderId="0" xfId="0" applyNumberFormat="1" applyFont="1" applyAlignment="1">
      <alignment horizontal="left" vertical="center"/>
    </xf>
    <xf numFmtId="49" fontId="44" fillId="0" borderId="0" xfId="0" applyNumberFormat="1" applyFont="1" applyAlignment="1">
      <alignment vertical="center"/>
    </xf>
    <xf numFmtId="49" fontId="10" fillId="0" borderId="0" xfId="0" applyNumberFormat="1" applyFont="1" applyAlignment="1">
      <alignment vertical="center"/>
    </xf>
    <xf numFmtId="49" fontId="69" fillId="0" borderId="0" xfId="0" applyNumberFormat="1" applyFont="1" applyAlignment="1">
      <alignment horizontal="left" vertical="center"/>
    </xf>
    <xf numFmtId="49" fontId="69" fillId="0" borderId="0" xfId="0" applyNumberFormat="1" applyFont="1" applyAlignment="1">
      <alignment vertical="center"/>
    </xf>
    <xf numFmtId="49" fontId="30" fillId="0" borderId="0" xfId="0" applyNumberFormat="1" applyFont="1" applyAlignment="1">
      <alignment horizontal="left" vertical="center"/>
    </xf>
    <xf numFmtId="0" fontId="39" fillId="23" borderId="1" xfId="0" applyFont="1" applyFill="1" applyBorder="1"/>
    <xf numFmtId="0" fontId="5" fillId="0" borderId="0" xfId="0" applyFont="1" applyAlignment="1">
      <alignment horizontal="left" vertical="top"/>
    </xf>
    <xf numFmtId="2" fontId="0" fillId="0" borderId="0" xfId="0" applyNumberFormat="1"/>
    <xf numFmtId="0" fontId="185" fillId="0" borderId="0" xfId="0" applyFont="1"/>
    <xf numFmtId="0" fontId="186" fillId="0" borderId="140" xfId="0" applyFont="1" applyBorder="1"/>
    <xf numFmtId="0" fontId="187" fillId="0" borderId="0" xfId="0" applyFont="1"/>
    <xf numFmtId="0" fontId="39" fillId="0" borderId="0" xfId="0" applyFont="1" applyAlignment="1">
      <alignment horizontal="left" wrapText="1"/>
    </xf>
    <xf numFmtId="0" fontId="39" fillId="0" borderId="148" xfId="0" applyFont="1" applyBorder="1"/>
    <xf numFmtId="0" fontId="0" fillId="0" borderId="148" xfId="0" applyBorder="1"/>
    <xf numFmtId="0" fontId="39" fillId="0" borderId="149" xfId="0" applyFont="1" applyBorder="1"/>
    <xf numFmtId="0" fontId="0" fillId="0" borderId="149" xfId="0" applyBorder="1"/>
    <xf numFmtId="0" fontId="0" fillId="0" borderId="0" xfId="0" applyAlignment="1">
      <alignment horizontal="center" vertical="center"/>
    </xf>
    <xf numFmtId="0" fontId="0" fillId="18" borderId="1" xfId="0" applyFill="1" applyBorder="1" applyAlignment="1">
      <alignment horizontal="center" vertical="center"/>
    </xf>
    <xf numFmtId="2" fontId="0" fillId="0" borderId="1" xfId="0" applyNumberFormat="1" applyBorder="1" applyAlignment="1">
      <alignment horizontal="center" vertical="center"/>
    </xf>
    <xf numFmtId="0" fontId="0" fillId="0" borderId="42" xfId="0" applyBorder="1" applyAlignment="1">
      <alignment horizontal="center" vertical="center"/>
    </xf>
    <xf numFmtId="0" fontId="39" fillId="0" borderId="150" xfId="0" applyFont="1" applyBorder="1"/>
    <xf numFmtId="0" fontId="0" fillId="0" borderId="150" xfId="0" applyBorder="1"/>
    <xf numFmtId="0" fontId="0" fillId="0" borderId="151" xfId="0" applyBorder="1"/>
    <xf numFmtId="0" fontId="0" fillId="0" borderId="58" xfId="0" applyBorder="1"/>
    <xf numFmtId="0" fontId="39" fillId="11" borderId="43" xfId="0" applyFont="1" applyFill="1" applyBorder="1"/>
    <xf numFmtId="0" fontId="39" fillId="11" borderId="0" xfId="0" applyFont="1" applyFill="1"/>
    <xf numFmtId="0" fontId="0" fillId="11" borderId="1" xfId="0" applyFill="1" applyBorder="1" applyAlignment="1">
      <alignment horizontal="center" vertical="center"/>
    </xf>
    <xf numFmtId="0" fontId="39" fillId="15" borderId="0" xfId="0" applyFont="1" applyFill="1"/>
    <xf numFmtId="181" fontId="0" fillId="0" borderId="1" xfId="0" applyNumberFormat="1" applyBorder="1" applyAlignment="1">
      <alignment horizontal="center"/>
    </xf>
    <xf numFmtId="0" fontId="39" fillId="0" borderId="0" xfId="0" applyFont="1"/>
    <xf numFmtId="0" fontId="0" fillId="0" borderId="1" xfId="0" applyBorder="1" applyAlignment="1">
      <alignment horizontal="left" vertical="center"/>
    </xf>
    <xf numFmtId="0" fontId="173" fillId="0" borderId="1" xfId="0" applyFont="1" applyBorder="1" applyAlignment="1">
      <alignment horizontal="center" vertical="center"/>
    </xf>
    <xf numFmtId="0" fontId="173" fillId="0" borderId="0" xfId="0" applyFont="1"/>
    <xf numFmtId="0" fontId="39" fillId="0" borderId="0" xfId="0" applyFont="1" applyAlignment="1">
      <alignment horizontal="center"/>
    </xf>
    <xf numFmtId="0" fontId="39" fillId="0" borderId="1" xfId="0" applyFont="1" applyBorder="1" applyAlignment="1">
      <alignment horizontal="center" vertical="center" wrapText="1"/>
    </xf>
    <xf numFmtId="2" fontId="0" fillId="0" borderId="2" xfId="0" applyNumberFormat="1" applyBorder="1" applyAlignment="1">
      <alignment horizontal="center" vertical="center"/>
    </xf>
    <xf numFmtId="0" fontId="0" fillId="0" borderId="0" xfId="0" applyAlignment="1">
      <alignment horizontal="left" vertical="center"/>
    </xf>
    <xf numFmtId="0" fontId="190" fillId="0" borderId="0" xfId="0" applyFont="1"/>
    <xf numFmtId="0" fontId="174" fillId="0" borderId="0" xfId="0" applyFont="1" applyAlignment="1">
      <alignment vertical="center"/>
    </xf>
    <xf numFmtId="0" fontId="79" fillId="85" borderId="152" xfId="0" applyFont="1" applyFill="1" applyBorder="1" applyAlignment="1">
      <alignment vertical="center"/>
    </xf>
    <xf numFmtId="0" fontId="79" fillId="85" borderId="152" xfId="0" applyFont="1" applyFill="1" applyBorder="1" applyAlignment="1">
      <alignment horizontal="center" vertical="center"/>
    </xf>
    <xf numFmtId="0" fontId="79" fillId="85" borderId="153" xfId="0" applyFont="1" applyFill="1" applyBorder="1" applyAlignment="1">
      <alignment horizontal="center" vertical="center"/>
    </xf>
    <xf numFmtId="0" fontId="56" fillId="86" borderId="154" xfId="0" applyFont="1" applyFill="1" applyBorder="1" applyAlignment="1">
      <alignment vertical="center"/>
    </xf>
    <xf numFmtId="0" fontId="56" fillId="86" borderId="155" xfId="0" applyFont="1" applyFill="1" applyBorder="1" applyAlignment="1">
      <alignment vertical="center"/>
    </xf>
    <xf numFmtId="0" fontId="56" fillId="65" borderId="154" xfId="0" applyFont="1" applyFill="1" applyBorder="1" applyAlignment="1">
      <alignment vertical="center"/>
    </xf>
    <xf numFmtId="0" fontId="56" fillId="65" borderId="155" xfId="0" applyFont="1" applyFill="1" applyBorder="1" applyAlignment="1">
      <alignment vertical="center"/>
    </xf>
    <xf numFmtId="0" fontId="56" fillId="65" borderId="156" xfId="0" applyFont="1" applyFill="1" applyBorder="1" applyAlignment="1">
      <alignment vertical="center"/>
    </xf>
    <xf numFmtId="0" fontId="56" fillId="65" borderId="0" xfId="0" applyFont="1" applyFill="1" applyAlignment="1">
      <alignment vertical="center"/>
    </xf>
    <xf numFmtId="0" fontId="79" fillId="85" borderId="152" xfId="0" applyFont="1" applyFill="1" applyBorder="1" applyAlignment="1">
      <alignment horizontal="center" vertical="center" wrapText="1"/>
    </xf>
    <xf numFmtId="0" fontId="0" fillId="40" borderId="67" xfId="0" applyFill="1" applyBorder="1"/>
    <xf numFmtId="0" fontId="0" fillId="40" borderId="79" xfId="0" applyFill="1" applyBorder="1"/>
    <xf numFmtId="0" fontId="0" fillId="8" borderId="65" xfId="0" applyFill="1" applyBorder="1" applyAlignment="1">
      <alignment horizontal="center"/>
    </xf>
    <xf numFmtId="0" fontId="0" fillId="0" borderId="65" xfId="0" applyBorder="1"/>
    <xf numFmtId="0" fontId="0" fillId="0" borderId="66" xfId="0" applyBorder="1"/>
    <xf numFmtId="0" fontId="0" fillId="0" borderId="87" xfId="0" applyBorder="1"/>
    <xf numFmtId="0" fontId="39" fillId="40" borderId="43" xfId="0" applyFont="1" applyFill="1" applyBorder="1"/>
    <xf numFmtId="0" fontId="39" fillId="40" borderId="2" xfId="0" applyFont="1" applyFill="1" applyBorder="1"/>
    <xf numFmtId="0" fontId="39" fillId="40" borderId="1" xfId="0" applyFont="1" applyFill="1" applyBorder="1"/>
    <xf numFmtId="0" fontId="0" fillId="40" borderId="1" xfId="0" applyFill="1" applyBorder="1"/>
    <xf numFmtId="0" fontId="127" fillId="0" borderId="89" xfId="0" applyFont="1" applyBorder="1" applyAlignment="1">
      <alignment horizontal="center" vertical="center"/>
    </xf>
    <xf numFmtId="3" fontId="191" fillId="0" borderId="109" xfId="0" applyNumberFormat="1" applyFont="1" applyBorder="1" applyAlignment="1">
      <alignment horizontal="center" vertical="top" shrinkToFit="1"/>
    </xf>
    <xf numFmtId="172" fontId="99" fillId="18" borderId="1" xfId="1" applyNumberFormat="1" applyFont="1" applyFill="1" applyBorder="1"/>
    <xf numFmtId="175" fontId="89" fillId="18" borderId="1" xfId="13" applyNumberFormat="1" applyFont="1" applyFill="1" applyBorder="1"/>
    <xf numFmtId="0" fontId="89" fillId="18" borderId="1" xfId="13" applyFont="1" applyFill="1" applyBorder="1"/>
    <xf numFmtId="164" fontId="89" fillId="18" borderId="1" xfId="13" applyNumberFormat="1" applyFont="1" applyFill="1" applyBorder="1"/>
    <xf numFmtId="175" fontId="89" fillId="18" borderId="2" xfId="13" applyNumberFormat="1" applyFont="1" applyFill="1" applyBorder="1"/>
    <xf numFmtId="0" fontId="89" fillId="18" borderId="25" xfId="13" applyFont="1" applyFill="1" applyBorder="1"/>
    <xf numFmtId="0" fontId="99" fillId="18" borderId="18" xfId="0" applyFont="1" applyFill="1" applyBorder="1"/>
    <xf numFmtId="3" fontId="126" fillId="0" borderId="40" xfId="0" applyNumberFormat="1" applyFont="1" applyBorder="1" applyAlignment="1">
      <alignment horizontal="center" vertical="center"/>
    </xf>
    <xf numFmtId="0" fontId="0" fillId="0" borderId="18"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41" xfId="0" applyBorder="1" applyAlignment="1" applyProtection="1">
      <alignment horizontal="center"/>
      <protection locked="0"/>
    </xf>
    <xf numFmtId="0" fontId="39" fillId="0" borderId="43" xfId="0" applyFont="1" applyBorder="1" applyProtection="1">
      <protection locked="0"/>
    </xf>
    <xf numFmtId="0" fontId="171" fillId="0" borderId="67" xfId="0" applyFont="1" applyBorder="1" applyAlignment="1" applyProtection="1">
      <alignment vertical="center"/>
      <protection locked="0"/>
    </xf>
    <xf numFmtId="0" fontId="0" fillId="0" borderId="87" xfId="0" applyBorder="1" applyProtection="1">
      <protection locked="0"/>
    </xf>
    <xf numFmtId="0" fontId="171" fillId="0" borderId="79" xfId="0" applyFont="1" applyBorder="1" applyAlignment="1" applyProtection="1">
      <alignment vertical="center"/>
      <protection locked="0"/>
    </xf>
    <xf numFmtId="0" fontId="0" fillId="0" borderId="65" xfId="0" applyBorder="1" applyProtection="1">
      <protection locked="0"/>
    </xf>
    <xf numFmtId="180" fontId="0" fillId="0" borderId="18" xfId="14" applyNumberFormat="1" applyFont="1" applyBorder="1" applyAlignment="1" applyProtection="1">
      <alignment horizontal="center"/>
      <protection locked="0"/>
    </xf>
    <xf numFmtId="9" fontId="0" fillId="0" borderId="18" xfId="14" applyFont="1" applyBorder="1" applyAlignment="1" applyProtection="1">
      <alignment horizontal="center"/>
      <protection locked="0"/>
    </xf>
    <xf numFmtId="9" fontId="0" fillId="0" borderId="41" xfId="14" applyFont="1" applyBorder="1" applyAlignment="1" applyProtection="1">
      <alignment horizontal="center"/>
      <protection locked="0"/>
    </xf>
    <xf numFmtId="0" fontId="171" fillId="0" borderId="79" xfId="0" applyFont="1" applyBorder="1" applyAlignment="1" applyProtection="1">
      <alignment vertical="center" wrapText="1"/>
      <protection locked="0"/>
    </xf>
    <xf numFmtId="0" fontId="0" fillId="0" borderId="3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8" xfId="0" applyBorder="1" applyAlignment="1" applyProtection="1">
      <alignment horizontal="center"/>
      <protection locked="0"/>
    </xf>
    <xf numFmtId="0" fontId="171" fillId="0" borderId="105" xfId="0" applyFont="1" applyBorder="1" applyAlignment="1" applyProtection="1">
      <alignment vertical="center"/>
      <protection locked="0"/>
    </xf>
    <xf numFmtId="0" fontId="0" fillId="0" borderId="66" xfId="0" applyBorder="1" applyProtection="1">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0" borderId="6" xfId="0" applyBorder="1" applyAlignment="1" applyProtection="1">
      <alignment horizontal="center"/>
      <protection locked="0"/>
    </xf>
    <xf numFmtId="0" fontId="193" fillId="87" borderId="43" xfId="0" applyFont="1" applyFill="1" applyBorder="1" applyAlignment="1" applyProtection="1">
      <alignment horizontal="center" vertical="center" wrapText="1"/>
      <protection locked="0"/>
    </xf>
    <xf numFmtId="0" fontId="56" fillId="0" borderId="21" xfId="0" applyFont="1" applyBorder="1" applyAlignment="1" applyProtection="1">
      <alignment vertical="center"/>
      <protection locked="0"/>
    </xf>
    <xf numFmtId="0" fontId="0" fillId="0" borderId="7" xfId="0" applyBorder="1" applyAlignment="1" applyProtection="1">
      <alignment horizontal="center"/>
      <protection locked="0"/>
    </xf>
    <xf numFmtId="0" fontId="193" fillId="87" borderId="10" xfId="0" applyFont="1" applyFill="1" applyBorder="1" applyAlignment="1" applyProtection="1">
      <alignment horizontal="center" vertical="center" wrapText="1"/>
      <protection locked="0"/>
    </xf>
    <xf numFmtId="0" fontId="56" fillId="0" borderId="11" xfId="0" applyFont="1" applyBorder="1" applyAlignment="1" applyProtection="1">
      <alignment vertical="center"/>
      <protection locked="0"/>
    </xf>
    <xf numFmtId="0" fontId="0" fillId="40" borderId="105" xfId="0" applyFill="1" applyBorder="1"/>
    <xf numFmtId="0" fontId="0" fillId="0" borderId="26" xfId="0" applyBorder="1" applyAlignment="1" applyProtection="1">
      <alignment horizontal="center"/>
      <protection locked="0"/>
    </xf>
    <xf numFmtId="0" fontId="0" fillId="0" borderId="44" xfId="0" applyBorder="1" applyAlignment="1">
      <alignment horizontal="center"/>
    </xf>
    <xf numFmtId="0" fontId="0" fillId="0" borderId="25"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63" xfId="0" applyBorder="1" applyAlignment="1">
      <alignment horizontal="center"/>
    </xf>
    <xf numFmtId="0" fontId="0" fillId="0" borderId="44" xfId="0" applyBorder="1" applyAlignment="1" applyProtection="1">
      <alignment horizontal="center"/>
      <protection locked="0"/>
    </xf>
    <xf numFmtId="0" fontId="0" fillId="0" borderId="25"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99" xfId="0" applyBorder="1" applyAlignment="1" applyProtection="1">
      <alignment horizontal="center"/>
      <protection locked="0"/>
    </xf>
    <xf numFmtId="0" fontId="0" fillId="0" borderId="147" xfId="0" applyBorder="1" applyAlignment="1" applyProtection="1">
      <alignment horizontal="center"/>
      <protection locked="0"/>
    </xf>
    <xf numFmtId="0" fontId="192" fillId="15" borderId="67" xfId="0" applyFont="1" applyFill="1" applyBorder="1"/>
    <xf numFmtId="168" fontId="192" fillId="15" borderId="4" xfId="0" applyNumberFormat="1" applyFont="1" applyFill="1" applyBorder="1" applyAlignment="1">
      <alignment horizontal="center"/>
    </xf>
    <xf numFmtId="168" fontId="192" fillId="15" borderId="5" xfId="0" applyNumberFormat="1" applyFont="1" applyFill="1" applyBorder="1" applyAlignment="1">
      <alignment horizontal="center"/>
    </xf>
    <xf numFmtId="168" fontId="192" fillId="15" borderId="6" xfId="0" applyNumberFormat="1" applyFont="1" applyFill="1" applyBorder="1" applyAlignment="1">
      <alignment horizontal="center"/>
    </xf>
    <xf numFmtId="0" fontId="192" fillId="15" borderId="79" xfId="0" applyFont="1" applyFill="1" applyBorder="1"/>
    <xf numFmtId="2" fontId="192" fillId="15" borderId="7" xfId="0" applyNumberFormat="1" applyFont="1" applyFill="1" applyBorder="1" applyAlignment="1">
      <alignment horizontal="center"/>
    </xf>
    <xf numFmtId="2" fontId="192" fillId="15" borderId="1" xfId="0" applyNumberFormat="1" applyFont="1" applyFill="1" applyBorder="1" applyAlignment="1">
      <alignment horizontal="center"/>
    </xf>
    <xf numFmtId="2" fontId="192" fillId="15" borderId="8" xfId="0" applyNumberFormat="1" applyFont="1" applyFill="1" applyBorder="1" applyAlignment="1">
      <alignment horizontal="center"/>
    </xf>
    <xf numFmtId="0" fontId="192" fillId="15" borderId="103" xfId="0" applyFont="1" applyFill="1" applyBorder="1"/>
    <xf numFmtId="2" fontId="192" fillId="15" borderId="84" xfId="0" applyNumberFormat="1" applyFont="1" applyFill="1" applyBorder="1" applyAlignment="1">
      <alignment horizontal="center"/>
    </xf>
    <xf numFmtId="2" fontId="192" fillId="15" borderId="75" xfId="0" applyNumberFormat="1" applyFont="1" applyFill="1" applyBorder="1" applyAlignment="1">
      <alignment horizontal="center"/>
    </xf>
    <xf numFmtId="2" fontId="192" fillId="15" borderId="89" xfId="0" applyNumberFormat="1" applyFont="1" applyFill="1" applyBorder="1" applyAlignment="1">
      <alignment horizontal="center"/>
    </xf>
    <xf numFmtId="0" fontId="192" fillId="15" borderId="19" xfId="0" applyFont="1" applyFill="1" applyBorder="1"/>
    <xf numFmtId="2" fontId="192" fillId="15" borderId="54" xfId="0" applyNumberFormat="1" applyFont="1" applyFill="1" applyBorder="1" applyAlignment="1">
      <alignment horizontal="center"/>
    </xf>
    <xf numFmtId="2" fontId="192" fillId="15" borderId="55" xfId="0" applyNumberFormat="1" applyFont="1" applyFill="1" applyBorder="1" applyAlignment="1">
      <alignment horizontal="center"/>
    </xf>
    <xf numFmtId="2" fontId="192" fillId="15" borderId="56" xfId="0" applyNumberFormat="1" applyFont="1" applyFill="1" applyBorder="1" applyAlignment="1">
      <alignment horizontal="center"/>
    </xf>
    <xf numFmtId="0" fontId="192" fillId="15" borderId="15" xfId="0" applyFont="1" applyFill="1" applyBorder="1"/>
    <xf numFmtId="2" fontId="192" fillId="15" borderId="29" xfId="0" applyNumberFormat="1" applyFont="1" applyFill="1" applyBorder="1"/>
    <xf numFmtId="2" fontId="192" fillId="15" borderId="25" xfId="0" applyNumberFormat="1" applyFont="1" applyFill="1" applyBorder="1"/>
    <xf numFmtId="2" fontId="192" fillId="15" borderId="34" xfId="0" applyNumberFormat="1" applyFont="1" applyFill="1" applyBorder="1"/>
    <xf numFmtId="0" fontId="192" fillId="15" borderId="105" xfId="0" applyFont="1" applyFill="1" applyBorder="1"/>
    <xf numFmtId="0" fontId="192" fillId="15" borderId="26" xfId="0" applyFont="1" applyFill="1" applyBorder="1"/>
    <xf numFmtId="0" fontId="192" fillId="15" borderId="27" xfId="0" applyFont="1" applyFill="1" applyBorder="1"/>
    <xf numFmtId="0" fontId="192" fillId="15" borderId="28" xfId="0" applyFont="1" applyFill="1" applyBorder="1"/>
    <xf numFmtId="0" fontId="0" fillId="0" borderId="17" xfId="0" applyBorder="1" applyAlignment="1" applyProtection="1">
      <alignment horizontal="center"/>
      <protection locked="0"/>
    </xf>
    <xf numFmtId="0" fontId="0" fillId="32" borderId="4" xfId="0" applyFill="1" applyBorder="1" applyAlignment="1" applyProtection="1">
      <alignment horizontal="center"/>
      <protection locked="0"/>
    </xf>
    <xf numFmtId="0" fontId="0" fillId="32" borderId="5" xfId="0" applyFill="1" applyBorder="1" applyAlignment="1" applyProtection="1">
      <alignment horizontal="center"/>
      <protection locked="0"/>
    </xf>
    <xf numFmtId="0" fontId="0" fillId="32" borderId="6" xfId="0" applyFill="1" applyBorder="1" applyAlignment="1" applyProtection="1">
      <alignment horizontal="center"/>
      <protection locked="0"/>
    </xf>
    <xf numFmtId="0" fontId="0" fillId="32" borderId="7" xfId="0" applyFill="1" applyBorder="1" applyAlignment="1" applyProtection="1">
      <alignment horizontal="center"/>
      <protection locked="0"/>
    </xf>
    <xf numFmtId="0" fontId="0" fillId="32" borderId="1" xfId="0" applyFill="1" applyBorder="1" applyAlignment="1" applyProtection="1">
      <alignment horizontal="center"/>
      <protection locked="0"/>
    </xf>
    <xf numFmtId="0" fontId="0" fillId="32" borderId="8" xfId="0" applyFill="1" applyBorder="1" applyAlignment="1" applyProtection="1">
      <alignment horizontal="center"/>
      <protection locked="0"/>
    </xf>
    <xf numFmtId="0" fontId="0" fillId="88" borderId="67" xfId="0" applyFill="1" applyBorder="1"/>
    <xf numFmtId="0" fontId="0" fillId="88" borderId="79" xfId="0" applyFill="1" applyBorder="1"/>
    <xf numFmtId="0" fontId="0" fillId="88" borderId="105" xfId="0" applyFill="1" applyBorder="1"/>
    <xf numFmtId="0" fontId="0" fillId="32" borderId="26" xfId="0" applyFill="1" applyBorder="1" applyAlignment="1" applyProtection="1">
      <alignment horizontal="center"/>
      <protection locked="0"/>
    </xf>
    <xf numFmtId="0" fontId="0" fillId="32" borderId="27" xfId="0" applyFill="1" applyBorder="1" applyAlignment="1" applyProtection="1">
      <alignment horizontal="center"/>
      <protection locked="0"/>
    </xf>
    <xf numFmtId="0" fontId="0" fillId="32" borderId="28" xfId="0" applyFill="1" applyBorder="1" applyAlignment="1" applyProtection="1">
      <alignment horizontal="center"/>
      <protection locked="0"/>
    </xf>
    <xf numFmtId="0" fontId="194" fillId="0" borderId="0" xfId="0" applyFont="1"/>
    <xf numFmtId="0" fontId="195" fillId="5" borderId="122" xfId="0" applyFont="1" applyFill="1" applyBorder="1"/>
    <xf numFmtId="46" fontId="0" fillId="0" borderId="0" xfId="0" applyNumberFormat="1"/>
    <xf numFmtId="0" fontId="0" fillId="40" borderId="64" xfId="0" applyFill="1" applyBorder="1"/>
    <xf numFmtId="0" fontId="0" fillId="40" borderId="65" xfId="0" applyFill="1" applyBorder="1"/>
    <xf numFmtId="0" fontId="0" fillId="40" borderId="66" xfId="0" applyFill="1" applyBorder="1"/>
    <xf numFmtId="1" fontId="178" fillId="0" borderId="44" xfId="0" applyNumberFormat="1" applyFont="1" applyBorder="1" applyAlignment="1">
      <alignment horizontal="right"/>
    </xf>
    <xf numFmtId="1" fontId="178" fillId="0" borderId="25" xfId="0" applyNumberFormat="1" applyFont="1" applyBorder="1" applyAlignment="1">
      <alignment horizontal="right"/>
    </xf>
    <xf numFmtId="1" fontId="178" fillId="0" borderId="34" xfId="0" applyNumberFormat="1" applyFont="1" applyBorder="1" applyAlignment="1">
      <alignment horizontal="right"/>
    </xf>
    <xf numFmtId="0" fontId="178" fillId="0" borderId="63" xfId="0" applyFont="1" applyBorder="1" applyAlignment="1">
      <alignment horizontal="right"/>
    </xf>
    <xf numFmtId="3" fontId="11" fillId="10" borderId="14" xfId="0" applyNumberFormat="1" applyFont="1" applyFill="1" applyBorder="1" applyAlignment="1">
      <alignment horizontal="center" vertical="center"/>
    </xf>
    <xf numFmtId="3" fontId="11" fillId="10" borderId="33" xfId="0" applyNumberFormat="1" applyFont="1" applyFill="1" applyBorder="1" applyAlignment="1">
      <alignment horizontal="center" vertical="center"/>
    </xf>
    <xf numFmtId="3" fontId="11" fillId="10" borderId="24" xfId="0" applyNumberFormat="1" applyFont="1" applyFill="1" applyBorder="1" applyAlignment="1">
      <alignment horizontal="center" vertical="center"/>
    </xf>
    <xf numFmtId="3" fontId="11" fillId="10" borderId="16" xfId="0" applyNumberFormat="1" applyFont="1" applyFill="1" applyBorder="1" applyAlignment="1">
      <alignment horizontal="center" vertical="center"/>
    </xf>
    <xf numFmtId="3" fontId="11" fillId="10" borderId="42" xfId="0" applyNumberFormat="1" applyFont="1" applyFill="1" applyBorder="1" applyAlignment="1">
      <alignment horizontal="center" vertical="center"/>
    </xf>
    <xf numFmtId="3" fontId="11" fillId="10" borderId="11" xfId="0" applyNumberFormat="1" applyFont="1" applyFill="1" applyBorder="1" applyAlignment="1">
      <alignment horizontal="center" vertical="center"/>
    </xf>
    <xf numFmtId="3" fontId="7" fillId="8" borderId="14" xfId="0" applyNumberFormat="1" applyFont="1" applyFill="1" applyBorder="1" applyAlignment="1">
      <alignment horizontal="center"/>
    </xf>
    <xf numFmtId="3" fontId="7" fillId="8" borderId="33" xfId="0" applyNumberFormat="1" applyFont="1" applyFill="1" applyBorder="1" applyAlignment="1">
      <alignment horizontal="center"/>
    </xf>
    <xf numFmtId="3" fontId="7" fillId="8" borderId="24" xfId="0" applyNumberFormat="1" applyFont="1" applyFill="1" applyBorder="1" applyAlignment="1">
      <alignment horizontal="center"/>
    </xf>
    <xf numFmtId="3" fontId="7" fillId="8" borderId="16" xfId="0" applyNumberFormat="1" applyFont="1" applyFill="1" applyBorder="1" applyAlignment="1">
      <alignment horizontal="center"/>
    </xf>
    <xf numFmtId="3" fontId="7" fillId="8" borderId="42" xfId="0" applyNumberFormat="1" applyFont="1" applyFill="1" applyBorder="1" applyAlignment="1">
      <alignment horizontal="center"/>
    </xf>
    <xf numFmtId="3" fontId="7" fillId="8" borderId="11" xfId="0" applyNumberFormat="1" applyFont="1" applyFill="1" applyBorder="1" applyAlignment="1">
      <alignment horizontal="center"/>
    </xf>
    <xf numFmtId="3" fontId="16" fillId="0" borderId="2" xfId="9" applyNumberFormat="1" applyBorder="1" applyAlignment="1">
      <alignment horizontal="center" vertical="center"/>
    </xf>
    <xf numFmtId="3" fontId="16" fillId="0" borderId="40" xfId="9" applyNumberFormat="1" applyBorder="1" applyAlignment="1">
      <alignment horizontal="center" vertical="center"/>
    </xf>
    <xf numFmtId="3" fontId="16" fillId="0" borderId="41" xfId="9" applyNumberFormat="1" applyBorder="1" applyAlignment="1">
      <alignment horizontal="center" vertical="center"/>
    </xf>
    <xf numFmtId="3" fontId="11" fillId="6" borderId="14" xfId="0" applyNumberFormat="1" applyFont="1" applyFill="1" applyBorder="1" applyAlignment="1">
      <alignment horizontal="center"/>
    </xf>
    <xf numFmtId="3" fontId="11" fillId="6" borderId="33" xfId="0" applyNumberFormat="1" applyFont="1" applyFill="1" applyBorder="1" applyAlignment="1">
      <alignment horizontal="center"/>
    </xf>
    <xf numFmtId="3" fontId="11" fillId="6" borderId="24" xfId="0" applyNumberFormat="1" applyFont="1" applyFill="1" applyBorder="1" applyAlignment="1">
      <alignment horizontal="center"/>
    </xf>
    <xf numFmtId="3" fontId="11" fillId="6" borderId="37" xfId="0" applyNumberFormat="1" applyFont="1" applyFill="1" applyBorder="1" applyAlignment="1">
      <alignment horizontal="center"/>
    </xf>
    <xf numFmtId="3" fontId="11" fillId="6" borderId="38" xfId="0" applyNumberFormat="1" applyFont="1" applyFill="1" applyBorder="1" applyAlignment="1">
      <alignment horizontal="center"/>
    </xf>
    <xf numFmtId="3" fontId="11" fillId="6" borderId="39" xfId="0" applyNumberFormat="1" applyFont="1" applyFill="1" applyBorder="1" applyAlignment="1">
      <alignment horizontal="center"/>
    </xf>
    <xf numFmtId="3" fontId="16" fillId="0" borderId="52" xfId="9" applyNumberFormat="1" applyBorder="1" applyAlignment="1">
      <alignment horizontal="center" vertical="center"/>
    </xf>
    <xf numFmtId="3" fontId="16" fillId="0" borderId="62" xfId="9" applyNumberFormat="1" applyBorder="1" applyAlignment="1">
      <alignment horizontal="center" vertical="center"/>
    </xf>
    <xf numFmtId="3" fontId="16" fillId="0" borderId="63" xfId="9" applyNumberFormat="1" applyBorder="1" applyAlignment="1">
      <alignment horizontal="center" vertical="center"/>
    </xf>
    <xf numFmtId="3" fontId="118" fillId="19" borderId="14" xfId="0" applyNumberFormat="1" applyFont="1" applyFill="1" applyBorder="1" applyAlignment="1">
      <alignment horizontal="center" vertical="center"/>
    </xf>
    <xf numFmtId="3" fontId="118" fillId="19" borderId="33" xfId="0" applyNumberFormat="1" applyFont="1" applyFill="1" applyBorder="1" applyAlignment="1">
      <alignment horizontal="center" vertical="center"/>
    </xf>
    <xf numFmtId="3" fontId="118" fillId="19" borderId="24" xfId="0" applyNumberFormat="1" applyFont="1" applyFill="1" applyBorder="1" applyAlignment="1">
      <alignment horizontal="center" vertical="center"/>
    </xf>
    <xf numFmtId="3" fontId="118" fillId="19" borderId="16" xfId="0" applyNumberFormat="1" applyFont="1" applyFill="1" applyBorder="1" applyAlignment="1">
      <alignment horizontal="center" vertical="center"/>
    </xf>
    <xf numFmtId="3" fontId="118" fillId="19" borderId="42" xfId="0" applyNumberFormat="1" applyFont="1" applyFill="1" applyBorder="1" applyAlignment="1">
      <alignment horizontal="center" vertical="center"/>
    </xf>
    <xf numFmtId="3" fontId="118" fillId="19" borderId="11" xfId="0" applyNumberFormat="1" applyFont="1" applyFill="1" applyBorder="1" applyAlignment="1">
      <alignment horizontal="center" vertical="center"/>
    </xf>
    <xf numFmtId="3" fontId="64" fillId="8" borderId="14" xfId="0" applyNumberFormat="1" applyFont="1" applyFill="1" applyBorder="1" applyAlignment="1">
      <alignment horizontal="center" vertical="center"/>
    </xf>
    <xf numFmtId="3" fontId="64" fillId="8" borderId="33" xfId="0" applyNumberFormat="1" applyFont="1" applyFill="1" applyBorder="1" applyAlignment="1">
      <alignment horizontal="center" vertical="center"/>
    </xf>
    <xf numFmtId="3" fontId="64" fillId="8" borderId="24" xfId="0" applyNumberFormat="1" applyFont="1" applyFill="1" applyBorder="1" applyAlignment="1">
      <alignment horizontal="center" vertical="center"/>
    </xf>
    <xf numFmtId="3" fontId="64" fillId="8" borderId="16" xfId="0" applyNumberFormat="1" applyFont="1" applyFill="1" applyBorder="1" applyAlignment="1">
      <alignment horizontal="center" vertical="center"/>
    </xf>
    <xf numFmtId="3" fontId="64" fillId="8" borderId="42" xfId="0" applyNumberFormat="1" applyFont="1" applyFill="1" applyBorder="1" applyAlignment="1">
      <alignment horizontal="center" vertical="center"/>
    </xf>
    <xf numFmtId="3" fontId="64" fillId="8" borderId="11" xfId="0" applyNumberFormat="1" applyFont="1" applyFill="1" applyBorder="1" applyAlignment="1">
      <alignment horizontal="center" vertical="center"/>
    </xf>
    <xf numFmtId="3" fontId="21" fillId="19" borderId="12" xfId="0" applyNumberFormat="1" applyFont="1" applyFill="1" applyBorder="1" applyAlignment="1">
      <alignment horizontal="center" vertical="center"/>
    </xf>
    <xf numFmtId="3" fontId="21" fillId="19" borderId="10" xfId="0" applyNumberFormat="1" applyFont="1" applyFill="1" applyBorder="1" applyAlignment="1">
      <alignment horizontal="center" vertical="center"/>
    </xf>
    <xf numFmtId="3" fontId="18" fillId="8" borderId="14" xfId="0" applyNumberFormat="1" applyFont="1" applyFill="1" applyBorder="1" applyAlignment="1">
      <alignment horizontal="center" vertical="center"/>
    </xf>
    <xf numFmtId="3" fontId="18" fillId="8" borderId="33" xfId="0" applyNumberFormat="1" applyFont="1" applyFill="1" applyBorder="1" applyAlignment="1">
      <alignment horizontal="center" vertical="center"/>
    </xf>
    <xf numFmtId="3" fontId="18" fillId="8" borderId="24" xfId="0" applyNumberFormat="1" applyFont="1" applyFill="1" applyBorder="1" applyAlignment="1">
      <alignment horizontal="center" vertical="center"/>
    </xf>
    <xf numFmtId="3" fontId="18" fillId="8" borderId="16" xfId="0" applyNumberFormat="1" applyFont="1" applyFill="1" applyBorder="1" applyAlignment="1">
      <alignment horizontal="center" vertical="center"/>
    </xf>
    <xf numFmtId="3" fontId="18" fillId="8" borderId="42" xfId="0" applyNumberFormat="1" applyFont="1" applyFill="1" applyBorder="1" applyAlignment="1">
      <alignment horizontal="center" vertical="center"/>
    </xf>
    <xf numFmtId="3" fontId="18" fillId="8" borderId="11" xfId="0" applyNumberFormat="1" applyFont="1" applyFill="1" applyBorder="1" applyAlignment="1">
      <alignment horizontal="center" vertical="center"/>
    </xf>
    <xf numFmtId="3" fontId="7" fillId="10" borderId="14" xfId="0" applyNumberFormat="1" applyFont="1" applyFill="1" applyBorder="1" applyAlignment="1">
      <alignment horizontal="center"/>
    </xf>
    <xf numFmtId="3" fontId="7" fillId="10" borderId="33" xfId="0" applyNumberFormat="1" applyFont="1" applyFill="1" applyBorder="1" applyAlignment="1">
      <alignment horizontal="center"/>
    </xf>
    <xf numFmtId="3" fontId="7" fillId="10" borderId="24" xfId="0" applyNumberFormat="1" applyFont="1" applyFill="1" applyBorder="1" applyAlignment="1">
      <alignment horizontal="center"/>
    </xf>
    <xf numFmtId="3" fontId="7" fillId="10" borderId="15" xfId="0" applyNumberFormat="1" applyFont="1" applyFill="1" applyBorder="1" applyAlignment="1">
      <alignment horizontal="center"/>
    </xf>
    <xf numFmtId="3" fontId="7" fillId="10" borderId="0" xfId="0" applyNumberFormat="1" applyFont="1" applyFill="1" applyAlignment="1">
      <alignment horizontal="center"/>
    </xf>
    <xf numFmtId="3" fontId="7" fillId="10" borderId="49" xfId="0" applyNumberFormat="1" applyFont="1" applyFill="1" applyBorder="1" applyAlignment="1">
      <alignment horizontal="center"/>
    </xf>
    <xf numFmtId="3" fontId="7" fillId="10" borderId="16" xfId="0" applyNumberFormat="1" applyFont="1" applyFill="1" applyBorder="1" applyAlignment="1">
      <alignment horizontal="center"/>
    </xf>
    <xf numFmtId="3" fontId="7" fillId="10" borderId="42" xfId="0" applyNumberFormat="1" applyFont="1" applyFill="1" applyBorder="1" applyAlignment="1">
      <alignment horizontal="center"/>
    </xf>
    <xf numFmtId="3" fontId="7" fillId="10" borderId="11" xfId="0" applyNumberFormat="1" applyFont="1" applyFill="1" applyBorder="1" applyAlignment="1">
      <alignment horizontal="center"/>
    </xf>
    <xf numFmtId="0" fontId="0" fillId="8" borderId="14" xfId="0" applyFill="1" applyBorder="1" applyAlignment="1">
      <alignment horizontal="center"/>
    </xf>
    <xf numFmtId="0" fontId="0" fillId="8" borderId="33" xfId="0" applyFill="1" applyBorder="1" applyAlignment="1">
      <alignment horizontal="center"/>
    </xf>
    <xf numFmtId="0" fontId="0" fillId="8" borderId="24" xfId="0" applyFill="1" applyBorder="1" applyAlignment="1">
      <alignment horizontal="center"/>
    </xf>
    <xf numFmtId="0" fontId="0" fillId="8" borderId="15" xfId="0" applyFill="1" applyBorder="1" applyAlignment="1">
      <alignment horizontal="center"/>
    </xf>
    <xf numFmtId="0" fontId="0" fillId="8" borderId="0" xfId="0" applyFill="1" applyAlignment="1">
      <alignment horizontal="center"/>
    </xf>
    <xf numFmtId="0" fontId="0" fillId="8" borderId="49" xfId="0" applyFill="1" applyBorder="1" applyAlignment="1">
      <alignment horizontal="center"/>
    </xf>
    <xf numFmtId="0" fontId="0" fillId="8" borderId="16" xfId="0" applyFill="1" applyBorder="1" applyAlignment="1">
      <alignment horizontal="center"/>
    </xf>
    <xf numFmtId="0" fontId="0" fillId="8" borderId="42" xfId="0" applyFill="1" applyBorder="1" applyAlignment="1">
      <alignment horizontal="center"/>
    </xf>
    <xf numFmtId="0" fontId="0" fillId="8" borderId="11" xfId="0" applyFill="1" applyBorder="1" applyAlignment="1">
      <alignment horizontal="center"/>
    </xf>
    <xf numFmtId="3" fontId="11" fillId="0" borderId="16" xfId="0" applyNumberFormat="1" applyFont="1" applyBorder="1" applyAlignment="1">
      <alignment horizontal="center"/>
    </xf>
    <xf numFmtId="3" fontId="11" fillId="0" borderId="11" xfId="0" applyNumberFormat="1" applyFont="1" applyBorder="1" applyAlignment="1">
      <alignment horizontal="center"/>
    </xf>
    <xf numFmtId="3" fontId="14" fillId="13" borderId="19" xfId="0" applyNumberFormat="1" applyFont="1" applyFill="1" applyBorder="1" applyAlignment="1">
      <alignment horizontal="center" vertical="center"/>
    </xf>
    <xf numFmtId="3" fontId="14" fillId="13" borderId="20" xfId="0" applyNumberFormat="1" applyFont="1" applyFill="1" applyBorder="1" applyAlignment="1">
      <alignment horizontal="center" vertical="center"/>
    </xf>
    <xf numFmtId="3" fontId="14" fillId="13" borderId="21" xfId="0" applyNumberFormat="1" applyFont="1" applyFill="1" applyBorder="1" applyAlignment="1">
      <alignment horizontal="center" vertical="center"/>
    </xf>
    <xf numFmtId="3" fontId="11" fillId="6" borderId="19" xfId="0" applyNumberFormat="1" applyFont="1" applyFill="1" applyBorder="1" applyAlignment="1">
      <alignment horizontal="center"/>
    </xf>
    <xf numFmtId="3" fontId="11" fillId="6" borderId="20" xfId="0" applyNumberFormat="1" applyFont="1" applyFill="1" applyBorder="1" applyAlignment="1">
      <alignment horizontal="center"/>
    </xf>
    <xf numFmtId="3" fontId="11" fillId="6" borderId="21" xfId="0" applyNumberFormat="1" applyFont="1" applyFill="1" applyBorder="1" applyAlignment="1">
      <alignment horizontal="center"/>
    </xf>
    <xf numFmtId="3" fontId="21" fillId="13" borderId="19" xfId="0" applyNumberFormat="1" applyFont="1" applyFill="1" applyBorder="1" applyAlignment="1">
      <alignment horizontal="center" vertical="center"/>
    </xf>
    <xf numFmtId="3" fontId="21" fillId="13" borderId="20" xfId="0" applyNumberFormat="1" applyFont="1" applyFill="1" applyBorder="1" applyAlignment="1">
      <alignment horizontal="center" vertical="center"/>
    </xf>
    <xf numFmtId="3" fontId="21" fillId="13" borderId="21" xfId="0" applyNumberFormat="1" applyFont="1" applyFill="1" applyBorder="1" applyAlignment="1">
      <alignment horizontal="center" vertical="center"/>
    </xf>
    <xf numFmtId="0" fontId="0" fillId="40" borderId="19" xfId="0" applyFill="1" applyBorder="1" applyAlignment="1">
      <alignment horizontal="center"/>
    </xf>
    <xf numFmtId="0" fontId="0" fillId="40" borderId="21" xfId="0" applyFill="1" applyBorder="1" applyAlignment="1">
      <alignment horizontal="center"/>
    </xf>
    <xf numFmtId="0" fontId="169" fillId="21" borderId="16" xfId="0" applyFont="1" applyFill="1" applyBorder="1" applyAlignment="1">
      <alignment horizontal="center"/>
    </xf>
    <xf numFmtId="0" fontId="169" fillId="21" borderId="42" xfId="0" applyFont="1" applyFill="1" applyBorder="1" applyAlignment="1">
      <alignment horizontal="center"/>
    </xf>
    <xf numFmtId="0" fontId="169" fillId="21" borderId="11" xfId="0" applyFont="1" applyFill="1" applyBorder="1" applyAlignment="1">
      <alignment horizontal="center"/>
    </xf>
    <xf numFmtId="0" fontId="169" fillId="23" borderId="19" xfId="0" applyFont="1" applyFill="1" applyBorder="1" applyAlignment="1">
      <alignment horizontal="center"/>
    </xf>
    <xf numFmtId="0" fontId="169" fillId="23" borderId="20" xfId="0" applyFont="1" applyFill="1" applyBorder="1" applyAlignment="1">
      <alignment horizontal="center"/>
    </xf>
    <xf numFmtId="0" fontId="169" fillId="23" borderId="21" xfId="0" applyFont="1" applyFill="1" applyBorder="1" applyAlignment="1">
      <alignment horizontal="center"/>
    </xf>
    <xf numFmtId="0" fontId="169" fillId="79" borderId="19" xfId="0" applyFont="1" applyFill="1" applyBorder="1" applyAlignment="1">
      <alignment horizontal="center"/>
    </xf>
    <xf numFmtId="0" fontId="169" fillId="79" borderId="33" xfId="0" applyFont="1" applyFill="1" applyBorder="1" applyAlignment="1">
      <alignment horizontal="center"/>
    </xf>
    <xf numFmtId="0" fontId="169" fillId="79" borderId="24" xfId="0" applyFont="1" applyFill="1" applyBorder="1" applyAlignment="1">
      <alignment horizontal="center"/>
    </xf>
    <xf numFmtId="0" fontId="170" fillId="15" borderId="19" xfId="0" applyFont="1" applyFill="1" applyBorder="1" applyAlignment="1">
      <alignment horizontal="center"/>
    </xf>
    <xf numFmtId="0" fontId="170" fillId="15" borderId="42" xfId="0" applyFont="1" applyFill="1" applyBorder="1" applyAlignment="1">
      <alignment horizontal="center"/>
    </xf>
    <xf numFmtId="0" fontId="170" fillId="15" borderId="11" xfId="0" applyFont="1" applyFill="1" applyBorder="1" applyAlignment="1">
      <alignment horizontal="center"/>
    </xf>
    <xf numFmtId="0" fontId="170" fillId="80" borderId="19" xfId="0" applyFont="1" applyFill="1" applyBorder="1" applyAlignment="1">
      <alignment horizontal="center"/>
    </xf>
    <xf numFmtId="0" fontId="170" fillId="80" borderId="20" xfId="0" applyFont="1" applyFill="1" applyBorder="1" applyAlignment="1">
      <alignment horizontal="center"/>
    </xf>
    <xf numFmtId="0" fontId="170" fillId="80" borderId="21" xfId="0" applyFont="1" applyFill="1" applyBorder="1" applyAlignment="1">
      <alignment horizontal="center"/>
    </xf>
    <xf numFmtId="0" fontId="22" fillId="61" borderId="15" xfId="0" applyFont="1" applyFill="1" applyBorder="1" applyAlignment="1">
      <alignment horizontal="center"/>
    </xf>
    <xf numFmtId="0" fontId="22" fillId="61" borderId="0" xfId="0" applyFont="1" applyFill="1" applyAlignment="1">
      <alignment horizontal="center"/>
    </xf>
    <xf numFmtId="0" fontId="22" fillId="61" borderId="49" xfId="0" applyFont="1" applyFill="1" applyBorder="1" applyAlignment="1">
      <alignment horizontal="center"/>
    </xf>
    <xf numFmtId="0" fontId="111" fillId="25" borderId="54" xfId="0" applyFont="1" applyFill="1" applyBorder="1" applyAlignment="1">
      <alignment horizontal="center"/>
    </xf>
    <xf numFmtId="0" fontId="111" fillId="25" borderId="55" xfId="0" applyFont="1" applyFill="1" applyBorder="1" applyAlignment="1">
      <alignment horizontal="center"/>
    </xf>
    <xf numFmtId="0" fontId="111" fillId="25" borderId="56" xfId="0" applyFont="1" applyFill="1" applyBorder="1" applyAlignment="1">
      <alignment horizontal="center"/>
    </xf>
    <xf numFmtId="0" fontId="169" fillId="6" borderId="19" xfId="0" applyFont="1" applyFill="1" applyBorder="1" applyAlignment="1">
      <alignment horizontal="center"/>
    </xf>
    <xf numFmtId="0" fontId="169" fillId="6" borderId="20" xfId="0" applyFont="1" applyFill="1" applyBorder="1" applyAlignment="1">
      <alignment horizontal="center"/>
    </xf>
    <xf numFmtId="0" fontId="169" fillId="6" borderId="21" xfId="0" applyFont="1" applyFill="1" applyBorder="1" applyAlignment="1">
      <alignment horizontal="center"/>
    </xf>
    <xf numFmtId="0" fontId="169" fillId="40" borderId="14" xfId="0" applyFont="1" applyFill="1" applyBorder="1" applyAlignment="1">
      <alignment horizontal="center"/>
    </xf>
    <xf numFmtId="0" fontId="169" fillId="40" borderId="33" xfId="0" applyFont="1" applyFill="1" applyBorder="1" applyAlignment="1">
      <alignment horizontal="center"/>
    </xf>
    <xf numFmtId="0" fontId="169" fillId="40" borderId="24" xfId="0" applyFont="1" applyFill="1" applyBorder="1" applyAlignment="1">
      <alignment horizontal="center"/>
    </xf>
    <xf numFmtId="0" fontId="154" fillId="0" borderId="142" xfId="0" applyFont="1" applyBorder="1" applyAlignment="1">
      <alignment horizontal="center" vertical="center"/>
    </xf>
    <xf numFmtId="0" fontId="139" fillId="8" borderId="134" xfId="0" applyFont="1" applyFill="1" applyBorder="1" applyAlignment="1">
      <alignment horizontal="center" vertical="center"/>
    </xf>
    <xf numFmtId="0" fontId="139" fillId="8" borderId="137" xfId="0" applyFont="1" applyFill="1" applyBorder="1" applyAlignment="1">
      <alignment horizontal="center" vertical="center"/>
    </xf>
    <xf numFmtId="0" fontId="140" fillId="8" borderId="135" xfId="0" applyFont="1" applyFill="1" applyBorder="1" applyAlignment="1">
      <alignment horizontal="left" vertical="center"/>
    </xf>
    <xf numFmtId="0" fontId="140" fillId="8" borderId="136" xfId="0" applyFont="1" applyFill="1" applyBorder="1" applyAlignment="1">
      <alignment horizontal="left" vertical="center"/>
    </xf>
    <xf numFmtId="0" fontId="140" fillId="8" borderId="138" xfId="0" applyFont="1" applyFill="1" applyBorder="1" applyAlignment="1">
      <alignment horizontal="left" vertical="center"/>
    </xf>
    <xf numFmtId="0" fontId="140" fillId="8" borderId="139" xfId="0" applyFont="1" applyFill="1" applyBorder="1" applyAlignment="1">
      <alignment horizontal="left" vertical="center"/>
    </xf>
    <xf numFmtId="14" fontId="145" fillId="40" borderId="0" xfId="0" applyNumberFormat="1" applyFont="1" applyFill="1" applyAlignment="1">
      <alignment horizontal="left" vertical="center"/>
    </xf>
    <xf numFmtId="0" fontId="5" fillId="0" borderId="0" xfId="0" applyFont="1" applyAlignment="1">
      <alignment horizontal="left"/>
    </xf>
    <xf numFmtId="168" fontId="160" fillId="0" borderId="0" xfId="0" applyNumberFormat="1" applyFont="1" applyAlignment="1">
      <alignment horizontal="center"/>
    </xf>
    <xf numFmtId="0" fontId="155" fillId="8" borderId="134" xfId="0" applyFont="1" applyFill="1" applyBorder="1" applyAlignment="1">
      <alignment horizontal="left" vertical="center"/>
    </xf>
    <xf numFmtId="0" fontId="155" fillId="8" borderId="137" xfId="0" applyFont="1" applyFill="1" applyBorder="1" applyAlignment="1">
      <alignment horizontal="left" vertical="center"/>
    </xf>
    <xf numFmtId="179" fontId="160" fillId="0" borderId="0" xfId="0" applyNumberFormat="1" applyFont="1" applyAlignment="1">
      <alignment horizontal="left" vertical="center"/>
    </xf>
    <xf numFmtId="0" fontId="160" fillId="0" borderId="0" xfId="0" applyFont="1" applyAlignment="1">
      <alignment horizontal="center"/>
    </xf>
    <xf numFmtId="0" fontId="161" fillId="0" borderId="0" xfId="0" applyFont="1" applyAlignment="1">
      <alignment horizontal="left" vertical="center"/>
    </xf>
    <xf numFmtId="0" fontId="160" fillId="0" borderId="0" xfId="0" applyFont="1" applyAlignment="1">
      <alignment horizontal="left" vertical="center"/>
    </xf>
    <xf numFmtId="0" fontId="160" fillId="0" borderId="0" xfId="0" applyFont="1" applyAlignment="1">
      <alignment horizontal="left" vertical="top"/>
    </xf>
    <xf numFmtId="0" fontId="168" fillId="8" borderId="144" xfId="0" applyFont="1" applyFill="1" applyBorder="1" applyAlignment="1">
      <alignment horizontal="left"/>
    </xf>
    <xf numFmtId="0" fontId="168" fillId="8" borderId="145" xfId="0" applyFont="1" applyFill="1" applyBorder="1" applyAlignment="1">
      <alignment horizontal="center" vertical="center"/>
    </xf>
    <xf numFmtId="0" fontId="168" fillId="8" borderId="146" xfId="0" applyFont="1" applyFill="1" applyBorder="1" applyAlignment="1">
      <alignment horizontal="center" vertical="center"/>
    </xf>
    <xf numFmtId="172" fontId="160" fillId="0" borderId="0" xfId="0" applyNumberFormat="1" applyFont="1" applyAlignment="1">
      <alignment horizontal="center" vertical="center"/>
    </xf>
    <xf numFmtId="0" fontId="160" fillId="0" borderId="0" xfId="0" applyFont="1" applyAlignment="1">
      <alignment horizontal="center" vertical="center"/>
    </xf>
    <xf numFmtId="0" fontId="154" fillId="0" borderId="0" xfId="0" applyFont="1" applyAlignment="1">
      <alignment horizontal="center" vertical="center"/>
    </xf>
    <xf numFmtId="1" fontId="161" fillId="0" borderId="145" xfId="0" applyNumberFormat="1" applyFont="1" applyBorder="1" applyAlignment="1">
      <alignment horizontal="center" vertical="center"/>
    </xf>
    <xf numFmtId="1" fontId="161" fillId="0" borderId="146" xfId="0" applyNumberFormat="1" applyFont="1" applyBorder="1" applyAlignment="1">
      <alignment horizontal="center" vertical="center"/>
    </xf>
    <xf numFmtId="0" fontId="39" fillId="18" borderId="2" xfId="0" applyFont="1" applyFill="1" applyBorder="1" applyAlignment="1">
      <alignment horizontal="center" vertical="center"/>
    </xf>
    <xf numFmtId="0" fontId="39" fillId="18" borderId="40" xfId="0" applyFont="1" applyFill="1" applyBorder="1" applyAlignment="1">
      <alignment horizontal="center" vertical="center"/>
    </xf>
    <xf numFmtId="0" fontId="39" fillId="18" borderId="18" xfId="0" applyFont="1" applyFill="1" applyBorder="1" applyAlignment="1">
      <alignment horizontal="center" vertical="center"/>
    </xf>
    <xf numFmtId="0" fontId="171" fillId="0" borderId="12" xfId="0" applyFont="1" applyBorder="1" applyAlignment="1">
      <alignment vertical="center"/>
    </xf>
    <xf numFmtId="0" fontId="171" fillId="0" borderId="13" xfId="0" applyFont="1" applyBorder="1" applyAlignment="1">
      <alignment vertical="center"/>
    </xf>
    <xf numFmtId="0" fontId="171" fillId="0" borderId="10" xfId="0" applyFont="1" applyBorder="1" applyAlignment="1">
      <alignment vertical="center"/>
    </xf>
    <xf numFmtId="0" fontId="171" fillId="81" borderId="12" xfId="0" applyFont="1" applyFill="1" applyBorder="1" applyAlignment="1">
      <alignment horizontal="center" vertical="center"/>
    </xf>
    <xf numFmtId="0" fontId="171" fillId="81" borderId="10" xfId="0" applyFont="1" applyFill="1" applyBorder="1" applyAlignment="1">
      <alignment horizontal="center" vertical="center"/>
    </xf>
    <xf numFmtId="0" fontId="151" fillId="23" borderId="12" xfId="0" applyFont="1" applyFill="1" applyBorder="1" applyAlignment="1">
      <alignment vertical="center"/>
    </xf>
    <xf numFmtId="0" fontId="151" fillId="23" borderId="13" xfId="0" applyFont="1" applyFill="1" applyBorder="1" applyAlignment="1">
      <alignment vertical="center"/>
    </xf>
    <xf numFmtId="0" fontId="151" fillId="23" borderId="10" xfId="0" applyFont="1" applyFill="1" applyBorder="1" applyAlignment="1">
      <alignment vertical="center"/>
    </xf>
    <xf numFmtId="0" fontId="151" fillId="0" borderId="12" xfId="0" applyFont="1" applyBorder="1" applyAlignment="1">
      <alignment vertical="center"/>
    </xf>
    <xf numFmtId="0" fontId="151" fillId="0" borderId="13" xfId="0" applyFont="1" applyBorder="1" applyAlignment="1">
      <alignment vertical="center"/>
    </xf>
    <xf numFmtId="0" fontId="151" fillId="0" borderId="10" xfId="0" applyFont="1" applyBorder="1" applyAlignment="1">
      <alignment vertical="center"/>
    </xf>
    <xf numFmtId="0" fontId="40" fillId="23" borderId="19" xfId="0" applyFont="1" applyFill="1" applyBorder="1" applyAlignment="1">
      <alignment horizontal="center"/>
    </xf>
    <xf numFmtId="0" fontId="40" fillId="23" borderId="20" xfId="0" applyFont="1" applyFill="1" applyBorder="1" applyAlignment="1">
      <alignment horizontal="center"/>
    </xf>
    <xf numFmtId="0" fontId="40" fillId="23" borderId="21" xfId="0" applyFont="1" applyFill="1" applyBorder="1" applyAlignment="1">
      <alignment horizontal="center"/>
    </xf>
    <xf numFmtId="0" fontId="177" fillId="23" borderId="19" xfId="0" applyFont="1" applyFill="1" applyBorder="1" applyAlignment="1">
      <alignment horizontal="center"/>
    </xf>
    <xf numFmtId="0" fontId="177" fillId="23" borderId="20" xfId="0" applyFont="1" applyFill="1" applyBorder="1" applyAlignment="1">
      <alignment horizontal="center"/>
    </xf>
    <xf numFmtId="0" fontId="177" fillId="23" borderId="21" xfId="0" applyFont="1" applyFill="1" applyBorder="1" applyAlignment="1">
      <alignment horizontal="center"/>
    </xf>
    <xf numFmtId="0" fontId="175" fillId="0" borderId="12" xfId="0" applyFont="1" applyBorder="1" applyAlignment="1">
      <alignment vertical="center"/>
    </xf>
    <xf numFmtId="0" fontId="175" fillId="0" borderId="13" xfId="0" applyFont="1" applyBorder="1" applyAlignment="1">
      <alignment vertical="center"/>
    </xf>
    <xf numFmtId="0" fontId="175" fillId="0" borderId="10" xfId="0" applyFont="1" applyBorder="1" applyAlignment="1">
      <alignment vertical="center"/>
    </xf>
    <xf numFmtId="0" fontId="151" fillId="23" borderId="12" xfId="0" applyFont="1" applyFill="1" applyBorder="1" applyAlignment="1">
      <alignment vertical="center" wrapText="1"/>
    </xf>
    <xf numFmtId="0" fontId="151" fillId="23" borderId="10" xfId="0" applyFont="1" applyFill="1" applyBorder="1" applyAlignment="1">
      <alignment vertical="center" wrapText="1"/>
    </xf>
    <xf numFmtId="0" fontId="169" fillId="40" borderId="19" xfId="0" applyFont="1" applyFill="1" applyBorder="1" applyAlignment="1">
      <alignment horizontal="center" vertical="center"/>
    </xf>
    <xf numFmtId="0" fontId="169" fillId="40" borderId="33" xfId="0" applyFont="1" applyFill="1" applyBorder="1" applyAlignment="1">
      <alignment horizontal="center" vertical="center"/>
    </xf>
    <xf numFmtId="0" fontId="169" fillId="40" borderId="24" xfId="0" applyFont="1" applyFill="1" applyBorder="1" applyAlignment="1">
      <alignment horizontal="center" vertical="center"/>
    </xf>
    <xf numFmtId="0" fontId="179" fillId="0" borderId="1" xfId="0" applyFont="1" applyBorder="1" applyAlignment="1">
      <alignment horizontal="center"/>
    </xf>
    <xf numFmtId="3" fontId="18" fillId="7" borderId="33" xfId="3" applyNumberFormat="1" applyFont="1" applyFill="1" applyBorder="1" applyAlignment="1">
      <alignment horizontal="center" vertical="center"/>
    </xf>
    <xf numFmtId="3" fontId="18" fillId="11" borderId="14" xfId="0" applyNumberFormat="1" applyFont="1" applyFill="1" applyBorder="1" applyAlignment="1">
      <alignment horizontal="center" vertical="center"/>
    </xf>
    <xf numFmtId="3" fontId="18" fillId="11" borderId="33" xfId="0" applyNumberFormat="1" applyFont="1" applyFill="1" applyBorder="1" applyAlignment="1">
      <alignment horizontal="center" vertical="center"/>
    </xf>
    <xf numFmtId="3" fontId="18" fillId="11" borderId="24" xfId="0" applyNumberFormat="1" applyFont="1" applyFill="1" applyBorder="1" applyAlignment="1">
      <alignment horizontal="center" vertical="center"/>
    </xf>
    <xf numFmtId="3" fontId="11" fillId="7" borderId="19" xfId="0" applyNumberFormat="1" applyFont="1" applyFill="1" applyBorder="1" applyAlignment="1">
      <alignment horizontal="center"/>
    </xf>
    <xf numFmtId="3" fontId="11" fillId="7" borderId="20" xfId="0" applyNumberFormat="1" applyFont="1" applyFill="1" applyBorder="1" applyAlignment="1">
      <alignment horizontal="center"/>
    </xf>
    <xf numFmtId="3" fontId="11" fillId="7" borderId="21" xfId="0" applyNumberFormat="1" applyFont="1" applyFill="1" applyBorder="1" applyAlignment="1">
      <alignment horizontal="center"/>
    </xf>
    <xf numFmtId="0" fontId="15" fillId="5" borderId="74" xfId="0" applyFont="1" applyFill="1" applyBorder="1" applyAlignment="1">
      <alignment horizontal="center" vertical="center"/>
    </xf>
    <xf numFmtId="0" fontId="15" fillId="5" borderId="20" xfId="0" applyFont="1" applyFill="1" applyBorder="1" applyAlignment="1">
      <alignment horizontal="center" vertical="center"/>
    </xf>
    <xf numFmtId="0" fontId="15" fillId="5" borderId="21" xfId="0" applyFont="1" applyFill="1" applyBorder="1" applyAlignment="1">
      <alignment horizontal="center" vertical="center"/>
    </xf>
    <xf numFmtId="3" fontId="11" fillId="10" borderId="54" xfId="0" applyNumberFormat="1" applyFont="1" applyFill="1" applyBorder="1" applyAlignment="1">
      <alignment horizontal="center" vertical="center"/>
    </xf>
    <xf numFmtId="3" fontId="11" fillId="10" borderId="60" xfId="0" applyNumberFormat="1" applyFont="1" applyFill="1" applyBorder="1" applyAlignment="1">
      <alignment horizontal="center" vertical="center"/>
    </xf>
    <xf numFmtId="3" fontId="11" fillId="10" borderId="55" xfId="0" applyNumberFormat="1" applyFont="1" applyFill="1" applyBorder="1" applyAlignment="1">
      <alignment horizontal="center" vertical="center"/>
    </xf>
    <xf numFmtId="3" fontId="11" fillId="10" borderId="56" xfId="0" applyNumberFormat="1" applyFont="1" applyFill="1" applyBorder="1" applyAlignment="1">
      <alignment horizontal="center" vertical="center"/>
    </xf>
    <xf numFmtId="0" fontId="15" fillId="5" borderId="19" xfId="0" applyFont="1" applyFill="1" applyBorder="1" applyAlignment="1">
      <alignment horizontal="center" vertical="center"/>
    </xf>
    <xf numFmtId="3" fontId="18" fillId="7" borderId="14" xfId="3" applyNumberFormat="1" applyFont="1" applyFill="1" applyBorder="1" applyAlignment="1">
      <alignment horizontal="center" vertical="center"/>
    </xf>
    <xf numFmtId="3" fontId="11" fillId="7" borderId="14" xfId="0" applyNumberFormat="1" applyFont="1" applyFill="1" applyBorder="1" applyAlignment="1">
      <alignment horizontal="center" vertical="center"/>
    </xf>
    <xf numFmtId="3" fontId="11" fillId="7" borderId="33" xfId="0" applyNumberFormat="1" applyFont="1" applyFill="1" applyBorder="1" applyAlignment="1">
      <alignment horizontal="center" vertical="center"/>
    </xf>
    <xf numFmtId="3" fontId="11" fillId="7" borderId="24" xfId="0" applyNumberFormat="1" applyFont="1" applyFill="1" applyBorder="1" applyAlignment="1">
      <alignment horizontal="center" vertical="center"/>
    </xf>
    <xf numFmtId="3" fontId="11" fillId="10" borderId="80" xfId="0" applyNumberFormat="1" applyFont="1" applyFill="1" applyBorder="1" applyAlignment="1">
      <alignment horizontal="center" vertical="center"/>
    </xf>
    <xf numFmtId="3" fontId="11" fillId="10" borderId="19" xfId="0" applyNumberFormat="1" applyFont="1" applyFill="1" applyBorder="1" applyAlignment="1">
      <alignment horizontal="center" vertical="center"/>
    </xf>
    <xf numFmtId="3" fontId="11" fillId="10" borderId="20" xfId="0" applyNumberFormat="1" applyFont="1" applyFill="1" applyBorder="1" applyAlignment="1">
      <alignment horizontal="center" vertical="center"/>
    </xf>
    <xf numFmtId="3" fontId="11" fillId="10" borderId="21" xfId="0" applyNumberFormat="1" applyFont="1" applyFill="1" applyBorder="1" applyAlignment="1">
      <alignment horizontal="center" vertical="center"/>
    </xf>
    <xf numFmtId="3" fontId="18" fillId="7" borderId="24" xfId="3" applyNumberFormat="1" applyFont="1" applyFill="1" applyBorder="1" applyAlignment="1">
      <alignment horizontal="center" vertical="center"/>
    </xf>
    <xf numFmtId="3" fontId="19" fillId="11" borderId="19" xfId="3" applyNumberFormat="1" applyFont="1" applyFill="1" applyBorder="1" applyAlignment="1">
      <alignment horizontal="center" vertical="center" wrapText="1"/>
    </xf>
    <xf numFmtId="3" fontId="19" fillId="11" borderId="20" xfId="3" applyNumberFormat="1" applyFont="1" applyFill="1" applyBorder="1" applyAlignment="1">
      <alignment horizontal="center" vertical="center" wrapText="1"/>
    </xf>
    <xf numFmtId="3" fontId="19" fillId="11" borderId="60" xfId="3" applyNumberFormat="1" applyFont="1" applyFill="1" applyBorder="1" applyAlignment="1">
      <alignment horizontal="center" vertical="center" wrapText="1"/>
    </xf>
    <xf numFmtId="3" fontId="18" fillId="9" borderId="19" xfId="0" applyNumberFormat="1" applyFont="1" applyFill="1" applyBorder="1" applyAlignment="1">
      <alignment horizontal="center"/>
    </xf>
    <xf numFmtId="3" fontId="18" fillId="9" borderId="20" xfId="0" applyNumberFormat="1" applyFont="1" applyFill="1" applyBorder="1" applyAlignment="1">
      <alignment horizontal="center"/>
    </xf>
    <xf numFmtId="3" fontId="18" fillId="9" borderId="21" xfId="0" applyNumberFormat="1" applyFont="1" applyFill="1" applyBorder="1" applyAlignment="1">
      <alignment horizontal="center"/>
    </xf>
    <xf numFmtId="3" fontId="18" fillId="8" borderId="30" xfId="3" applyNumberFormat="1" applyFont="1" applyFill="1" applyBorder="1" applyAlignment="1">
      <alignment horizontal="center"/>
    </xf>
    <xf numFmtId="3" fontId="18" fillId="8" borderId="31" xfId="3" applyNumberFormat="1" applyFont="1" applyFill="1" applyBorder="1" applyAlignment="1">
      <alignment horizontal="center"/>
    </xf>
    <xf numFmtId="3" fontId="18" fillId="8" borderId="61" xfId="3" applyNumberFormat="1" applyFont="1" applyFill="1" applyBorder="1" applyAlignment="1">
      <alignment horizontal="center"/>
    </xf>
    <xf numFmtId="3" fontId="18" fillId="8" borderId="32" xfId="3" applyNumberFormat="1" applyFont="1" applyFill="1" applyBorder="1" applyAlignment="1">
      <alignment horizontal="center"/>
    </xf>
    <xf numFmtId="3" fontId="18" fillId="11" borderId="19" xfId="0" applyNumberFormat="1" applyFont="1" applyFill="1" applyBorder="1" applyAlignment="1">
      <alignment horizontal="center"/>
    </xf>
    <xf numFmtId="3" fontId="18" fillId="11" borderId="20" xfId="0" applyNumberFormat="1" applyFont="1" applyFill="1" applyBorder="1" applyAlignment="1">
      <alignment horizontal="center"/>
    </xf>
    <xf numFmtId="3" fontId="18" fillId="11" borderId="21" xfId="0" applyNumberFormat="1" applyFont="1" applyFill="1" applyBorder="1" applyAlignment="1">
      <alignment horizontal="center"/>
    </xf>
    <xf numFmtId="3" fontId="18" fillId="7" borderId="30" xfId="3" applyNumberFormat="1" applyFont="1" applyFill="1" applyBorder="1" applyAlignment="1">
      <alignment horizontal="center"/>
    </xf>
    <xf numFmtId="3" fontId="18" fillId="7" borderId="31" xfId="3" applyNumberFormat="1" applyFont="1" applyFill="1" applyBorder="1" applyAlignment="1">
      <alignment horizontal="center"/>
    </xf>
    <xf numFmtId="3" fontId="18" fillId="7" borderId="61" xfId="3" applyNumberFormat="1" applyFont="1" applyFill="1" applyBorder="1" applyAlignment="1">
      <alignment horizontal="center"/>
    </xf>
    <xf numFmtId="3" fontId="18" fillId="7" borderId="32" xfId="3" applyNumberFormat="1" applyFont="1" applyFill="1" applyBorder="1" applyAlignment="1">
      <alignment horizontal="center"/>
    </xf>
    <xf numFmtId="3" fontId="11" fillId="10" borderId="19" xfId="0" applyNumberFormat="1" applyFont="1" applyFill="1" applyBorder="1" applyAlignment="1">
      <alignment horizontal="center"/>
    </xf>
    <xf numFmtId="3" fontId="11" fillId="10" borderId="20" xfId="0" applyNumberFormat="1" applyFont="1" applyFill="1" applyBorder="1" applyAlignment="1">
      <alignment horizontal="center"/>
    </xf>
    <xf numFmtId="3" fontId="11" fillId="10" borderId="21" xfId="0" applyNumberFormat="1" applyFont="1" applyFill="1" applyBorder="1" applyAlignment="1">
      <alignment horizontal="center"/>
    </xf>
    <xf numFmtId="3" fontId="18" fillId="7" borderId="16" xfId="3" applyNumberFormat="1" applyFont="1" applyFill="1" applyBorder="1" applyAlignment="1">
      <alignment horizontal="center" vertical="center"/>
    </xf>
    <xf numFmtId="3" fontId="18" fillId="7" borderId="42" xfId="3" applyNumberFormat="1" applyFont="1" applyFill="1" applyBorder="1" applyAlignment="1">
      <alignment horizontal="center" vertical="center"/>
    </xf>
    <xf numFmtId="3" fontId="18" fillId="7" borderId="11" xfId="3" applyNumberFormat="1" applyFont="1" applyFill="1" applyBorder="1" applyAlignment="1">
      <alignment horizontal="center" vertical="center"/>
    </xf>
    <xf numFmtId="3" fontId="18" fillId="11" borderId="16" xfId="0" applyNumberFormat="1" applyFont="1" applyFill="1" applyBorder="1" applyAlignment="1">
      <alignment horizontal="center" vertical="center"/>
    </xf>
    <xf numFmtId="3" fontId="18" fillId="11" borderId="42" xfId="0" applyNumberFormat="1" applyFont="1" applyFill="1" applyBorder="1" applyAlignment="1">
      <alignment horizontal="center" vertical="center"/>
    </xf>
    <xf numFmtId="3" fontId="18" fillId="11" borderId="11" xfId="0" applyNumberFormat="1" applyFont="1" applyFill="1" applyBorder="1" applyAlignment="1">
      <alignment horizontal="center" vertical="center"/>
    </xf>
    <xf numFmtId="3" fontId="11" fillId="7" borderId="16" xfId="0" applyNumberFormat="1" applyFont="1" applyFill="1" applyBorder="1" applyAlignment="1">
      <alignment horizontal="center" vertical="center"/>
    </xf>
    <xf numFmtId="3" fontId="11" fillId="7" borderId="42" xfId="0" applyNumberFormat="1" applyFont="1" applyFill="1" applyBorder="1" applyAlignment="1">
      <alignment horizontal="center" vertical="center"/>
    </xf>
    <xf numFmtId="3" fontId="11" fillId="7" borderId="11" xfId="0" applyNumberFormat="1" applyFont="1" applyFill="1" applyBorder="1" applyAlignment="1">
      <alignment horizontal="center" vertical="center"/>
    </xf>
    <xf numFmtId="3" fontId="11" fillId="7" borderId="14" xfId="0" applyNumberFormat="1" applyFont="1" applyFill="1" applyBorder="1" applyAlignment="1">
      <alignment horizontal="center"/>
    </xf>
    <xf numFmtId="3" fontId="11" fillId="7" borderId="33" xfId="0" applyNumberFormat="1" applyFont="1" applyFill="1" applyBorder="1" applyAlignment="1">
      <alignment horizontal="center"/>
    </xf>
    <xf numFmtId="3" fontId="11" fillId="7" borderId="24" xfId="0" applyNumberFormat="1" applyFont="1" applyFill="1" applyBorder="1" applyAlignment="1">
      <alignment horizontal="center"/>
    </xf>
    <xf numFmtId="3" fontId="10" fillId="7" borderId="12" xfId="0" applyNumberFormat="1" applyFont="1" applyFill="1" applyBorder="1" applyAlignment="1">
      <alignment horizontal="center" vertical="center" wrapText="1"/>
    </xf>
    <xf numFmtId="3" fontId="10" fillId="7" borderId="66" xfId="0" applyNumberFormat="1" applyFont="1" applyFill="1" applyBorder="1" applyAlignment="1">
      <alignment horizontal="center" vertical="center" wrapText="1"/>
    </xf>
    <xf numFmtId="0" fontId="11" fillId="7" borderId="19" xfId="0" applyFont="1" applyFill="1" applyBorder="1" applyAlignment="1">
      <alignment horizontal="center"/>
    </xf>
    <xf numFmtId="0" fontId="11" fillId="7" borderId="20" xfId="0" applyFont="1" applyFill="1" applyBorder="1" applyAlignment="1">
      <alignment horizontal="center"/>
    </xf>
    <xf numFmtId="0" fontId="11" fillId="7" borderId="21" xfId="0" applyFont="1" applyFill="1" applyBorder="1" applyAlignment="1">
      <alignment horizontal="center"/>
    </xf>
    <xf numFmtId="3" fontId="10" fillId="7" borderId="10" xfId="0" applyNumberFormat="1" applyFont="1" applyFill="1" applyBorder="1" applyAlignment="1">
      <alignment horizontal="center" vertical="center" wrapText="1"/>
    </xf>
    <xf numFmtId="3" fontId="10" fillId="7" borderId="19" xfId="0" applyNumberFormat="1" applyFont="1" applyFill="1" applyBorder="1" applyAlignment="1">
      <alignment horizontal="center" vertical="center"/>
    </xf>
    <xf numFmtId="3" fontId="10" fillId="7" borderId="20" xfId="0" applyNumberFormat="1" applyFont="1" applyFill="1" applyBorder="1" applyAlignment="1">
      <alignment horizontal="center" vertical="center"/>
    </xf>
    <xf numFmtId="3" fontId="10" fillId="7" borderId="21" xfId="0" applyNumberFormat="1" applyFont="1" applyFill="1"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0" fillId="0" borderId="42" xfId="0" applyBorder="1" applyAlignment="1">
      <alignment horizontal="center"/>
    </xf>
    <xf numFmtId="0" fontId="0" fillId="0" borderId="33" xfId="0" applyBorder="1" applyAlignment="1">
      <alignment horizontal="center"/>
    </xf>
    <xf numFmtId="0" fontId="0" fillId="0" borderId="2" xfId="0" applyBorder="1" applyAlignment="1">
      <alignment horizontal="center" vertical="center"/>
    </xf>
    <xf numFmtId="0" fontId="0" fillId="0" borderId="18" xfId="0" applyBorder="1" applyAlignment="1">
      <alignment horizontal="center" vertical="center"/>
    </xf>
    <xf numFmtId="0" fontId="39" fillId="0" borderId="0" xfId="0" applyFont="1" applyAlignment="1">
      <alignment horizontal="left" wrapText="1"/>
    </xf>
    <xf numFmtId="0" fontId="56" fillId="65" borderId="158" xfId="0" applyFont="1" applyFill="1" applyBorder="1" applyAlignment="1">
      <alignment horizontal="center" vertical="center"/>
    </xf>
    <xf numFmtId="0" fontId="56" fillId="65" borderId="0" xfId="0" applyFont="1" applyFill="1" applyAlignment="1">
      <alignment horizontal="center" vertical="center"/>
    </xf>
    <xf numFmtId="0" fontId="79" fillId="85" borderId="157" xfId="0" applyFont="1" applyFill="1" applyBorder="1" applyAlignment="1">
      <alignment horizontal="center" vertical="center"/>
    </xf>
    <xf numFmtId="0" fontId="79" fillId="85" borderId="153" xfId="0" applyFont="1" applyFill="1" applyBorder="1" applyAlignment="1">
      <alignment horizontal="center" vertical="center"/>
    </xf>
    <xf numFmtId="0" fontId="79" fillId="85" borderId="152" xfId="0" applyFont="1" applyFill="1" applyBorder="1" applyAlignment="1">
      <alignment horizontal="center" vertical="center"/>
    </xf>
    <xf numFmtId="0" fontId="56" fillId="86" borderId="158" xfId="0" applyFont="1" applyFill="1" applyBorder="1" applyAlignment="1">
      <alignment horizontal="center" vertical="center"/>
    </xf>
    <xf numFmtId="0" fontId="56" fillId="86" borderId="0" xfId="0" applyFont="1" applyFill="1" applyAlignment="1">
      <alignment horizontal="center" vertical="center"/>
    </xf>
    <xf numFmtId="0" fontId="39" fillId="6" borderId="14" xfId="0" applyFont="1" applyFill="1" applyBorder="1" applyAlignment="1">
      <alignment horizontal="center"/>
    </xf>
    <xf numFmtId="0" fontId="39" fillId="6" borderId="33" xfId="0" applyFont="1" applyFill="1" applyBorder="1" applyAlignment="1">
      <alignment horizontal="center"/>
    </xf>
    <xf numFmtId="0" fontId="39" fillId="6" borderId="24" xfId="0" applyFont="1" applyFill="1" applyBorder="1" applyAlignment="1">
      <alignment horizontal="center"/>
    </xf>
    <xf numFmtId="0" fontId="39" fillId="6" borderId="15" xfId="0" applyFont="1" applyFill="1" applyBorder="1" applyAlignment="1">
      <alignment horizontal="center"/>
    </xf>
    <xf numFmtId="0" fontId="39" fillId="6" borderId="0" xfId="0" applyFont="1" applyFill="1" applyAlignment="1">
      <alignment horizontal="center"/>
    </xf>
    <xf numFmtId="0" fontId="39" fillId="6" borderId="49" xfId="0" applyFont="1" applyFill="1" applyBorder="1" applyAlignment="1">
      <alignment horizontal="center"/>
    </xf>
    <xf numFmtId="0" fontId="39" fillId="6" borderId="16" xfId="0" applyFont="1" applyFill="1" applyBorder="1" applyAlignment="1">
      <alignment horizontal="center"/>
    </xf>
    <xf numFmtId="0" fontId="39" fillId="6" borderId="42" xfId="0" applyFont="1" applyFill="1" applyBorder="1" applyAlignment="1">
      <alignment horizontal="center"/>
    </xf>
    <xf numFmtId="0" fontId="39" fillId="6" borderId="11" xfId="0" applyFont="1" applyFill="1" applyBorder="1" applyAlignment="1">
      <alignment horizontal="center"/>
    </xf>
    <xf numFmtId="0" fontId="39" fillId="41" borderId="14" xfId="0" applyFont="1" applyFill="1" applyBorder="1" applyAlignment="1">
      <alignment horizontal="center"/>
    </xf>
    <xf numFmtId="0" fontId="39" fillId="41" borderId="33" xfId="0" applyFont="1" applyFill="1" applyBorder="1" applyAlignment="1">
      <alignment horizontal="center"/>
    </xf>
    <xf numFmtId="0" fontId="39" fillId="41" borderId="24" xfId="0" applyFont="1" applyFill="1" applyBorder="1" applyAlignment="1">
      <alignment horizontal="center"/>
    </xf>
    <xf numFmtId="0" fontId="39" fillId="41" borderId="15" xfId="0" applyFont="1" applyFill="1" applyBorder="1" applyAlignment="1">
      <alignment horizontal="center"/>
    </xf>
    <xf numFmtId="0" fontId="39" fillId="41" borderId="0" xfId="0" applyFont="1" applyFill="1" applyAlignment="1">
      <alignment horizontal="center"/>
    </xf>
    <xf numFmtId="0" fontId="39" fillId="41" borderId="49" xfId="0" applyFont="1" applyFill="1" applyBorder="1" applyAlignment="1">
      <alignment horizontal="center"/>
    </xf>
    <xf numFmtId="0" fontId="39" fillId="41" borderId="16" xfId="0" applyFont="1" applyFill="1" applyBorder="1" applyAlignment="1">
      <alignment horizontal="center"/>
    </xf>
    <xf numFmtId="0" fontId="39" fillId="41" borderId="42" xfId="0" applyFont="1" applyFill="1" applyBorder="1" applyAlignment="1">
      <alignment horizontal="center"/>
    </xf>
    <xf numFmtId="0" fontId="39" fillId="41" borderId="11" xfId="0" applyFont="1" applyFill="1" applyBorder="1" applyAlignment="1">
      <alignment horizontal="center"/>
    </xf>
    <xf numFmtId="0" fontId="39" fillId="0" borderId="1" xfId="0" applyFont="1" applyBorder="1" applyAlignment="1">
      <alignment horizontal="center" wrapText="1"/>
    </xf>
    <xf numFmtId="0" fontId="3" fillId="84" borderId="0" xfId="0" applyFont="1" applyFill="1" applyAlignment="1">
      <alignment horizontal="center" vertical="center"/>
    </xf>
    <xf numFmtId="0" fontId="74" fillId="44" borderId="1" xfId="0" applyFont="1" applyFill="1" applyBorder="1" applyAlignment="1">
      <alignment horizontal="center" vertical="center"/>
    </xf>
    <xf numFmtId="0" fontId="5" fillId="0" borderId="1" xfId="0" applyFont="1" applyBorder="1" applyAlignment="1">
      <alignment horizontal="center"/>
    </xf>
    <xf numFmtId="0" fontId="5" fillId="11" borderId="2" xfId="0" applyFont="1" applyFill="1" applyBorder="1" applyAlignment="1">
      <alignment horizontal="center"/>
    </xf>
    <xf numFmtId="0" fontId="5" fillId="11" borderId="18" xfId="0" applyFont="1" applyFill="1" applyBorder="1" applyAlignment="1">
      <alignment horizontal="center"/>
    </xf>
    <xf numFmtId="0" fontId="77" fillId="21" borderId="2" xfId="0" applyFont="1" applyFill="1" applyBorder="1" applyAlignment="1">
      <alignment horizontal="center" vertical="center"/>
    </xf>
    <xf numFmtId="0" fontId="77" fillId="21" borderId="18" xfId="0" applyFont="1" applyFill="1" applyBorder="1" applyAlignment="1">
      <alignment horizontal="center" vertical="center"/>
    </xf>
    <xf numFmtId="0" fontId="0" fillId="0" borderId="14" xfId="0" applyBorder="1" applyAlignment="1">
      <alignment horizontal="center" vertical="center" wrapText="1"/>
    </xf>
    <xf numFmtId="0" fontId="0" fillId="0" borderId="24" xfId="0" applyBorder="1" applyAlignment="1">
      <alignment horizontal="center" vertical="center" wrapText="1"/>
    </xf>
    <xf numFmtId="0" fontId="0" fillId="0" borderId="15" xfId="0" applyBorder="1" applyAlignment="1">
      <alignment horizontal="center" vertical="center" wrapText="1"/>
    </xf>
    <xf numFmtId="0" fontId="0" fillId="0" borderId="49" xfId="0" applyBorder="1" applyAlignment="1">
      <alignment horizontal="center" vertical="center" wrapText="1"/>
    </xf>
    <xf numFmtId="0" fontId="0" fillId="0" borderId="16" xfId="0" applyBorder="1" applyAlignment="1">
      <alignment horizontal="center" vertical="center" wrapText="1"/>
    </xf>
    <xf numFmtId="0" fontId="0" fillId="0" borderId="11" xfId="0" applyBorder="1" applyAlignment="1">
      <alignment horizontal="center" vertical="center" wrapText="1"/>
    </xf>
    <xf numFmtId="0" fontId="76" fillId="0" borderId="1" xfId="0" applyFont="1" applyBorder="1" applyAlignment="1">
      <alignment horizontal="center" vertical="center"/>
    </xf>
    <xf numFmtId="0" fontId="75" fillId="18" borderId="1" xfId="0" applyFont="1" applyFill="1" applyBorder="1" applyAlignment="1">
      <alignment horizontal="center"/>
    </xf>
    <xf numFmtId="0" fontId="74" fillId="18" borderId="1" xfId="0" applyFont="1" applyFill="1" applyBorder="1" applyAlignment="1">
      <alignment horizontal="center"/>
    </xf>
    <xf numFmtId="0" fontId="116" fillId="45" borderId="110" xfId="0" applyFont="1" applyFill="1" applyBorder="1" applyAlignment="1">
      <alignment horizontal="left" vertical="center" wrapText="1"/>
    </xf>
    <xf numFmtId="0" fontId="5" fillId="45" borderId="133" xfId="0" applyFont="1" applyFill="1" applyBorder="1" applyAlignment="1">
      <alignment horizontal="left" vertical="center" wrapText="1"/>
    </xf>
    <xf numFmtId="0" fontId="5" fillId="45" borderId="132" xfId="0" applyFont="1" applyFill="1" applyBorder="1" applyAlignment="1">
      <alignment horizontal="left" vertical="center" wrapText="1"/>
    </xf>
    <xf numFmtId="0" fontId="35" fillId="0" borderId="12" xfId="0" applyFont="1" applyBorder="1" applyAlignment="1">
      <alignment horizontal="center" vertical="center" textRotation="90"/>
    </xf>
    <xf numFmtId="0" fontId="35" fillId="0" borderId="13" xfId="0" applyFont="1" applyBorder="1" applyAlignment="1">
      <alignment horizontal="center" vertical="center" textRotation="90"/>
    </xf>
    <xf numFmtId="0" fontId="35" fillId="0" borderId="10" xfId="0" applyFont="1" applyBorder="1" applyAlignment="1">
      <alignment horizontal="center" vertical="center" textRotation="90"/>
    </xf>
    <xf numFmtId="0" fontId="0" fillId="0" borderId="0" xfId="0" applyAlignment="1">
      <alignment horizontal="center"/>
    </xf>
    <xf numFmtId="49" fontId="22" fillId="13" borderId="1" xfId="0" applyNumberFormat="1" applyFont="1" applyFill="1" applyBorder="1" applyAlignment="1">
      <alignment horizontal="center" vertical="center"/>
    </xf>
    <xf numFmtId="0" fontId="125" fillId="7" borderId="25" xfId="10" applyFont="1" applyFill="1" applyBorder="1" applyAlignment="1">
      <alignment horizontal="center" vertical="center" textRotation="90"/>
    </xf>
    <xf numFmtId="0" fontId="125" fillId="7" borderId="27" xfId="10" applyFont="1" applyFill="1" applyBorder="1" applyAlignment="1">
      <alignment horizontal="center" vertical="center" textRotation="90"/>
    </xf>
    <xf numFmtId="0" fontId="40" fillId="0" borderId="19" xfId="0" applyFont="1" applyBorder="1" applyAlignment="1">
      <alignment horizontal="center"/>
    </xf>
    <xf numFmtId="0" fontId="40" fillId="0" borderId="20" xfId="0" applyFont="1" applyBorder="1" applyAlignment="1">
      <alignment horizontal="center"/>
    </xf>
    <xf numFmtId="0" fontId="40" fillId="0" borderId="21" xfId="0" applyFont="1" applyBorder="1" applyAlignment="1">
      <alignment horizontal="center"/>
    </xf>
    <xf numFmtId="0" fontId="39" fillId="0" borderId="25" xfId="0" applyFont="1" applyBorder="1" applyAlignment="1">
      <alignment horizontal="center" vertical="center"/>
    </xf>
    <xf numFmtId="0" fontId="39" fillId="0" borderId="25" xfId="0" applyFont="1" applyBorder="1" applyAlignment="1">
      <alignment horizontal="center"/>
    </xf>
    <xf numFmtId="0" fontId="53" fillId="38" borderId="2" xfId="0" applyFont="1" applyFill="1" applyBorder="1" applyAlignment="1">
      <alignment horizontal="center" vertical="center" wrapText="1"/>
    </xf>
    <xf numFmtId="0" fontId="53" fillId="38" borderId="18" xfId="0" applyFont="1" applyFill="1" applyBorder="1" applyAlignment="1">
      <alignment horizontal="center" vertical="center" wrapText="1"/>
    </xf>
    <xf numFmtId="0" fontId="54" fillId="38" borderId="2" xfId="0" applyFont="1" applyFill="1" applyBorder="1" applyAlignment="1">
      <alignment horizontal="center" vertical="center"/>
    </xf>
    <xf numFmtId="0" fontId="54" fillId="38" borderId="40" xfId="0" applyFont="1" applyFill="1" applyBorder="1" applyAlignment="1">
      <alignment horizontal="center" vertical="center"/>
    </xf>
    <xf numFmtId="0" fontId="54" fillId="38" borderId="18" xfId="0" applyFont="1" applyFill="1" applyBorder="1" applyAlignment="1">
      <alignment horizontal="center" vertical="center"/>
    </xf>
    <xf numFmtId="0" fontId="53" fillId="38" borderId="40" xfId="0" applyFont="1" applyFill="1" applyBorder="1" applyAlignment="1">
      <alignment horizontal="center" vertical="center" wrapText="1"/>
    </xf>
    <xf numFmtId="0" fontId="62" fillId="38" borderId="2" xfId="0" applyFont="1" applyFill="1" applyBorder="1" applyAlignment="1">
      <alignment horizontal="center" vertical="center" wrapText="1"/>
    </xf>
    <xf numFmtId="0" fontId="62" fillId="38" borderId="40" xfId="0" applyFont="1" applyFill="1" applyBorder="1" applyAlignment="1">
      <alignment horizontal="center" vertical="center" wrapText="1"/>
    </xf>
    <xf numFmtId="0" fontId="62" fillId="38" borderId="18" xfId="0" applyFont="1" applyFill="1" applyBorder="1" applyAlignment="1">
      <alignment horizontal="center" vertical="center" wrapText="1"/>
    </xf>
    <xf numFmtId="0" fontId="53" fillId="0" borderId="2" xfId="0" applyFont="1" applyBorder="1" applyAlignment="1">
      <alignment horizontal="center" vertical="center"/>
    </xf>
    <xf numFmtId="0" fontId="53" fillId="0" borderId="40" xfId="0" applyFont="1" applyBorder="1" applyAlignment="1">
      <alignment horizontal="center" vertical="center"/>
    </xf>
    <xf numFmtId="0" fontId="53" fillId="0" borderId="18" xfId="0" applyFont="1" applyBorder="1" applyAlignment="1">
      <alignment horizontal="center" vertical="center"/>
    </xf>
    <xf numFmtId="0" fontId="119" fillId="25" borderId="19" xfId="0" applyFont="1" applyFill="1" applyBorder="1" applyAlignment="1">
      <alignment horizontal="center" vertical="center"/>
    </xf>
    <xf numFmtId="0" fontId="119" fillId="25" borderId="21" xfId="0" applyFont="1" applyFill="1" applyBorder="1" applyAlignment="1">
      <alignment horizontal="center" vertical="center"/>
    </xf>
    <xf numFmtId="0" fontId="41" fillId="13" borderId="16" xfId="0" applyFont="1" applyFill="1" applyBorder="1" applyAlignment="1">
      <alignment horizontal="center" vertical="center"/>
    </xf>
    <xf numFmtId="0" fontId="41" fillId="13" borderId="11" xfId="0" applyFont="1" applyFill="1" applyBorder="1" applyAlignment="1">
      <alignment horizontal="center" vertical="center"/>
    </xf>
    <xf numFmtId="0" fontId="41" fillId="39" borderId="16" xfId="0" applyFont="1" applyFill="1" applyBorder="1" applyAlignment="1">
      <alignment horizontal="center" vertical="center"/>
    </xf>
    <xf numFmtId="0" fontId="41" fillId="39" borderId="11" xfId="0" applyFont="1" applyFill="1" applyBorder="1" applyAlignment="1">
      <alignment horizontal="center" vertical="center"/>
    </xf>
    <xf numFmtId="0" fontId="55" fillId="6" borderId="1" xfId="0" applyFont="1" applyFill="1" applyBorder="1" applyAlignment="1">
      <alignment horizontal="center" vertical="center"/>
    </xf>
    <xf numFmtId="0" fontId="55" fillId="38" borderId="1" xfId="0" applyFont="1" applyFill="1" applyBorder="1" applyAlignment="1">
      <alignment horizontal="center" vertical="center"/>
    </xf>
    <xf numFmtId="0" fontId="53" fillId="0" borderId="1" xfId="0" applyFont="1" applyBorder="1" applyAlignment="1">
      <alignment horizontal="center" vertical="center"/>
    </xf>
    <xf numFmtId="0" fontId="53" fillId="0" borderId="1" xfId="0" applyFont="1" applyBorder="1" applyAlignment="1">
      <alignment horizontal="center" vertical="center" wrapText="1"/>
    </xf>
    <xf numFmtId="0" fontId="63" fillId="38" borderId="1" xfId="0" applyFont="1" applyFill="1" applyBorder="1" applyAlignment="1">
      <alignment horizontal="center" vertical="center"/>
    </xf>
    <xf numFmtId="0" fontId="19" fillId="0" borderId="1" xfId="0" applyFont="1" applyBorder="1" applyAlignment="1">
      <alignment horizontal="center" vertical="center"/>
    </xf>
    <xf numFmtId="0" fontId="19" fillId="0" borderId="7" xfId="0" applyFont="1" applyBorder="1" applyAlignment="1">
      <alignment horizontal="center" vertical="center"/>
    </xf>
    <xf numFmtId="0" fontId="10" fillId="36" borderId="54" xfId="0" applyFont="1" applyFill="1" applyBorder="1" applyAlignment="1">
      <alignment horizontal="center" vertical="center"/>
    </xf>
    <xf numFmtId="0" fontId="10" fillId="36" borderId="55" xfId="0" applyFont="1" applyFill="1" applyBorder="1" applyAlignment="1">
      <alignment horizontal="center" vertical="center"/>
    </xf>
    <xf numFmtId="0" fontId="10" fillId="36" borderId="56" xfId="0" applyFont="1" applyFill="1" applyBorder="1" applyAlignment="1">
      <alignment horizontal="center" vertical="center"/>
    </xf>
    <xf numFmtId="0" fontId="10" fillId="18" borderId="50" xfId="0" applyFont="1" applyFill="1" applyBorder="1" applyAlignment="1">
      <alignment horizontal="center" vertical="center" wrapText="1"/>
    </xf>
    <xf numFmtId="0" fontId="10" fillId="18" borderId="50" xfId="0" applyFont="1" applyFill="1" applyBorder="1" applyAlignment="1">
      <alignment horizontal="center" vertical="center"/>
    </xf>
    <xf numFmtId="0" fontId="10" fillId="18" borderId="59" xfId="0" applyFont="1" applyFill="1" applyBorder="1" applyAlignment="1">
      <alignment horizontal="center" vertical="center"/>
    </xf>
    <xf numFmtId="0" fontId="10" fillId="14" borderId="50" xfId="0" applyFont="1" applyFill="1" applyBorder="1" applyAlignment="1">
      <alignment horizontal="center" vertical="center" wrapText="1"/>
    </xf>
    <xf numFmtId="0" fontId="10" fillId="14" borderId="50" xfId="0" applyFont="1" applyFill="1" applyBorder="1" applyAlignment="1">
      <alignment horizontal="center" vertical="center"/>
    </xf>
    <xf numFmtId="0" fontId="10" fillId="14" borderId="59" xfId="0" applyFont="1" applyFill="1" applyBorder="1" applyAlignment="1">
      <alignment horizontal="center" vertical="center"/>
    </xf>
    <xf numFmtId="0" fontId="10" fillId="36" borderId="19" xfId="0" applyFont="1" applyFill="1" applyBorder="1" applyAlignment="1">
      <alignment horizontal="center" vertical="center"/>
    </xf>
    <xf numFmtId="0" fontId="10" fillId="36" borderId="20" xfId="0" applyFont="1" applyFill="1" applyBorder="1" applyAlignment="1">
      <alignment horizontal="center" vertical="center"/>
    </xf>
    <xf numFmtId="0" fontId="10" fillId="36" borderId="21" xfId="0" applyFont="1" applyFill="1" applyBorder="1" applyAlignment="1">
      <alignment horizontal="center" vertical="center"/>
    </xf>
    <xf numFmtId="0" fontId="19" fillId="32" borderId="1" xfId="0" applyFont="1" applyFill="1" applyBorder="1" applyAlignment="1">
      <alignment horizontal="center" vertical="center"/>
    </xf>
    <xf numFmtId="0" fontId="19" fillId="32" borderId="7" xfId="0" applyFont="1" applyFill="1" applyBorder="1" applyAlignment="1">
      <alignment horizontal="center" vertical="center"/>
    </xf>
    <xf numFmtId="3" fontId="19" fillId="0" borderId="51" xfId="0" applyNumberFormat="1" applyFont="1" applyBorder="1" applyAlignment="1">
      <alignment horizontal="center" vertical="center"/>
    </xf>
    <xf numFmtId="3" fontId="19" fillId="0" borderId="44" xfId="0" applyNumberFormat="1" applyFont="1" applyBorder="1" applyAlignment="1">
      <alignment horizontal="center" vertical="center"/>
    </xf>
    <xf numFmtId="3" fontId="19" fillId="0" borderId="2" xfId="0" applyNumberFormat="1" applyFont="1" applyBorder="1" applyAlignment="1">
      <alignment horizontal="center" vertical="center"/>
    </xf>
    <xf numFmtId="3" fontId="19" fillId="0" borderId="18" xfId="0" applyNumberFormat="1" applyFont="1" applyBorder="1" applyAlignment="1">
      <alignment horizontal="center" vertical="center"/>
    </xf>
    <xf numFmtId="0" fontId="19" fillId="15" borderId="14" xfId="0" applyFont="1" applyFill="1" applyBorder="1" applyAlignment="1">
      <alignment horizontal="center" vertical="center"/>
    </xf>
    <xf numFmtId="0" fontId="19" fillId="15" borderId="33" xfId="0" applyFont="1" applyFill="1" applyBorder="1" applyAlignment="1">
      <alignment horizontal="center" vertical="center"/>
    </xf>
    <xf numFmtId="0" fontId="19" fillId="15" borderId="24" xfId="0" applyFont="1" applyFill="1" applyBorder="1" applyAlignment="1">
      <alignment horizontal="center" vertical="center"/>
    </xf>
    <xf numFmtId="0" fontId="19" fillId="15" borderId="16" xfId="0" applyFont="1" applyFill="1" applyBorder="1" applyAlignment="1">
      <alignment horizontal="center" vertical="center"/>
    </xf>
    <xf numFmtId="0" fontId="19" fillId="15" borderId="42" xfId="0" applyFont="1" applyFill="1" applyBorder="1" applyAlignment="1">
      <alignment horizontal="center" vertical="center"/>
    </xf>
    <xf numFmtId="0" fontId="19" fillId="15" borderId="11" xfId="0" applyFont="1" applyFill="1" applyBorder="1" applyAlignment="1">
      <alignment horizontal="center" vertical="center"/>
    </xf>
    <xf numFmtId="0" fontId="19" fillId="8" borderId="5" xfId="0" applyFont="1" applyFill="1" applyBorder="1" applyAlignment="1">
      <alignment horizontal="center"/>
    </xf>
    <xf numFmtId="0" fontId="19" fillId="8" borderId="54" xfId="0" applyFont="1" applyFill="1" applyBorder="1" applyAlignment="1">
      <alignment horizontal="center"/>
    </xf>
    <xf numFmtId="0" fontId="19" fillId="8" borderId="55" xfId="0" applyFont="1" applyFill="1" applyBorder="1" applyAlignment="1">
      <alignment horizontal="center"/>
    </xf>
    <xf numFmtId="0" fontId="19" fillId="8" borderId="56" xfId="0" applyFont="1" applyFill="1" applyBorder="1" applyAlignment="1">
      <alignment horizontal="center"/>
    </xf>
    <xf numFmtId="0" fontId="19" fillId="8" borderId="27" xfId="0" applyFont="1" applyFill="1" applyBorder="1" applyAlignment="1">
      <alignment horizontal="center"/>
    </xf>
    <xf numFmtId="0" fontId="19" fillId="0" borderId="4" xfId="0" applyFont="1" applyBorder="1" applyAlignment="1">
      <alignment horizontal="center" vertical="center"/>
    </xf>
    <xf numFmtId="0" fontId="19" fillId="0" borderId="5" xfId="0" applyFont="1" applyBorder="1" applyAlignment="1">
      <alignment horizontal="center" vertical="center"/>
    </xf>
    <xf numFmtId="0" fontId="19" fillId="7" borderId="19" xfId="10" applyFont="1" applyFill="1" applyBorder="1" applyAlignment="1">
      <alignment horizontal="center" vertical="center"/>
    </xf>
    <xf numFmtId="0" fontId="19" fillId="7" borderId="20" xfId="10" applyFont="1" applyFill="1" applyBorder="1" applyAlignment="1">
      <alignment horizontal="center" vertical="center"/>
    </xf>
    <xf numFmtId="0" fontId="19" fillId="7" borderId="21" xfId="10" applyFont="1" applyFill="1" applyBorder="1" applyAlignment="1">
      <alignment horizontal="center" vertical="center"/>
    </xf>
    <xf numFmtId="0" fontId="19" fillId="7" borderId="19" xfId="11" applyFont="1" applyFill="1" applyBorder="1" applyAlignment="1">
      <alignment horizontal="center" vertical="center"/>
    </xf>
    <xf numFmtId="0" fontId="19" fillId="7" borderId="21" xfId="11" applyFont="1" applyFill="1" applyBorder="1" applyAlignment="1">
      <alignment horizontal="center" vertical="center"/>
    </xf>
    <xf numFmtId="0" fontId="46" fillId="7" borderId="19" xfId="11" applyFont="1" applyFill="1" applyBorder="1" applyAlignment="1">
      <alignment horizontal="center" vertical="center"/>
    </xf>
    <xf numFmtId="0" fontId="46" fillId="7" borderId="20" xfId="11" applyFont="1" applyFill="1" applyBorder="1" applyAlignment="1">
      <alignment horizontal="center" vertical="center"/>
    </xf>
    <xf numFmtId="0" fontId="46" fillId="7" borderId="21" xfId="11" applyFont="1" applyFill="1" applyBorder="1" applyAlignment="1">
      <alignment horizontal="center" vertical="center"/>
    </xf>
    <xf numFmtId="0" fontId="49" fillId="7" borderId="12" xfId="10" applyFont="1" applyFill="1" applyBorder="1" applyAlignment="1">
      <alignment horizontal="center" vertical="center"/>
    </xf>
    <xf numFmtId="0" fontId="49" fillId="7" borderId="13" xfId="10" applyFont="1" applyFill="1" applyBorder="1" applyAlignment="1">
      <alignment horizontal="center" vertical="center"/>
    </xf>
    <xf numFmtId="0" fontId="49" fillId="7" borderId="10" xfId="10" applyFont="1" applyFill="1" applyBorder="1" applyAlignment="1">
      <alignment horizontal="center" vertical="center"/>
    </xf>
    <xf numFmtId="0" fontId="19" fillId="0" borderId="1" xfId="0" applyFont="1" applyBorder="1" applyAlignment="1">
      <alignment horizontal="center"/>
    </xf>
    <xf numFmtId="0" fontId="19" fillId="0" borderId="51" xfId="0" applyFont="1" applyBorder="1" applyAlignment="1">
      <alignment horizontal="center"/>
    </xf>
    <xf numFmtId="0" fontId="19" fillId="0" borderId="44" xfId="0" applyFont="1" applyBorder="1" applyAlignment="1">
      <alignment horizontal="center"/>
    </xf>
    <xf numFmtId="0" fontId="19" fillId="0" borderId="27" xfId="0" applyFont="1" applyBorder="1" applyAlignment="1">
      <alignment horizontal="center"/>
    </xf>
    <xf numFmtId="0" fontId="19" fillId="8" borderId="80" xfId="0" applyFont="1" applyFill="1" applyBorder="1" applyAlignment="1">
      <alignment horizontal="center"/>
    </xf>
    <xf numFmtId="0" fontId="19" fillId="8" borderId="60" xfId="0" applyFont="1" applyFill="1" applyBorder="1" applyAlignment="1">
      <alignment horizontal="center"/>
    </xf>
    <xf numFmtId="0" fontId="19" fillId="0" borderId="29" xfId="0" applyFont="1" applyBorder="1" applyAlignment="1">
      <alignment horizontal="center"/>
    </xf>
    <xf numFmtId="0" fontId="19" fillId="0" borderId="25" xfId="0" applyFont="1" applyBorder="1" applyAlignment="1">
      <alignment horizontal="center"/>
    </xf>
    <xf numFmtId="0" fontId="19" fillId="8" borderId="19" xfId="0" applyFont="1" applyFill="1" applyBorder="1" applyAlignment="1">
      <alignment horizontal="center"/>
    </xf>
    <xf numFmtId="0" fontId="19" fillId="8" borderId="20" xfId="0" applyFont="1" applyFill="1" applyBorder="1" applyAlignment="1">
      <alignment horizontal="center"/>
    </xf>
    <xf numFmtId="0" fontId="19" fillId="8" borderId="21" xfId="0" applyFont="1" applyFill="1" applyBorder="1" applyAlignment="1">
      <alignment horizontal="center"/>
    </xf>
    <xf numFmtId="0" fontId="19" fillId="0" borderId="7" xfId="0" applyFont="1" applyBorder="1" applyAlignment="1">
      <alignment horizontal="center"/>
    </xf>
    <xf numFmtId="0" fontId="19" fillId="0" borderId="26" xfId="0" applyFont="1" applyBorder="1" applyAlignment="1">
      <alignment horizontal="center"/>
    </xf>
    <xf numFmtId="0" fontId="19" fillId="0" borderId="4"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7" xfId="0" applyFont="1" applyBorder="1" applyAlignment="1">
      <alignment horizontal="center" vertical="center" wrapText="1"/>
    </xf>
    <xf numFmtId="0" fontId="19" fillId="0" borderId="1"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36" xfId="0" applyFont="1" applyBorder="1" applyAlignment="1">
      <alignment horizontal="center" vertical="center" wrapText="1"/>
    </xf>
    <xf numFmtId="0" fontId="19" fillId="0" borderId="24" xfId="0" applyFont="1" applyBorder="1" applyAlignment="1">
      <alignment horizontal="center" vertical="center" wrapText="1"/>
    </xf>
    <xf numFmtId="0" fontId="19" fillId="0" borderId="86" xfId="0" applyFont="1" applyBorder="1" applyAlignment="1">
      <alignment horizontal="center" vertical="center" wrapText="1"/>
    </xf>
    <xf numFmtId="0" fontId="19" fillId="0" borderId="49" xfId="0" applyFont="1" applyBorder="1" applyAlignment="1">
      <alignment horizontal="center" vertical="center" wrapText="1"/>
    </xf>
    <xf numFmtId="0" fontId="19" fillId="0" borderId="90" xfId="0" applyFont="1" applyBorder="1" applyAlignment="1">
      <alignment horizontal="center" vertical="center" wrapText="1"/>
    </xf>
    <xf numFmtId="0" fontId="19" fillId="0" borderId="11" xfId="0" applyFont="1" applyBorder="1" applyAlignment="1">
      <alignment horizontal="center" vertical="center" wrapText="1"/>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8" borderId="54" xfId="0" applyFont="1" applyFill="1" applyBorder="1" applyAlignment="1">
      <alignment horizontal="center" vertical="center"/>
    </xf>
    <xf numFmtId="0" fontId="19" fillId="8" borderId="55" xfId="0" applyFont="1" applyFill="1" applyBorder="1" applyAlignment="1">
      <alignment horizontal="center" vertical="center"/>
    </xf>
    <xf numFmtId="0" fontId="19" fillId="8" borderId="56" xfId="0" applyFont="1" applyFill="1" applyBorder="1" applyAlignment="1">
      <alignment horizontal="center" vertical="center"/>
    </xf>
    <xf numFmtId="0" fontId="19" fillId="0" borderId="29" xfId="0" applyFont="1" applyBorder="1" applyAlignment="1">
      <alignment horizontal="center" vertical="center"/>
    </xf>
    <xf numFmtId="0" fontId="19" fillId="0" borderId="25" xfId="0" applyFont="1" applyBorder="1" applyAlignment="1">
      <alignment horizontal="center" vertical="center"/>
    </xf>
    <xf numFmtId="0" fontId="19" fillId="0" borderId="84" xfId="0" applyFont="1" applyBorder="1" applyAlignment="1">
      <alignment horizontal="center" vertical="center"/>
    </xf>
    <xf numFmtId="0" fontId="19" fillId="0" borderId="75" xfId="0" applyFont="1" applyBorder="1" applyAlignment="1">
      <alignment horizontal="center" vertical="center"/>
    </xf>
    <xf numFmtId="0" fontId="19" fillId="0" borderId="34" xfId="0" applyFont="1" applyBorder="1" applyAlignment="1">
      <alignment horizontal="center" vertical="center"/>
    </xf>
    <xf numFmtId="0" fontId="19" fillId="0" borderId="8" xfId="0" applyFont="1" applyBorder="1" applyAlignment="1">
      <alignment horizontal="center" vertical="center"/>
    </xf>
    <xf numFmtId="0" fontId="19" fillId="0" borderId="89" xfId="0" applyFont="1" applyBorder="1" applyAlignment="1">
      <alignment horizontal="center" vertical="center"/>
    </xf>
    <xf numFmtId="0" fontId="19" fillId="0" borderId="19" xfId="0" applyFont="1" applyBorder="1" applyAlignment="1">
      <alignment horizontal="center" vertical="center" wrapText="1"/>
    </xf>
    <xf numFmtId="0" fontId="19" fillId="0" borderId="20" xfId="0" applyFont="1" applyBorder="1" applyAlignment="1">
      <alignment horizontal="center" vertical="center" wrapText="1"/>
    </xf>
    <xf numFmtId="0" fontId="19" fillId="0" borderId="21" xfId="0" applyFont="1" applyBorder="1" applyAlignment="1">
      <alignment horizontal="center" vertical="center" wrapText="1"/>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19" fillId="0" borderId="21" xfId="0" applyFont="1" applyBorder="1" applyAlignment="1">
      <alignment horizontal="center" vertical="center"/>
    </xf>
    <xf numFmtId="0" fontId="19" fillId="0" borderId="14" xfId="0" applyFont="1" applyBorder="1" applyAlignment="1">
      <alignment horizontal="center" vertical="center" wrapText="1"/>
    </xf>
    <xf numFmtId="0" fontId="19" fillId="0" borderId="33" xfId="0" applyFont="1" applyBorder="1" applyAlignment="1">
      <alignment horizontal="center" vertical="center" wrapText="1"/>
    </xf>
    <xf numFmtId="0" fontId="19" fillId="0" borderId="16" xfId="0" applyFont="1" applyBorder="1" applyAlignment="1">
      <alignment horizontal="center" vertical="center" wrapText="1"/>
    </xf>
    <xf numFmtId="0" fontId="19" fillId="0" borderId="42" xfId="0" applyFont="1" applyBorder="1" applyAlignment="1">
      <alignment horizontal="center" vertical="center" wrapText="1"/>
    </xf>
    <xf numFmtId="0" fontId="19" fillId="0" borderId="28" xfId="0" applyFont="1" applyBorder="1" applyAlignment="1">
      <alignment horizontal="center" vertical="center"/>
    </xf>
    <xf numFmtId="0" fontId="19" fillId="32" borderId="26" xfId="0" applyFont="1" applyFill="1" applyBorder="1" applyAlignment="1">
      <alignment horizontal="center" vertical="center"/>
    </xf>
    <xf numFmtId="0" fontId="19" fillId="32" borderId="27" xfId="0" applyFont="1" applyFill="1" applyBorder="1" applyAlignment="1">
      <alignment horizontal="center" vertical="center"/>
    </xf>
    <xf numFmtId="3" fontId="19" fillId="0" borderId="52" xfId="0" applyNumberFormat="1" applyFont="1" applyBorder="1" applyAlignment="1">
      <alignment horizontal="center" vertical="center"/>
    </xf>
    <xf numFmtId="3" fontId="19" fillId="0" borderId="35" xfId="0" applyNumberFormat="1" applyFont="1" applyBorder="1" applyAlignment="1">
      <alignment horizontal="center" vertical="center"/>
    </xf>
    <xf numFmtId="0" fontId="19" fillId="0" borderId="4" xfId="0" applyFont="1" applyBorder="1" applyAlignment="1">
      <alignment horizontal="left" vertical="center"/>
    </xf>
    <xf numFmtId="0" fontId="19" fillId="0" borderId="7" xfId="0" applyFont="1" applyBorder="1" applyAlignment="1">
      <alignment horizontal="left" vertical="center"/>
    </xf>
    <xf numFmtId="0" fontId="19" fillId="0" borderId="88" xfId="0" applyFont="1" applyBorder="1" applyAlignment="1">
      <alignment horizontal="center" vertical="center"/>
    </xf>
    <xf numFmtId="0" fontId="7" fillId="0" borderId="5" xfId="0" applyFont="1" applyBorder="1" applyAlignment="1">
      <alignment horizontal="center" vertical="center"/>
    </xf>
    <xf numFmtId="0" fontId="7" fillId="0" borderId="6" xfId="0" applyFont="1" applyBorder="1" applyAlignment="1">
      <alignment horizontal="center" vertical="center"/>
    </xf>
    <xf numFmtId="0" fontId="46" fillId="0" borderId="52" xfId="0" applyFont="1" applyBorder="1" applyAlignment="1">
      <alignment horizontal="left" vertical="center"/>
    </xf>
    <xf numFmtId="0" fontId="46" fillId="0" borderId="62" xfId="0" applyFont="1" applyBorder="1" applyAlignment="1">
      <alignment horizontal="left" vertical="center"/>
    </xf>
    <xf numFmtId="0" fontId="46" fillId="0" borderId="35" xfId="0" applyFont="1" applyBorder="1" applyAlignment="1">
      <alignment horizontal="left" vertical="center"/>
    </xf>
    <xf numFmtId="0" fontId="19" fillId="0" borderId="15" xfId="0" applyFont="1" applyBorder="1" applyAlignment="1">
      <alignment horizontal="center" vertical="center" wrapText="1"/>
    </xf>
    <xf numFmtId="0" fontId="19" fillId="0" borderId="12"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37"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25" xfId="0" applyFont="1" applyBorder="1" applyAlignment="1">
      <alignment horizontal="center" vertical="center" wrapText="1"/>
    </xf>
    <xf numFmtId="0" fontId="19" fillId="0" borderId="51"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50" xfId="0" applyFont="1" applyBorder="1" applyAlignment="1">
      <alignment horizontal="center" vertical="center" wrapText="1"/>
    </xf>
    <xf numFmtId="0" fontId="19" fillId="0" borderId="38" xfId="0" applyFont="1" applyBorder="1" applyAlignment="1">
      <alignment horizontal="center" vertical="center" wrapText="1"/>
    </xf>
    <xf numFmtId="0" fontId="19" fillId="0" borderId="22" xfId="0" applyFont="1" applyBorder="1" applyAlignment="1">
      <alignment horizontal="center" vertical="center" wrapText="1"/>
    </xf>
    <xf numFmtId="0" fontId="45" fillId="7" borderId="19" xfId="10" applyFont="1" applyFill="1" applyBorder="1" applyAlignment="1">
      <alignment horizontal="center" vertical="center"/>
    </xf>
    <xf numFmtId="0" fontId="45" fillId="7" borderId="20" xfId="10" applyFont="1" applyFill="1" applyBorder="1" applyAlignment="1">
      <alignment horizontal="center" vertical="center"/>
    </xf>
    <xf numFmtId="0" fontId="45" fillId="7" borderId="21" xfId="10" applyFont="1" applyFill="1" applyBorder="1" applyAlignment="1">
      <alignment horizontal="center" vertical="center"/>
    </xf>
    <xf numFmtId="0" fontId="19" fillId="7" borderId="19" xfId="10" applyFont="1" applyFill="1" applyBorder="1" applyAlignment="1">
      <alignment horizontal="center" vertical="center" wrapText="1"/>
    </xf>
    <xf numFmtId="0" fontId="19" fillId="7" borderId="20" xfId="10" applyFont="1" applyFill="1" applyBorder="1" applyAlignment="1">
      <alignment horizontal="center" vertical="center" wrapText="1"/>
    </xf>
    <xf numFmtId="0" fontId="19" fillId="7" borderId="21" xfId="10" applyFont="1" applyFill="1" applyBorder="1" applyAlignment="1">
      <alignment horizontal="center" vertical="center" wrapText="1"/>
    </xf>
    <xf numFmtId="0" fontId="19" fillId="0" borderId="89" xfId="0" applyFont="1" applyBorder="1" applyAlignment="1">
      <alignment horizontal="center" vertical="center" wrapText="1"/>
    </xf>
    <xf numFmtId="0" fontId="19" fillId="0" borderId="102" xfId="0" applyFont="1" applyBorder="1" applyAlignment="1">
      <alignment horizontal="center" vertical="center" wrapText="1"/>
    </xf>
    <xf numFmtId="0" fontId="19" fillId="0" borderId="75" xfId="0" applyFont="1" applyBorder="1" applyAlignment="1">
      <alignment horizontal="center" vertical="center" wrapText="1"/>
    </xf>
    <xf numFmtId="168" fontId="19" fillId="0" borderId="89" xfId="0" applyNumberFormat="1" applyFont="1" applyBorder="1" applyAlignment="1">
      <alignment horizontal="center" vertical="center" wrapText="1"/>
    </xf>
    <xf numFmtId="168" fontId="19" fillId="0" borderId="102" xfId="0" applyNumberFormat="1" applyFont="1" applyBorder="1" applyAlignment="1">
      <alignment horizontal="center" vertical="center" wrapText="1"/>
    </xf>
    <xf numFmtId="0" fontId="19" fillId="0" borderId="84" xfId="0" applyFont="1" applyBorder="1" applyAlignment="1">
      <alignment horizontal="center" vertical="center" wrapText="1"/>
    </xf>
    <xf numFmtId="0" fontId="19" fillId="0" borderId="88" xfId="0" applyFont="1" applyBorder="1" applyAlignment="1">
      <alignment horizontal="center" vertical="center" wrapText="1"/>
    </xf>
    <xf numFmtId="0" fontId="19" fillId="0" borderId="6" xfId="0" applyFont="1" applyBorder="1" applyAlignment="1">
      <alignment horizontal="center" vertical="center" wrapText="1"/>
    </xf>
    <xf numFmtId="0" fontId="19" fillId="0" borderId="17" xfId="0" applyFont="1" applyBorder="1" applyAlignment="1">
      <alignment horizontal="center" vertical="center" wrapText="1"/>
    </xf>
    <xf numFmtId="0" fontId="19" fillId="0" borderId="99" xfId="0" applyFont="1" applyBorder="1" applyAlignment="1">
      <alignment horizontal="center" vertical="center" wrapText="1"/>
    </xf>
    <xf numFmtId="0" fontId="19" fillId="0" borderId="100" xfId="0" applyFont="1" applyBorder="1" applyAlignment="1">
      <alignment horizontal="center" vertical="center" wrapText="1"/>
    </xf>
    <xf numFmtId="0" fontId="19" fillId="0" borderId="34"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28" xfId="0" applyFont="1" applyBorder="1" applyAlignment="1">
      <alignment horizontal="center" vertical="center" wrapText="1"/>
    </xf>
    <xf numFmtId="0" fontId="49" fillId="32" borderId="5" xfId="0" applyFont="1" applyFill="1" applyBorder="1" applyAlignment="1">
      <alignment horizontal="center" vertical="center" wrapText="1"/>
    </xf>
    <xf numFmtId="0" fontId="49" fillId="32" borderId="1" xfId="0" applyFont="1" applyFill="1" applyBorder="1" applyAlignment="1">
      <alignment horizontal="center" vertical="center" wrapText="1"/>
    </xf>
    <xf numFmtId="0" fontId="49" fillId="32" borderId="5" xfId="0" applyFont="1" applyFill="1" applyBorder="1" applyAlignment="1">
      <alignment horizontal="center" vertical="center"/>
    </xf>
    <xf numFmtId="0" fontId="49" fillId="32" borderId="1" xfId="0" applyFont="1" applyFill="1" applyBorder="1" applyAlignment="1">
      <alignment horizontal="center" vertical="center"/>
    </xf>
    <xf numFmtId="168" fontId="49" fillId="32" borderId="6" xfId="0" applyNumberFormat="1" applyFont="1" applyFill="1" applyBorder="1" applyAlignment="1">
      <alignment horizontal="center" vertical="center"/>
    </xf>
    <xf numFmtId="168" fontId="49" fillId="32" borderId="8" xfId="0" applyNumberFormat="1" applyFont="1" applyFill="1" applyBorder="1" applyAlignment="1">
      <alignment horizontal="center" vertical="center"/>
    </xf>
    <xf numFmtId="0" fontId="49" fillId="32" borderId="4" xfId="0" applyFont="1" applyFill="1" applyBorder="1" applyAlignment="1">
      <alignment horizontal="center" vertical="center" wrapText="1"/>
    </xf>
    <xf numFmtId="0" fontId="49" fillId="32" borderId="7" xfId="0" applyFont="1" applyFill="1" applyBorder="1" applyAlignment="1">
      <alignment horizontal="center" vertical="center" wrapText="1"/>
    </xf>
    <xf numFmtId="0" fontId="19" fillId="32" borderId="34" xfId="0" applyFont="1" applyFill="1" applyBorder="1" applyAlignment="1">
      <alignment horizontal="center" vertical="center" wrapText="1"/>
    </xf>
    <xf numFmtId="0" fontId="19" fillId="32" borderId="8" xfId="0" applyFont="1" applyFill="1" applyBorder="1" applyAlignment="1">
      <alignment horizontal="center" vertical="center" wrapText="1"/>
    </xf>
    <xf numFmtId="0" fontId="51" fillId="32" borderId="6" xfId="0" applyFont="1" applyFill="1" applyBorder="1" applyAlignment="1">
      <alignment horizontal="center" vertical="center" wrapText="1"/>
    </xf>
    <xf numFmtId="0" fontId="51" fillId="32" borderId="8" xfId="0" applyFont="1" applyFill="1" applyBorder="1" applyAlignment="1">
      <alignment horizontal="center" vertical="center" wrapText="1"/>
    </xf>
    <xf numFmtId="0" fontId="19" fillId="32" borderId="67" xfId="0" applyFont="1" applyFill="1" applyBorder="1" applyAlignment="1">
      <alignment horizontal="center" vertical="center" wrapText="1"/>
    </xf>
    <xf numFmtId="0" fontId="19" fillId="32" borderId="79" xfId="0" applyFont="1" applyFill="1" applyBorder="1" applyAlignment="1">
      <alignment horizontal="center" vertical="center" wrapText="1"/>
    </xf>
    <xf numFmtId="0" fontId="19" fillId="32" borderId="103" xfId="0" applyFont="1" applyFill="1" applyBorder="1" applyAlignment="1">
      <alignment horizontal="center" vertical="center" wrapText="1"/>
    </xf>
    <xf numFmtId="0" fontId="19" fillId="32" borderId="64" xfId="0" applyFont="1" applyFill="1" applyBorder="1" applyAlignment="1">
      <alignment horizontal="center" vertical="center" wrapText="1"/>
    </xf>
    <xf numFmtId="0" fontId="19" fillId="32" borderId="65" xfId="0" applyFont="1" applyFill="1" applyBorder="1" applyAlignment="1">
      <alignment horizontal="center" vertical="center" wrapText="1"/>
    </xf>
    <xf numFmtId="0" fontId="19" fillId="32" borderId="6" xfId="0" applyFont="1" applyFill="1" applyBorder="1" applyAlignment="1">
      <alignment horizontal="center" vertical="center" wrapText="1"/>
    </xf>
    <xf numFmtId="0" fontId="19" fillId="32" borderId="29" xfId="0" applyFont="1" applyFill="1" applyBorder="1" applyAlignment="1">
      <alignment horizontal="center" vertical="center" wrapText="1"/>
    </xf>
    <xf numFmtId="0" fontId="19" fillId="32" borderId="7" xfId="0" applyFont="1" applyFill="1" applyBorder="1" applyAlignment="1">
      <alignment horizontal="center" vertical="center" wrapText="1"/>
    </xf>
    <xf numFmtId="1" fontId="19" fillId="32" borderId="25" xfId="0" applyNumberFormat="1" applyFont="1" applyFill="1" applyBorder="1" applyAlignment="1">
      <alignment horizontal="center" vertical="center" wrapText="1"/>
    </xf>
    <xf numFmtId="1" fontId="19" fillId="32" borderId="1" xfId="0" applyNumberFormat="1" applyFont="1" applyFill="1" applyBorder="1" applyAlignment="1">
      <alignment horizontal="center" vertical="center" wrapText="1"/>
    </xf>
    <xf numFmtId="0" fontId="19" fillId="32" borderId="25" xfId="0" applyFont="1" applyFill="1" applyBorder="1" applyAlignment="1">
      <alignment horizontal="center" vertical="center" wrapText="1"/>
    </xf>
    <xf numFmtId="0" fontId="19" fillId="32" borderId="1" xfId="0" applyFont="1" applyFill="1" applyBorder="1" applyAlignment="1">
      <alignment horizontal="center" vertical="center" wrapText="1"/>
    </xf>
    <xf numFmtId="0" fontId="49" fillId="32" borderId="75" xfId="0" applyFont="1" applyFill="1" applyBorder="1" applyAlignment="1">
      <alignment horizontal="center" vertical="center"/>
    </xf>
    <xf numFmtId="0" fontId="49" fillId="32" borderId="75" xfId="0" applyFont="1" applyFill="1" applyBorder="1" applyAlignment="1">
      <alignment horizontal="center" vertical="center" wrapText="1"/>
    </xf>
    <xf numFmtId="0" fontId="51" fillId="32" borderId="8" xfId="0" applyFont="1" applyFill="1" applyBorder="1" applyAlignment="1">
      <alignment horizontal="center" vertical="center"/>
    </xf>
    <xf numFmtId="0" fontId="51" fillId="32" borderId="89" xfId="0" applyFont="1" applyFill="1" applyBorder="1" applyAlignment="1">
      <alignment horizontal="center" vertical="center"/>
    </xf>
    <xf numFmtId="0" fontId="49" fillId="32" borderId="7" xfId="0" applyFont="1" applyFill="1" applyBorder="1" applyAlignment="1">
      <alignment horizontal="center" vertical="center"/>
    </xf>
    <xf numFmtId="0" fontId="49" fillId="32" borderId="84" xfId="0" applyFont="1" applyFill="1" applyBorder="1" applyAlignment="1">
      <alignment horizontal="center" vertical="center"/>
    </xf>
    <xf numFmtId="168" fontId="51" fillId="32" borderId="6" xfId="0" applyNumberFormat="1" applyFont="1" applyFill="1" applyBorder="1" applyAlignment="1">
      <alignment horizontal="center" vertical="center" wrapText="1"/>
    </xf>
    <xf numFmtId="168" fontId="51" fillId="32" borderId="8" xfId="0" applyNumberFormat="1" applyFont="1" applyFill="1" applyBorder="1" applyAlignment="1">
      <alignment horizontal="center" vertical="center" wrapText="1"/>
    </xf>
    <xf numFmtId="168" fontId="49" fillId="32" borderId="6" xfId="0" applyNumberFormat="1" applyFont="1" applyFill="1" applyBorder="1" applyAlignment="1">
      <alignment horizontal="center" vertical="center" wrapText="1"/>
    </xf>
    <xf numFmtId="168" fontId="49" fillId="32" borderId="8" xfId="0" applyNumberFormat="1" applyFont="1" applyFill="1" applyBorder="1" applyAlignment="1">
      <alignment horizontal="center" vertical="center" wrapText="1"/>
    </xf>
    <xf numFmtId="0" fontId="49" fillId="32" borderId="17" xfId="0" applyFont="1" applyFill="1" applyBorder="1" applyAlignment="1">
      <alignment horizontal="center" vertical="center" wrapText="1"/>
    </xf>
    <xf numFmtId="0" fontId="49" fillId="32" borderId="18" xfId="0" applyFont="1" applyFill="1" applyBorder="1" applyAlignment="1">
      <alignment horizontal="center" vertical="center" wrapText="1"/>
    </xf>
    <xf numFmtId="0" fontId="51" fillId="32" borderId="5" xfId="0" applyFont="1" applyFill="1" applyBorder="1" applyAlignment="1">
      <alignment horizontal="center" vertical="center" wrapText="1"/>
    </xf>
    <xf numFmtId="0" fontId="51" fillId="32" borderId="1" xfId="0" applyFont="1" applyFill="1" applyBorder="1" applyAlignment="1">
      <alignment horizontal="center" vertical="center" wrapText="1"/>
    </xf>
    <xf numFmtId="0" fontId="49" fillId="32" borderId="5" xfId="0" quotePrefix="1" applyFont="1" applyFill="1" applyBorder="1" applyAlignment="1">
      <alignment horizontal="center" vertical="center" wrapText="1"/>
    </xf>
    <xf numFmtId="0" fontId="49" fillId="32" borderId="1" xfId="0" quotePrefix="1" applyFont="1" applyFill="1" applyBorder="1" applyAlignment="1">
      <alignment horizontal="center" vertical="center" wrapText="1"/>
    </xf>
    <xf numFmtId="0" fontId="19" fillId="32" borderId="104" xfId="0" applyFont="1" applyFill="1" applyBorder="1" applyAlignment="1">
      <alignment horizontal="center" vertical="center" wrapText="1"/>
    </xf>
    <xf numFmtId="0" fontId="19" fillId="32" borderId="89" xfId="0" applyFont="1" applyFill="1" applyBorder="1" applyAlignment="1">
      <alignment horizontal="center" vertical="center" wrapText="1"/>
    </xf>
    <xf numFmtId="0" fontId="19" fillId="32" borderId="84" xfId="0" applyFont="1" applyFill="1" applyBorder="1" applyAlignment="1">
      <alignment horizontal="center" vertical="center" wrapText="1"/>
    </xf>
    <xf numFmtId="1" fontId="19" fillId="32" borderId="75" xfId="0" applyNumberFormat="1" applyFont="1" applyFill="1" applyBorder="1" applyAlignment="1">
      <alignment horizontal="center" vertical="center" wrapText="1"/>
    </xf>
    <xf numFmtId="0" fontId="19" fillId="32" borderId="75" xfId="0" applyFont="1" applyFill="1" applyBorder="1" applyAlignment="1">
      <alignment horizontal="center" vertical="center" wrapText="1"/>
    </xf>
    <xf numFmtId="0" fontId="19" fillId="32" borderId="8" xfId="0" applyFont="1" applyFill="1" applyBorder="1" applyAlignment="1">
      <alignment horizontal="center" vertical="center"/>
    </xf>
    <xf numFmtId="0" fontId="19" fillId="32" borderId="89" xfId="0" applyFont="1" applyFill="1" applyBorder="1" applyAlignment="1">
      <alignment horizontal="center" vertical="center"/>
    </xf>
    <xf numFmtId="0" fontId="49" fillId="32" borderId="84" xfId="0" applyFont="1" applyFill="1" applyBorder="1" applyAlignment="1">
      <alignment horizontal="center" vertical="center" wrapText="1"/>
    </xf>
    <xf numFmtId="0" fontId="49" fillId="15" borderId="4" xfId="0" applyFont="1" applyFill="1" applyBorder="1" applyAlignment="1">
      <alignment horizontal="center" vertical="center"/>
    </xf>
    <xf numFmtId="0" fontId="49" fillId="15" borderId="7" xfId="0" applyFont="1" applyFill="1" applyBorder="1" applyAlignment="1">
      <alignment horizontal="center" vertical="center"/>
    </xf>
    <xf numFmtId="0" fontId="49" fillId="15" borderId="5" xfId="0" applyFont="1" applyFill="1" applyBorder="1" applyAlignment="1">
      <alignment horizontal="center" vertical="center"/>
    </xf>
    <xf numFmtId="0" fontId="49" fillId="15" borderId="1" xfId="0" applyFont="1" applyFill="1" applyBorder="1" applyAlignment="1">
      <alignment horizontal="center" vertical="center"/>
    </xf>
    <xf numFmtId="0" fontId="49" fillId="15" borderId="5" xfId="0" applyFont="1" applyFill="1" applyBorder="1" applyAlignment="1">
      <alignment horizontal="center" vertical="center" wrapText="1"/>
    </xf>
    <xf numFmtId="0" fontId="49" fillId="15" borderId="1" xfId="0" applyFont="1" applyFill="1" applyBorder="1" applyAlignment="1">
      <alignment horizontal="center" vertical="center" wrapText="1"/>
    </xf>
    <xf numFmtId="0" fontId="49" fillId="15" borderId="6" xfId="0" applyFont="1" applyFill="1" applyBorder="1" applyAlignment="1">
      <alignment horizontal="center" vertical="center"/>
    </xf>
    <xf numFmtId="0" fontId="49" fillId="15" borderId="8" xfId="0" applyFont="1" applyFill="1" applyBorder="1" applyAlignment="1">
      <alignment horizontal="center" vertical="center"/>
    </xf>
    <xf numFmtId="0" fontId="19" fillId="15" borderId="5" xfId="0" applyFont="1" applyFill="1" applyBorder="1" applyAlignment="1">
      <alignment horizontal="center" vertical="center" wrapText="1"/>
    </xf>
    <xf numFmtId="0" fontId="19" fillId="15" borderId="1" xfId="0" applyFont="1" applyFill="1" applyBorder="1" applyAlignment="1">
      <alignment horizontal="center" vertical="center" wrapText="1"/>
    </xf>
    <xf numFmtId="0" fontId="19" fillId="15" borderId="6" xfId="0" applyFont="1" applyFill="1" applyBorder="1" applyAlignment="1">
      <alignment horizontal="center" vertical="center"/>
    </xf>
    <xf numFmtId="0" fontId="19" fillId="15" borderId="8" xfId="0" applyFont="1" applyFill="1" applyBorder="1" applyAlignment="1">
      <alignment horizontal="center" vertical="center"/>
    </xf>
    <xf numFmtId="168" fontId="49" fillId="32" borderId="89" xfId="0" applyNumberFormat="1" applyFont="1" applyFill="1" applyBorder="1" applyAlignment="1">
      <alignment horizontal="center" vertical="center" wrapText="1"/>
    </xf>
    <xf numFmtId="0" fontId="49" fillId="32" borderId="18" xfId="0" applyFont="1" applyFill="1" applyBorder="1" applyAlignment="1">
      <alignment horizontal="center" vertical="center"/>
    </xf>
    <xf numFmtId="0" fontId="49" fillId="32" borderId="99" xfId="0" applyFont="1" applyFill="1" applyBorder="1" applyAlignment="1">
      <alignment horizontal="center" vertical="center"/>
    </xf>
    <xf numFmtId="0" fontId="51" fillId="32" borderId="1" xfId="0" applyFont="1" applyFill="1" applyBorder="1" applyAlignment="1">
      <alignment horizontal="center" vertical="center"/>
    </xf>
    <xf numFmtId="0" fontId="51" fillId="32" borderId="75" xfId="0" applyFont="1" applyFill="1" applyBorder="1" applyAlignment="1">
      <alignment horizontal="center" vertical="center"/>
    </xf>
    <xf numFmtId="168" fontId="51" fillId="32" borderId="89" xfId="0" applyNumberFormat="1" applyFont="1" applyFill="1" applyBorder="1" applyAlignment="1">
      <alignment horizontal="center" vertical="center" wrapText="1"/>
    </xf>
    <xf numFmtId="0" fontId="19" fillId="15" borderId="14" xfId="0" applyFont="1" applyFill="1" applyBorder="1" applyAlignment="1">
      <alignment horizontal="center" vertical="center" wrapText="1"/>
    </xf>
    <xf numFmtId="0" fontId="19" fillId="15" borderId="15" xfId="0" applyFont="1" applyFill="1" applyBorder="1" applyAlignment="1">
      <alignment horizontal="center" vertical="center" wrapText="1"/>
    </xf>
    <xf numFmtId="0" fontId="19" fillId="15" borderId="64" xfId="0" applyFont="1" applyFill="1" applyBorder="1" applyAlignment="1">
      <alignment horizontal="center" vertical="center" wrapText="1"/>
    </xf>
    <xf numFmtId="0" fontId="19" fillId="15" borderId="65" xfId="0" applyFont="1" applyFill="1" applyBorder="1" applyAlignment="1">
      <alignment horizontal="center" vertical="center" wrapText="1"/>
    </xf>
    <xf numFmtId="0" fontId="19" fillId="15" borderId="6" xfId="0" applyFont="1" applyFill="1" applyBorder="1" applyAlignment="1">
      <alignment horizontal="center" vertical="center" wrapText="1"/>
    </xf>
    <xf numFmtId="0" fontId="19" fillId="15" borderId="8" xfId="0" applyFont="1" applyFill="1" applyBorder="1" applyAlignment="1">
      <alignment horizontal="center" vertical="center" wrapText="1"/>
    </xf>
    <xf numFmtId="0" fontId="19" fillId="15" borderId="4" xfId="0" applyFont="1" applyFill="1" applyBorder="1" applyAlignment="1">
      <alignment horizontal="center" vertical="center" wrapText="1"/>
    </xf>
    <xf numFmtId="0" fontId="19" fillId="15" borderId="7" xfId="0" applyFont="1" applyFill="1" applyBorder="1" applyAlignment="1">
      <alignment horizontal="center" vertical="center" wrapText="1"/>
    </xf>
    <xf numFmtId="1" fontId="19" fillId="15" borderId="5" xfId="0" applyNumberFormat="1" applyFont="1" applyFill="1" applyBorder="1" applyAlignment="1">
      <alignment horizontal="center" vertical="center" wrapText="1"/>
    </xf>
    <xf numFmtId="1" fontId="19" fillId="15" borderId="1" xfId="0" applyNumberFormat="1" applyFont="1" applyFill="1" applyBorder="1" applyAlignment="1">
      <alignment horizontal="center" vertical="center" wrapText="1"/>
    </xf>
    <xf numFmtId="168" fontId="49" fillId="32" borderId="89" xfId="0" applyNumberFormat="1" applyFont="1" applyFill="1" applyBorder="1" applyAlignment="1">
      <alignment horizontal="center" vertical="center"/>
    </xf>
    <xf numFmtId="0" fontId="49" fillId="32" borderId="75" xfId="0" quotePrefix="1" applyFont="1" applyFill="1" applyBorder="1" applyAlignment="1">
      <alignment horizontal="center" vertical="center" wrapText="1"/>
    </xf>
    <xf numFmtId="168" fontId="49" fillId="15" borderId="6" xfId="0" applyNumberFormat="1" applyFont="1" applyFill="1" applyBorder="1" applyAlignment="1">
      <alignment horizontal="center" vertical="center"/>
    </xf>
    <xf numFmtId="168" fontId="49" fillId="15" borderId="8" xfId="0" applyNumberFormat="1" applyFont="1" applyFill="1" applyBorder="1" applyAlignment="1">
      <alignment horizontal="center" vertical="center"/>
    </xf>
    <xf numFmtId="168" fontId="49" fillId="15" borderId="6" xfId="0" applyNumberFormat="1" applyFont="1" applyFill="1" applyBorder="1" applyAlignment="1">
      <alignment horizontal="center" vertical="center" wrapText="1"/>
    </xf>
    <xf numFmtId="168" fontId="49" fillId="15" borderId="8" xfId="0" applyNumberFormat="1" applyFont="1" applyFill="1" applyBorder="1" applyAlignment="1">
      <alignment horizontal="center" vertical="center" wrapText="1"/>
    </xf>
    <xf numFmtId="0" fontId="49" fillId="15" borderId="17" xfId="0" applyFont="1" applyFill="1" applyBorder="1" applyAlignment="1">
      <alignment horizontal="center" vertical="center"/>
    </xf>
    <xf numFmtId="0" fontId="49" fillId="15" borderId="18" xfId="0" applyFont="1" applyFill="1" applyBorder="1" applyAlignment="1">
      <alignment horizontal="center" vertical="center"/>
    </xf>
    <xf numFmtId="0" fontId="49" fillId="15" borderId="5" xfId="0" quotePrefix="1" applyFont="1" applyFill="1" applyBorder="1" applyAlignment="1">
      <alignment horizontal="center" vertical="center" wrapText="1"/>
    </xf>
    <xf numFmtId="0" fontId="49" fillId="15" borderId="1" xfId="0" quotePrefix="1" applyFont="1" applyFill="1" applyBorder="1" applyAlignment="1">
      <alignment horizontal="center" vertical="center" wrapText="1"/>
    </xf>
    <xf numFmtId="1" fontId="19" fillId="15" borderId="75" xfId="0" applyNumberFormat="1" applyFont="1" applyFill="1" applyBorder="1" applyAlignment="1">
      <alignment horizontal="center" vertical="center" wrapText="1"/>
    </xf>
    <xf numFmtId="0" fontId="19" fillId="15" borderId="75" xfId="0" applyFont="1" applyFill="1" applyBorder="1" applyAlignment="1">
      <alignment horizontal="center" vertical="center" wrapText="1"/>
    </xf>
    <xf numFmtId="0" fontId="19" fillId="15" borderId="89" xfId="0" applyFont="1" applyFill="1" applyBorder="1" applyAlignment="1">
      <alignment horizontal="center" vertical="center"/>
    </xf>
    <xf numFmtId="0" fontId="51" fillId="15" borderId="1" xfId="0" applyFont="1" applyFill="1" applyBorder="1" applyAlignment="1">
      <alignment horizontal="center" vertical="center"/>
    </xf>
    <xf numFmtId="0" fontId="51" fillId="15" borderId="8" xfId="0" applyFont="1" applyFill="1" applyBorder="1" applyAlignment="1">
      <alignment horizontal="center" vertical="center"/>
    </xf>
    <xf numFmtId="0" fontId="49" fillId="15" borderId="75" xfId="0" applyFont="1" applyFill="1" applyBorder="1" applyAlignment="1">
      <alignment horizontal="center" vertical="center"/>
    </xf>
    <xf numFmtId="168" fontId="49" fillId="15" borderId="89" xfId="0" applyNumberFormat="1" applyFont="1" applyFill="1" applyBorder="1" applyAlignment="1">
      <alignment horizontal="center" vertical="center" wrapText="1"/>
    </xf>
    <xf numFmtId="0" fontId="49" fillId="15" borderId="99" xfId="0" applyFont="1" applyFill="1" applyBorder="1" applyAlignment="1">
      <alignment horizontal="center" vertical="center"/>
    </xf>
    <xf numFmtId="0" fontId="51" fillId="15" borderId="75" xfId="0" applyFont="1" applyFill="1" applyBorder="1" applyAlignment="1">
      <alignment horizontal="center" vertical="center"/>
    </xf>
    <xf numFmtId="168" fontId="49" fillId="15" borderId="89" xfId="0" applyNumberFormat="1" applyFont="1" applyFill="1" applyBorder="1" applyAlignment="1">
      <alignment horizontal="center" vertical="center"/>
    </xf>
    <xf numFmtId="0" fontId="49" fillId="15" borderId="84" xfId="0" applyFont="1" applyFill="1" applyBorder="1" applyAlignment="1">
      <alignment horizontal="center" vertical="center"/>
    </xf>
    <xf numFmtId="0" fontId="49" fillId="24" borderId="5" xfId="0" applyFont="1" applyFill="1" applyBorder="1" applyAlignment="1">
      <alignment horizontal="center" vertical="center" wrapText="1"/>
    </xf>
    <xf numFmtId="0" fontId="49" fillId="24" borderId="1" xfId="0" applyFont="1" applyFill="1" applyBorder="1" applyAlignment="1">
      <alignment horizontal="center" vertical="center" wrapText="1"/>
    </xf>
    <xf numFmtId="0" fontId="49" fillId="24" borderId="5" xfId="0" applyFont="1" applyFill="1" applyBorder="1" applyAlignment="1">
      <alignment horizontal="center" vertical="center"/>
    </xf>
    <xf numFmtId="0" fontId="49" fillId="24" borderId="1" xfId="0" applyFont="1" applyFill="1" applyBorder="1" applyAlignment="1">
      <alignment horizontal="center" vertical="center"/>
    </xf>
    <xf numFmtId="0" fontId="51" fillId="24" borderId="6" xfId="0" applyFont="1" applyFill="1" applyBorder="1" applyAlignment="1">
      <alignment horizontal="center" vertical="center"/>
    </xf>
    <xf numFmtId="0" fontId="51" fillId="24" borderId="8" xfId="0" applyFont="1" applyFill="1" applyBorder="1" applyAlignment="1">
      <alignment horizontal="center" vertical="center"/>
    </xf>
    <xf numFmtId="0" fontId="49" fillId="24" borderId="4" xfId="0" applyFont="1" applyFill="1" applyBorder="1" applyAlignment="1">
      <alignment horizontal="center" vertical="center"/>
    </xf>
    <xf numFmtId="0" fontId="49" fillId="24" borderId="7" xfId="0" applyFont="1" applyFill="1" applyBorder="1" applyAlignment="1">
      <alignment horizontal="center" vertical="center"/>
    </xf>
    <xf numFmtId="0" fontId="19" fillId="24" borderId="6" xfId="0" applyFont="1" applyFill="1" applyBorder="1" applyAlignment="1">
      <alignment horizontal="center" vertical="center"/>
    </xf>
    <xf numFmtId="0" fontId="19" fillId="24" borderId="8" xfId="0" applyFont="1" applyFill="1" applyBorder="1" applyAlignment="1">
      <alignment horizontal="center" vertical="center"/>
    </xf>
    <xf numFmtId="0" fontId="19" fillId="24" borderId="67" xfId="0" applyFont="1" applyFill="1" applyBorder="1" applyAlignment="1">
      <alignment horizontal="center" vertical="center" wrapText="1"/>
    </xf>
    <xf numFmtId="0" fontId="19" fillId="24" borderId="79" xfId="0" applyFont="1" applyFill="1" applyBorder="1" applyAlignment="1">
      <alignment horizontal="center" vertical="center" wrapText="1"/>
    </xf>
    <xf numFmtId="0" fontId="19" fillId="24" borderId="103" xfId="0" applyFont="1" applyFill="1" applyBorder="1" applyAlignment="1">
      <alignment horizontal="center" vertical="center" wrapText="1"/>
    </xf>
    <xf numFmtId="0" fontId="19" fillId="24" borderId="64" xfId="0" applyFont="1" applyFill="1" applyBorder="1" applyAlignment="1">
      <alignment horizontal="center" vertical="center" wrapText="1"/>
    </xf>
    <xf numFmtId="0" fontId="19" fillId="24" borderId="65" xfId="0" applyFont="1" applyFill="1" applyBorder="1" applyAlignment="1">
      <alignment horizontal="center" vertical="center" wrapText="1"/>
    </xf>
    <xf numFmtId="0" fontId="19" fillId="24" borderId="6" xfId="0" applyFont="1" applyFill="1" applyBorder="1" applyAlignment="1">
      <alignment horizontal="center" vertical="center" wrapText="1"/>
    </xf>
    <xf numFmtId="0" fontId="19" fillId="24" borderId="8" xfId="0" applyFont="1" applyFill="1" applyBorder="1" applyAlignment="1">
      <alignment horizontal="center" vertical="center" wrapText="1"/>
    </xf>
    <xf numFmtId="0" fontId="19" fillId="24" borderId="4" xfId="0" applyFont="1" applyFill="1" applyBorder="1" applyAlignment="1">
      <alignment horizontal="center" vertical="center" wrapText="1"/>
    </xf>
    <xf numFmtId="0" fontId="19" fillId="24" borderId="7" xfId="0" applyFont="1" applyFill="1" applyBorder="1" applyAlignment="1">
      <alignment horizontal="center" vertical="center" wrapText="1"/>
    </xf>
    <xf numFmtId="1" fontId="19" fillId="24" borderId="5" xfId="0" applyNumberFormat="1" applyFont="1" applyFill="1" applyBorder="1" applyAlignment="1">
      <alignment horizontal="center" vertical="center" wrapText="1"/>
    </xf>
    <xf numFmtId="1" fontId="19" fillId="24" borderId="1" xfId="0" applyNumberFormat="1" applyFont="1" applyFill="1" applyBorder="1" applyAlignment="1">
      <alignment horizontal="center" vertical="center" wrapText="1"/>
    </xf>
    <xf numFmtId="0" fontId="19" fillId="24" borderId="5" xfId="0" applyFont="1" applyFill="1" applyBorder="1" applyAlignment="1">
      <alignment horizontal="center" vertical="center" wrapText="1"/>
    </xf>
    <xf numFmtId="0" fontId="19" fillId="24" borderId="1" xfId="0" applyFont="1" applyFill="1" applyBorder="1" applyAlignment="1">
      <alignment horizontal="center" vertical="center" wrapText="1"/>
    </xf>
    <xf numFmtId="0" fontId="49" fillId="15" borderId="75" xfId="0" applyFont="1" applyFill="1" applyBorder="1" applyAlignment="1">
      <alignment horizontal="center" vertical="center" wrapText="1"/>
    </xf>
    <xf numFmtId="0" fontId="51" fillId="15" borderId="89" xfId="0" applyFont="1" applyFill="1" applyBorder="1" applyAlignment="1">
      <alignment horizontal="center" vertical="center"/>
    </xf>
    <xf numFmtId="0" fontId="19" fillId="15" borderId="104" xfId="0" applyFont="1" applyFill="1" applyBorder="1" applyAlignment="1">
      <alignment horizontal="center" vertical="center" wrapText="1"/>
    </xf>
    <xf numFmtId="0" fontId="19" fillId="15" borderId="13" xfId="0" applyFont="1" applyFill="1" applyBorder="1" applyAlignment="1">
      <alignment horizontal="center" vertical="center" wrapText="1"/>
    </xf>
    <xf numFmtId="0" fontId="19" fillId="15" borderId="89" xfId="0" applyFont="1" applyFill="1" applyBorder="1" applyAlignment="1">
      <alignment horizontal="center" vertical="center" wrapText="1"/>
    </xf>
    <xf numFmtId="0" fontId="19" fillId="15" borderId="84" xfId="0" applyFont="1" applyFill="1" applyBorder="1" applyAlignment="1">
      <alignment horizontal="center" vertical="center" wrapText="1"/>
    </xf>
    <xf numFmtId="0" fontId="49" fillId="24" borderId="75" xfId="0" applyFont="1" applyFill="1" applyBorder="1" applyAlignment="1">
      <alignment horizontal="center" vertical="center" wrapText="1"/>
    </xf>
    <xf numFmtId="0" fontId="49" fillId="24" borderId="75" xfId="0" applyFont="1" applyFill="1" applyBorder="1" applyAlignment="1">
      <alignment horizontal="center" vertical="center"/>
    </xf>
    <xf numFmtId="168" fontId="51" fillId="24" borderId="6" xfId="0" applyNumberFormat="1" applyFont="1" applyFill="1" applyBorder="1" applyAlignment="1">
      <alignment horizontal="center" vertical="center"/>
    </xf>
    <xf numFmtId="168" fontId="51" fillId="24" borderId="8" xfId="0" applyNumberFormat="1" applyFont="1" applyFill="1" applyBorder="1" applyAlignment="1">
      <alignment horizontal="center" vertical="center"/>
    </xf>
    <xf numFmtId="0" fontId="19" fillId="24" borderId="104" xfId="0" applyFont="1" applyFill="1" applyBorder="1" applyAlignment="1">
      <alignment horizontal="center" vertical="center" wrapText="1"/>
    </xf>
    <xf numFmtId="0" fontId="19" fillId="24" borderId="89" xfId="0" applyFont="1" applyFill="1" applyBorder="1" applyAlignment="1">
      <alignment horizontal="center" vertical="center" wrapText="1"/>
    </xf>
    <xf numFmtId="0" fontId="19" fillId="24" borderId="84" xfId="0" applyFont="1" applyFill="1" applyBorder="1" applyAlignment="1">
      <alignment horizontal="center" vertical="center" wrapText="1"/>
    </xf>
    <xf numFmtId="1" fontId="19" fillId="24" borderId="75" xfId="0" applyNumberFormat="1" applyFont="1" applyFill="1" applyBorder="1" applyAlignment="1">
      <alignment horizontal="center" vertical="center" wrapText="1"/>
    </xf>
    <xf numFmtId="0" fontId="19" fillId="24" borderId="75" xfId="0" applyFont="1" applyFill="1" applyBorder="1" applyAlignment="1">
      <alignment horizontal="center" vertical="center" wrapText="1"/>
    </xf>
    <xf numFmtId="0" fontId="19" fillId="24" borderId="89" xfId="0" applyFont="1" applyFill="1" applyBorder="1" applyAlignment="1">
      <alignment horizontal="center" vertical="center"/>
    </xf>
    <xf numFmtId="0" fontId="49" fillId="24" borderId="84" xfId="0" applyFont="1" applyFill="1" applyBorder="1" applyAlignment="1">
      <alignment horizontal="center" vertical="center"/>
    </xf>
    <xf numFmtId="168" fontId="49" fillId="24" borderId="6" xfId="0" applyNumberFormat="1" applyFont="1" applyFill="1" applyBorder="1" applyAlignment="1">
      <alignment horizontal="center" vertical="center"/>
    </xf>
    <xf numFmtId="168" fontId="49" fillId="24" borderId="8" xfId="0" applyNumberFormat="1" applyFont="1" applyFill="1" applyBorder="1" applyAlignment="1">
      <alignment horizontal="center" vertical="center"/>
    </xf>
    <xf numFmtId="168" fontId="49" fillId="24" borderId="6" xfId="0" applyNumberFormat="1" applyFont="1" applyFill="1" applyBorder="1" applyAlignment="1">
      <alignment horizontal="center" vertical="center" wrapText="1"/>
    </xf>
    <xf numFmtId="168" fontId="49" fillId="24" borderId="8" xfId="0" applyNumberFormat="1" applyFont="1" applyFill="1" applyBorder="1" applyAlignment="1">
      <alignment horizontal="center" vertical="center" wrapText="1"/>
    </xf>
    <xf numFmtId="0" fontId="49" fillId="24" borderId="17" xfId="0" applyFont="1" applyFill="1" applyBorder="1" applyAlignment="1">
      <alignment horizontal="center" vertical="center"/>
    </xf>
    <xf numFmtId="0" fontId="49" fillId="24" borderId="18" xfId="0" applyFont="1" applyFill="1" applyBorder="1" applyAlignment="1">
      <alignment horizontal="center" vertical="center"/>
    </xf>
    <xf numFmtId="0" fontId="51" fillId="24" borderId="5" xfId="0" applyFont="1" applyFill="1" applyBorder="1" applyAlignment="1">
      <alignment horizontal="center" vertical="center"/>
    </xf>
    <xf numFmtId="0" fontId="51" fillId="24" borderId="1" xfId="0" applyFont="1" applyFill="1" applyBorder="1" applyAlignment="1">
      <alignment horizontal="center" vertical="center"/>
    </xf>
    <xf numFmtId="0" fontId="49" fillId="24" borderId="99" xfId="0" applyFont="1" applyFill="1" applyBorder="1" applyAlignment="1">
      <alignment horizontal="center" vertical="center"/>
    </xf>
    <xf numFmtId="0" fontId="51" fillId="24" borderId="75" xfId="0" applyFont="1" applyFill="1" applyBorder="1" applyAlignment="1">
      <alignment horizontal="center" vertical="center"/>
    </xf>
    <xf numFmtId="168" fontId="51" fillId="24" borderId="89" xfId="0" applyNumberFormat="1" applyFont="1" applyFill="1" applyBorder="1" applyAlignment="1">
      <alignment horizontal="center" vertical="center"/>
    </xf>
    <xf numFmtId="0" fontId="19" fillId="21" borderId="67" xfId="0" applyFont="1" applyFill="1" applyBorder="1" applyAlignment="1">
      <alignment horizontal="center" vertical="center" wrapText="1"/>
    </xf>
    <xf numFmtId="0" fontId="19" fillId="21" borderId="79" xfId="0" applyFont="1" applyFill="1" applyBorder="1" applyAlignment="1">
      <alignment horizontal="center" vertical="center" wrapText="1"/>
    </xf>
    <xf numFmtId="0" fontId="19" fillId="21" borderId="103" xfId="0" applyFont="1" applyFill="1" applyBorder="1" applyAlignment="1">
      <alignment horizontal="center" vertical="center" wrapText="1"/>
    </xf>
    <xf numFmtId="0" fontId="19" fillId="21" borderId="64" xfId="0" applyFont="1" applyFill="1" applyBorder="1" applyAlignment="1">
      <alignment horizontal="center" vertical="center" wrapText="1"/>
    </xf>
    <xf numFmtId="0" fontId="19" fillId="21" borderId="65" xfId="0" applyFont="1" applyFill="1" applyBorder="1" applyAlignment="1">
      <alignment horizontal="center" vertical="center" wrapText="1"/>
    </xf>
    <xf numFmtId="0" fontId="19" fillId="21" borderId="104" xfId="0" applyFont="1" applyFill="1" applyBorder="1" applyAlignment="1">
      <alignment horizontal="center" vertical="center" wrapText="1"/>
    </xf>
    <xf numFmtId="0" fontId="19" fillId="21" borderId="6" xfId="0" applyFont="1" applyFill="1" applyBorder="1" applyAlignment="1">
      <alignment horizontal="center" vertical="center" wrapText="1"/>
    </xf>
    <xf numFmtId="0" fontId="19" fillId="21" borderId="8" xfId="0" applyFont="1" applyFill="1" applyBorder="1" applyAlignment="1">
      <alignment horizontal="center" vertical="center" wrapText="1"/>
    </xf>
    <xf numFmtId="0" fontId="19" fillId="21" borderId="89" xfId="0" applyFont="1" applyFill="1" applyBorder="1" applyAlignment="1">
      <alignment horizontal="center" vertical="center" wrapText="1"/>
    </xf>
    <xf numFmtId="0" fontId="19" fillId="21" borderId="4" xfId="0" applyFont="1" applyFill="1" applyBorder="1" applyAlignment="1">
      <alignment horizontal="center" vertical="center" wrapText="1"/>
    </xf>
    <xf numFmtId="0" fontId="19" fillId="21" borderId="7" xfId="0" applyFont="1" applyFill="1" applyBorder="1" applyAlignment="1">
      <alignment horizontal="center" vertical="center" wrapText="1"/>
    </xf>
    <xf numFmtId="0" fontId="19" fillId="21" borderId="84" xfId="0" applyFont="1" applyFill="1" applyBorder="1" applyAlignment="1">
      <alignment horizontal="center" vertical="center" wrapText="1"/>
    </xf>
    <xf numFmtId="1" fontId="19" fillId="21" borderId="5" xfId="0" applyNumberFormat="1" applyFont="1" applyFill="1" applyBorder="1" applyAlignment="1">
      <alignment horizontal="center" vertical="center" wrapText="1"/>
    </xf>
    <xf numFmtId="1" fontId="19" fillId="21" borderId="1" xfId="0" applyNumberFormat="1" applyFont="1" applyFill="1" applyBorder="1" applyAlignment="1">
      <alignment horizontal="center" vertical="center" wrapText="1"/>
    </xf>
    <xf numFmtId="1" fontId="19" fillId="21" borderId="75" xfId="0" applyNumberFormat="1" applyFont="1" applyFill="1" applyBorder="1" applyAlignment="1">
      <alignment horizontal="center" vertical="center" wrapText="1"/>
    </xf>
    <xf numFmtId="0" fontId="19" fillId="21" borderId="5" xfId="0" applyFont="1" applyFill="1" applyBorder="1" applyAlignment="1">
      <alignment horizontal="center" vertical="center" wrapText="1"/>
    </xf>
    <xf numFmtId="0" fontId="19" fillId="21" borderId="1" xfId="0" applyFont="1" applyFill="1" applyBorder="1" applyAlignment="1">
      <alignment horizontal="center" vertical="center" wrapText="1"/>
    </xf>
    <xf numFmtId="0" fontId="19" fillId="21" borderId="75" xfId="0" applyFont="1" applyFill="1" applyBorder="1" applyAlignment="1">
      <alignment horizontal="center" vertical="center" wrapText="1"/>
    </xf>
    <xf numFmtId="0" fontId="19" fillId="21" borderId="6" xfId="0" applyFont="1" applyFill="1" applyBorder="1" applyAlignment="1">
      <alignment horizontal="center" vertical="center"/>
    </xf>
    <xf numFmtId="0" fontId="19" fillId="21" borderId="8" xfId="0" applyFont="1" applyFill="1" applyBorder="1" applyAlignment="1">
      <alignment horizontal="center" vertical="center"/>
    </xf>
    <xf numFmtId="0" fontId="19" fillId="21" borderId="89" xfId="0" applyFont="1" applyFill="1" applyBorder="1" applyAlignment="1">
      <alignment horizontal="center" vertical="center"/>
    </xf>
    <xf numFmtId="168" fontId="49" fillId="24" borderId="89" xfId="0" applyNumberFormat="1" applyFont="1" applyFill="1" applyBorder="1" applyAlignment="1">
      <alignment horizontal="center" vertical="center"/>
    </xf>
    <xf numFmtId="168" fontId="49" fillId="24" borderId="89" xfId="0" applyNumberFormat="1" applyFont="1" applyFill="1" applyBorder="1" applyAlignment="1">
      <alignment horizontal="center" vertical="center" wrapText="1"/>
    </xf>
    <xf numFmtId="0" fontId="51" fillId="24" borderId="89" xfId="0" applyFont="1" applyFill="1" applyBorder="1" applyAlignment="1">
      <alignment horizontal="center" vertical="center"/>
    </xf>
    <xf numFmtId="0" fontId="49" fillId="21" borderId="5" xfId="0" applyFont="1" applyFill="1" applyBorder="1" applyAlignment="1">
      <alignment horizontal="center" vertical="center"/>
    </xf>
    <xf numFmtId="0" fontId="49" fillId="21" borderId="1" xfId="0" applyFont="1" applyFill="1" applyBorder="1" applyAlignment="1">
      <alignment horizontal="center" vertical="center"/>
    </xf>
    <xf numFmtId="0" fontId="49" fillId="21" borderId="75" xfId="0" applyFont="1" applyFill="1" applyBorder="1" applyAlignment="1">
      <alignment horizontal="center" vertical="center"/>
    </xf>
    <xf numFmtId="168" fontId="49" fillId="21" borderId="6" xfId="0" applyNumberFormat="1" applyFont="1" applyFill="1" applyBorder="1" applyAlignment="1">
      <alignment horizontal="center" vertical="center" wrapText="1"/>
    </xf>
    <xf numFmtId="168" fontId="49" fillId="21" borderId="8" xfId="0" applyNumberFormat="1" applyFont="1" applyFill="1" applyBorder="1" applyAlignment="1">
      <alignment horizontal="center" vertical="center" wrapText="1"/>
    </xf>
    <xf numFmtId="168" fontId="49" fillId="21" borderId="89" xfId="0" applyNumberFormat="1" applyFont="1" applyFill="1" applyBorder="1" applyAlignment="1">
      <alignment horizontal="center" vertical="center" wrapText="1"/>
    </xf>
    <xf numFmtId="0" fontId="49" fillId="21" borderId="17" xfId="0" applyFont="1" applyFill="1" applyBorder="1" applyAlignment="1">
      <alignment horizontal="center" vertical="center"/>
    </xf>
    <xf numFmtId="0" fontId="49" fillId="21" borderId="18" xfId="0" applyFont="1" applyFill="1" applyBorder="1" applyAlignment="1">
      <alignment horizontal="center" vertical="center"/>
    </xf>
    <xf numFmtId="0" fontId="49" fillId="21" borderId="99" xfId="0" applyFont="1" applyFill="1" applyBorder="1" applyAlignment="1">
      <alignment horizontal="center" vertical="center"/>
    </xf>
    <xf numFmtId="0" fontId="51" fillId="21" borderId="5" xfId="0" applyFont="1" applyFill="1" applyBorder="1" applyAlignment="1">
      <alignment horizontal="center" vertical="center"/>
    </xf>
    <xf numFmtId="0" fontId="51" fillId="21" borderId="1" xfId="0" applyFont="1" applyFill="1" applyBorder="1" applyAlignment="1">
      <alignment horizontal="center" vertical="center"/>
    </xf>
    <xf numFmtId="0" fontId="51" fillId="21" borderId="75" xfId="0" applyFont="1" applyFill="1" applyBorder="1" applyAlignment="1">
      <alignment horizontal="center" vertical="center"/>
    </xf>
    <xf numFmtId="168" fontId="51" fillId="21" borderId="6" xfId="0" applyNumberFormat="1" applyFont="1" applyFill="1" applyBorder="1" applyAlignment="1">
      <alignment horizontal="center" vertical="center"/>
    </xf>
    <xf numFmtId="168" fontId="51" fillId="21" borderId="8" xfId="0" applyNumberFormat="1" applyFont="1" applyFill="1" applyBorder="1" applyAlignment="1">
      <alignment horizontal="center" vertical="center"/>
    </xf>
    <xf numFmtId="168" fontId="51" fillId="21" borderId="89" xfId="0" applyNumberFormat="1" applyFont="1" applyFill="1" applyBorder="1" applyAlignment="1">
      <alignment horizontal="center" vertical="center"/>
    </xf>
    <xf numFmtId="168" fontId="49" fillId="21" borderId="6" xfId="0" applyNumberFormat="1" applyFont="1" applyFill="1" applyBorder="1" applyAlignment="1">
      <alignment horizontal="center" vertical="center"/>
    </xf>
    <xf numFmtId="168" fontId="49" fillId="21" borderId="8" xfId="0" applyNumberFormat="1" applyFont="1" applyFill="1" applyBorder="1" applyAlignment="1">
      <alignment horizontal="center" vertical="center"/>
    </xf>
    <xf numFmtId="168" fontId="49" fillId="21" borderId="89" xfId="0" applyNumberFormat="1" applyFont="1" applyFill="1" applyBorder="1" applyAlignment="1">
      <alignment horizontal="center" vertical="center"/>
    </xf>
    <xf numFmtId="0" fontId="49" fillId="21" borderId="4" xfId="0" applyFont="1" applyFill="1" applyBorder="1" applyAlignment="1">
      <alignment horizontal="center" vertical="center"/>
    </xf>
    <xf numFmtId="0" fontId="49" fillId="21" borderId="7" xfId="0" applyFont="1" applyFill="1" applyBorder="1" applyAlignment="1">
      <alignment horizontal="center" vertical="center"/>
    </xf>
    <xf numFmtId="0" fontId="49" fillId="21" borderId="84" xfId="0" applyFont="1" applyFill="1" applyBorder="1" applyAlignment="1">
      <alignment horizontal="center" vertical="center"/>
    </xf>
    <xf numFmtId="0" fontId="49" fillId="7" borderId="5" xfId="0" applyFont="1" applyFill="1" applyBorder="1" applyAlignment="1">
      <alignment horizontal="center" vertical="center" wrapText="1"/>
    </xf>
    <xf numFmtId="0" fontId="49" fillId="7" borderId="1" xfId="0" applyFont="1" applyFill="1" applyBorder="1" applyAlignment="1">
      <alignment horizontal="center" vertical="center" wrapText="1"/>
    </xf>
    <xf numFmtId="0" fontId="49" fillId="7" borderId="6" xfId="0" applyFont="1" applyFill="1" applyBorder="1" applyAlignment="1">
      <alignment horizontal="center" vertical="center" wrapText="1"/>
    </xf>
    <xf numFmtId="0" fontId="49" fillId="7" borderId="8" xfId="0" applyFont="1" applyFill="1" applyBorder="1" applyAlignment="1">
      <alignment horizontal="center" vertical="center" wrapText="1"/>
    </xf>
    <xf numFmtId="0" fontId="49" fillId="7" borderId="4" xfId="0" applyFont="1" applyFill="1" applyBorder="1" applyAlignment="1">
      <alignment horizontal="center" vertical="center" wrapText="1"/>
    </xf>
    <xf numFmtId="0" fontId="49" fillId="7" borderId="7" xfId="0" applyFont="1" applyFill="1" applyBorder="1" applyAlignment="1">
      <alignment horizontal="center" vertical="center" wrapText="1"/>
    </xf>
    <xf numFmtId="0" fontId="19" fillId="7" borderId="6" xfId="0" applyFont="1" applyFill="1" applyBorder="1" applyAlignment="1">
      <alignment horizontal="center" vertical="center" wrapText="1"/>
    </xf>
    <xf numFmtId="0" fontId="19" fillId="7" borderId="8" xfId="0" applyFont="1" applyFill="1" applyBorder="1" applyAlignment="1">
      <alignment horizontal="center" vertical="center" wrapText="1"/>
    </xf>
    <xf numFmtId="0" fontId="19" fillId="7" borderId="14" xfId="0" applyFont="1" applyFill="1" applyBorder="1" applyAlignment="1">
      <alignment horizontal="center" vertical="center" wrapText="1"/>
    </xf>
    <xf numFmtId="0" fontId="19" fillId="7" borderId="15" xfId="0" applyFont="1" applyFill="1" applyBorder="1" applyAlignment="1">
      <alignment horizontal="center" vertical="center" wrapText="1"/>
    </xf>
    <xf numFmtId="0" fontId="19" fillId="7" borderId="64" xfId="0" applyFont="1" applyFill="1" applyBorder="1" applyAlignment="1">
      <alignment horizontal="center" vertical="center" wrapText="1"/>
    </xf>
    <xf numFmtId="0" fontId="19" fillId="7" borderId="65" xfId="0" applyFont="1" applyFill="1" applyBorder="1" applyAlignment="1">
      <alignment horizontal="center" vertical="center" wrapText="1"/>
    </xf>
    <xf numFmtId="0" fontId="19" fillId="7" borderId="4" xfId="0" applyFont="1" applyFill="1" applyBorder="1" applyAlignment="1">
      <alignment horizontal="center" vertical="center" wrapText="1"/>
    </xf>
    <xf numFmtId="0" fontId="19" fillId="7" borderId="7" xfId="0" applyFont="1" applyFill="1" applyBorder="1" applyAlignment="1">
      <alignment horizontal="center" vertical="center" wrapText="1"/>
    </xf>
    <xf numFmtId="1" fontId="19" fillId="7" borderId="5" xfId="0" applyNumberFormat="1" applyFont="1" applyFill="1" applyBorder="1" applyAlignment="1">
      <alignment horizontal="center" vertical="center" wrapText="1"/>
    </xf>
    <xf numFmtId="1" fontId="19" fillId="7" borderId="1" xfId="0" applyNumberFormat="1" applyFont="1" applyFill="1" applyBorder="1" applyAlignment="1">
      <alignment horizontal="center" vertical="center" wrapText="1"/>
    </xf>
    <xf numFmtId="0" fontId="19" fillId="7" borderId="5" xfId="0" applyFont="1" applyFill="1" applyBorder="1" applyAlignment="1">
      <alignment horizontal="center" vertical="center" wrapText="1"/>
    </xf>
    <xf numFmtId="0" fontId="19" fillId="7" borderId="1" xfId="0" applyFont="1" applyFill="1" applyBorder="1" applyAlignment="1">
      <alignment horizontal="center" vertical="center" wrapText="1"/>
    </xf>
    <xf numFmtId="0" fontId="49" fillId="21" borderId="5" xfId="0" applyFont="1" applyFill="1" applyBorder="1" applyAlignment="1">
      <alignment horizontal="center" vertical="center" wrapText="1"/>
    </xf>
    <xf numFmtId="0" fontId="49" fillId="21" borderId="1" xfId="0" applyFont="1" applyFill="1" applyBorder="1" applyAlignment="1">
      <alignment horizontal="center" vertical="center" wrapText="1"/>
    </xf>
    <xf numFmtId="0" fontId="49" fillId="21" borderId="75" xfId="0" applyFont="1" applyFill="1" applyBorder="1" applyAlignment="1">
      <alignment horizontal="center" vertical="center" wrapText="1"/>
    </xf>
    <xf numFmtId="0" fontId="51" fillId="21" borderId="6" xfId="0" applyFont="1" applyFill="1" applyBorder="1" applyAlignment="1">
      <alignment horizontal="center" vertical="center"/>
    </xf>
    <xf numFmtId="0" fontId="51" fillId="21" borderId="8" xfId="0" applyFont="1" applyFill="1" applyBorder="1" applyAlignment="1">
      <alignment horizontal="center" vertical="center"/>
    </xf>
    <xf numFmtId="0" fontId="51" fillId="21" borderId="89" xfId="0" applyFont="1" applyFill="1" applyBorder="1" applyAlignment="1">
      <alignment horizontal="center" vertical="center"/>
    </xf>
    <xf numFmtId="0" fontId="49" fillId="7" borderId="75" xfId="0" applyFont="1" applyFill="1" applyBorder="1" applyAlignment="1">
      <alignment horizontal="center" vertical="center" wrapText="1"/>
    </xf>
    <xf numFmtId="0" fontId="49" fillId="7" borderId="1" xfId="0" applyFont="1" applyFill="1" applyBorder="1" applyAlignment="1">
      <alignment horizontal="center" vertical="center"/>
    </xf>
    <xf numFmtId="0" fontId="49" fillId="7" borderId="75" xfId="0" applyFont="1" applyFill="1" applyBorder="1" applyAlignment="1">
      <alignment horizontal="center" vertical="center"/>
    </xf>
    <xf numFmtId="168" fontId="49" fillId="7" borderId="6" xfId="0" applyNumberFormat="1" applyFont="1" applyFill="1" applyBorder="1" applyAlignment="1">
      <alignment horizontal="center" vertical="center" wrapText="1"/>
    </xf>
    <xf numFmtId="168" fontId="49" fillId="7" borderId="8" xfId="0" applyNumberFormat="1" applyFont="1" applyFill="1" applyBorder="1" applyAlignment="1">
      <alignment horizontal="center" vertical="center" wrapText="1"/>
    </xf>
    <xf numFmtId="0" fontId="19" fillId="7" borderId="104" xfId="0" applyFont="1" applyFill="1" applyBorder="1" applyAlignment="1">
      <alignment horizontal="center" vertical="center" wrapText="1"/>
    </xf>
    <xf numFmtId="0" fontId="19" fillId="7" borderId="89" xfId="0" applyFont="1" applyFill="1" applyBorder="1" applyAlignment="1">
      <alignment horizontal="center" vertical="center" wrapText="1"/>
    </xf>
    <xf numFmtId="0" fontId="19" fillId="7" borderId="7" xfId="0" applyFont="1" applyFill="1" applyBorder="1" applyAlignment="1">
      <alignment horizontal="center" vertical="center"/>
    </xf>
    <xf numFmtId="0" fontId="19" fillId="7" borderId="84" xfId="0" applyFont="1" applyFill="1" applyBorder="1" applyAlignment="1">
      <alignment horizontal="center" vertical="center"/>
    </xf>
    <xf numFmtId="1" fontId="19" fillId="7" borderId="1" xfId="0" applyNumberFormat="1" applyFont="1" applyFill="1" applyBorder="1" applyAlignment="1">
      <alignment horizontal="center" vertical="center"/>
    </xf>
    <xf numFmtId="1" fontId="19" fillId="7" borderId="75" xfId="0" applyNumberFormat="1" applyFont="1" applyFill="1" applyBorder="1" applyAlignment="1">
      <alignment horizontal="center" vertical="center"/>
    </xf>
    <xf numFmtId="0" fontId="19" fillId="7" borderId="75" xfId="0" applyFont="1" applyFill="1" applyBorder="1" applyAlignment="1">
      <alignment horizontal="center" vertical="center" wrapText="1"/>
    </xf>
    <xf numFmtId="0" fontId="19" fillId="7" borderId="8" xfId="0" applyFont="1" applyFill="1" applyBorder="1" applyAlignment="1">
      <alignment horizontal="center" vertical="center"/>
    </xf>
    <xf numFmtId="0" fontId="19" fillId="7" borderId="89" xfId="0" applyFont="1" applyFill="1" applyBorder="1" applyAlignment="1">
      <alignment horizontal="center" vertical="center"/>
    </xf>
    <xf numFmtId="0" fontId="49" fillId="7" borderId="84" xfId="0" applyFont="1" applyFill="1" applyBorder="1" applyAlignment="1">
      <alignment horizontal="center" vertical="center" wrapText="1"/>
    </xf>
    <xf numFmtId="0" fontId="49" fillId="7" borderId="17" xfId="0" applyFont="1" applyFill="1" applyBorder="1" applyAlignment="1">
      <alignment horizontal="center" vertical="center" wrapText="1"/>
    </xf>
    <xf numFmtId="0" fontId="49" fillId="7" borderId="18" xfId="0" applyFont="1" applyFill="1" applyBorder="1" applyAlignment="1">
      <alignment horizontal="center" vertical="center" wrapText="1"/>
    </xf>
    <xf numFmtId="0" fontId="49" fillId="7" borderId="18" xfId="0" applyFont="1" applyFill="1" applyBorder="1" applyAlignment="1">
      <alignment horizontal="center" vertical="center"/>
    </xf>
    <xf numFmtId="0" fontId="49" fillId="7" borderId="99" xfId="0" applyFont="1" applyFill="1" applyBorder="1" applyAlignment="1">
      <alignment horizontal="center" vertical="center"/>
    </xf>
    <xf numFmtId="168" fontId="49" fillId="7" borderId="89" xfId="0" applyNumberFormat="1" applyFont="1" applyFill="1" applyBorder="1" applyAlignment="1">
      <alignment horizontal="center" vertical="center" wrapText="1"/>
    </xf>
    <xf numFmtId="0" fontId="19" fillId="18" borderId="67" xfId="0" applyFont="1" applyFill="1" applyBorder="1" applyAlignment="1">
      <alignment horizontal="center" vertical="center" wrapText="1"/>
    </xf>
    <xf numFmtId="0" fontId="19" fillId="18" borderId="79" xfId="0" applyFont="1" applyFill="1" applyBorder="1" applyAlignment="1">
      <alignment horizontal="center" vertical="center" wrapText="1"/>
    </xf>
    <xf numFmtId="0" fontId="19" fillId="18" borderId="103" xfId="0" applyFont="1" applyFill="1" applyBorder="1" applyAlignment="1">
      <alignment horizontal="center" vertical="center" wrapText="1"/>
    </xf>
    <xf numFmtId="0" fontId="19" fillId="18" borderId="64" xfId="0" applyFont="1" applyFill="1" applyBorder="1" applyAlignment="1">
      <alignment horizontal="center" vertical="center" wrapText="1"/>
    </xf>
    <xf numFmtId="0" fontId="19" fillId="18" borderId="65" xfId="0" applyFont="1" applyFill="1" applyBorder="1" applyAlignment="1">
      <alignment horizontal="center" vertical="center" wrapText="1"/>
    </xf>
    <xf numFmtId="0" fontId="19" fillId="18" borderId="104" xfId="0" applyFont="1" applyFill="1" applyBorder="1" applyAlignment="1">
      <alignment horizontal="center" vertical="center" wrapText="1"/>
    </xf>
    <xf numFmtId="0" fontId="19" fillId="18" borderId="6" xfId="0" applyFont="1" applyFill="1" applyBorder="1" applyAlignment="1">
      <alignment horizontal="center" vertical="center" wrapText="1"/>
    </xf>
    <xf numFmtId="0" fontId="19" fillId="18" borderId="8" xfId="0" applyFont="1" applyFill="1" applyBorder="1" applyAlignment="1">
      <alignment horizontal="center" vertical="center" wrapText="1"/>
    </xf>
    <xf numFmtId="0" fontId="19" fillId="18" borderId="89" xfId="0" applyFont="1" applyFill="1" applyBorder="1" applyAlignment="1">
      <alignment horizontal="center" vertical="center" wrapText="1"/>
    </xf>
    <xf numFmtId="0" fontId="19" fillId="18" borderId="4" xfId="0" applyFont="1" applyFill="1" applyBorder="1" applyAlignment="1">
      <alignment horizontal="center" vertical="center" wrapText="1"/>
    </xf>
    <xf numFmtId="0" fontId="19" fillId="18" borderId="7" xfId="0" applyFont="1" applyFill="1" applyBorder="1" applyAlignment="1">
      <alignment horizontal="center" vertical="center"/>
    </xf>
    <xf numFmtId="0" fontId="19" fillId="18" borderId="84" xfId="0" applyFont="1" applyFill="1" applyBorder="1" applyAlignment="1">
      <alignment horizontal="center" vertical="center"/>
    </xf>
    <xf numFmtId="1" fontId="19" fillId="18" borderId="5" xfId="0" applyNumberFormat="1" applyFont="1" applyFill="1" applyBorder="1" applyAlignment="1">
      <alignment horizontal="center" vertical="center"/>
    </xf>
    <xf numFmtId="1" fontId="19" fillId="18" borderId="1" xfId="0" applyNumberFormat="1" applyFont="1" applyFill="1" applyBorder="1" applyAlignment="1">
      <alignment horizontal="center" vertical="center"/>
    </xf>
    <xf numFmtId="1" fontId="19" fillId="18" borderId="75" xfId="0" applyNumberFormat="1" applyFont="1" applyFill="1" applyBorder="1" applyAlignment="1">
      <alignment horizontal="center" vertical="center"/>
    </xf>
    <xf numFmtId="0" fontId="19" fillId="18" borderId="5" xfId="0" applyFont="1" applyFill="1" applyBorder="1" applyAlignment="1">
      <alignment horizontal="center" vertical="center" wrapText="1"/>
    </xf>
    <xf numFmtId="0" fontId="19" fillId="18" borderId="1" xfId="0" applyFont="1" applyFill="1" applyBorder="1" applyAlignment="1">
      <alignment horizontal="center" vertical="center" wrapText="1"/>
    </xf>
    <xf numFmtId="0" fontId="19" fillId="18" borderId="75" xfId="0" applyFont="1" applyFill="1" applyBorder="1" applyAlignment="1">
      <alignment horizontal="center" vertical="center" wrapText="1"/>
    </xf>
    <xf numFmtId="0" fontId="19" fillId="18" borderId="6" xfId="0" applyFont="1" applyFill="1" applyBorder="1" applyAlignment="1">
      <alignment horizontal="center" vertical="center"/>
    </xf>
    <xf numFmtId="0" fontId="19" fillId="18" borderId="8" xfId="0" applyFont="1" applyFill="1" applyBorder="1" applyAlignment="1">
      <alignment horizontal="center" vertical="center"/>
    </xf>
    <xf numFmtId="0" fontId="19" fillId="18" borderId="89" xfId="0" applyFont="1" applyFill="1" applyBorder="1" applyAlignment="1">
      <alignment horizontal="center" vertical="center"/>
    </xf>
    <xf numFmtId="168" fontId="49" fillId="7" borderId="8" xfId="0" applyNumberFormat="1" applyFont="1" applyFill="1" applyBorder="1" applyAlignment="1">
      <alignment horizontal="center" vertical="center"/>
    </xf>
    <xf numFmtId="168" fontId="49" fillId="7" borderId="89" xfId="0" applyNumberFormat="1" applyFont="1" applyFill="1" applyBorder="1" applyAlignment="1">
      <alignment horizontal="center" vertical="center"/>
    </xf>
    <xf numFmtId="0" fontId="49" fillId="7" borderId="7" xfId="0" applyFont="1" applyFill="1" applyBorder="1" applyAlignment="1">
      <alignment horizontal="center" vertical="center"/>
    </xf>
    <xf numFmtId="0" fontId="49" fillId="7" borderId="84" xfId="0" applyFont="1" applyFill="1" applyBorder="1" applyAlignment="1">
      <alignment horizontal="center" vertical="center"/>
    </xf>
    <xf numFmtId="0" fontId="49" fillId="7" borderId="8" xfId="0" applyFont="1" applyFill="1" applyBorder="1" applyAlignment="1">
      <alignment horizontal="center" vertical="center"/>
    </xf>
    <xf numFmtId="0" fontId="49" fillId="7" borderId="89" xfId="0" applyFont="1" applyFill="1" applyBorder="1" applyAlignment="1">
      <alignment horizontal="center" vertical="center"/>
    </xf>
    <xf numFmtId="168" fontId="49" fillId="18" borderId="6" xfId="0" applyNumberFormat="1" applyFont="1" applyFill="1" applyBorder="1" applyAlignment="1">
      <alignment horizontal="center" vertical="center" wrapText="1"/>
    </xf>
    <xf numFmtId="168" fontId="49" fillId="18" borderId="8" xfId="0" applyNumberFormat="1" applyFont="1" applyFill="1" applyBorder="1" applyAlignment="1">
      <alignment horizontal="center" vertical="center" wrapText="1"/>
    </xf>
    <xf numFmtId="168" fontId="49" fillId="18" borderId="89" xfId="0" applyNumberFormat="1" applyFont="1" applyFill="1" applyBorder="1" applyAlignment="1">
      <alignment horizontal="center" vertical="center" wrapText="1"/>
    </xf>
    <xf numFmtId="0" fontId="49" fillId="18" borderId="17" xfId="0" applyFont="1" applyFill="1" applyBorder="1" applyAlignment="1">
      <alignment horizontal="center" vertical="center"/>
    </xf>
    <xf numFmtId="0" fontId="49" fillId="18" borderId="18" xfId="0" applyFont="1" applyFill="1" applyBorder="1" applyAlignment="1">
      <alignment horizontal="center" vertical="center"/>
    </xf>
    <xf numFmtId="0" fontId="49" fillId="18" borderId="99" xfId="0" applyFont="1" applyFill="1" applyBorder="1" applyAlignment="1">
      <alignment horizontal="center" vertical="center"/>
    </xf>
    <xf numFmtId="0" fontId="49" fillId="18" borderId="5" xfId="0" applyFont="1" applyFill="1" applyBorder="1" applyAlignment="1">
      <alignment horizontal="center" vertical="center"/>
    </xf>
    <xf numFmtId="0" fontId="49" fillId="18" borderId="1" xfId="0" applyFont="1" applyFill="1" applyBorder="1" applyAlignment="1">
      <alignment horizontal="center" vertical="center"/>
    </xf>
    <xf numFmtId="0" fontId="49" fillId="18" borderId="75" xfId="0" applyFont="1" applyFill="1" applyBorder="1" applyAlignment="1">
      <alignment horizontal="center" vertical="center"/>
    </xf>
    <xf numFmtId="168" fontId="49" fillId="18" borderId="6" xfId="0" applyNumberFormat="1" applyFont="1" applyFill="1" applyBorder="1" applyAlignment="1">
      <alignment horizontal="center" vertical="center"/>
    </xf>
    <xf numFmtId="168" fontId="49" fillId="18" borderId="8" xfId="0" applyNumberFormat="1" applyFont="1" applyFill="1" applyBorder="1" applyAlignment="1">
      <alignment horizontal="center" vertical="center"/>
    </xf>
    <xf numFmtId="168" fontId="49" fillId="18" borderId="89" xfId="0" applyNumberFormat="1" applyFont="1" applyFill="1" applyBorder="1" applyAlignment="1">
      <alignment horizontal="center" vertical="center"/>
    </xf>
    <xf numFmtId="0" fontId="49" fillId="18" borderId="4" xfId="0" applyFont="1" applyFill="1" applyBorder="1" applyAlignment="1">
      <alignment horizontal="center" vertical="center"/>
    </xf>
    <xf numFmtId="0" fontId="49" fillId="18" borderId="7" xfId="0" applyFont="1" applyFill="1" applyBorder="1" applyAlignment="1">
      <alignment horizontal="center" vertical="center"/>
    </xf>
    <xf numFmtId="0" fontId="49" fillId="18" borderId="84" xfId="0" applyFont="1" applyFill="1" applyBorder="1" applyAlignment="1">
      <alignment horizontal="center" vertical="center"/>
    </xf>
    <xf numFmtId="0" fontId="49" fillId="18" borderId="5" xfId="0" applyFont="1" applyFill="1" applyBorder="1" applyAlignment="1">
      <alignment horizontal="center" vertical="center" wrapText="1"/>
    </xf>
    <xf numFmtId="0" fontId="49" fillId="18" borderId="1" xfId="0" applyFont="1" applyFill="1" applyBorder="1" applyAlignment="1">
      <alignment horizontal="center" vertical="center" wrapText="1"/>
    </xf>
    <xf numFmtId="0" fontId="49" fillId="18" borderId="75" xfId="0" applyFont="1" applyFill="1" applyBorder="1" applyAlignment="1">
      <alignment horizontal="center" vertical="center" wrapText="1"/>
    </xf>
    <xf numFmtId="0" fontId="49" fillId="18" borderId="6" xfId="0" applyFont="1" applyFill="1" applyBorder="1" applyAlignment="1">
      <alignment horizontal="center" vertical="center"/>
    </xf>
    <xf numFmtId="0" fontId="49" fillId="18" borderId="8" xfId="0" applyFont="1" applyFill="1" applyBorder="1" applyAlignment="1">
      <alignment horizontal="center" vertical="center"/>
    </xf>
    <xf numFmtId="0" fontId="49" fillId="18" borderId="89" xfId="0" applyFont="1" applyFill="1" applyBorder="1" applyAlignment="1">
      <alignment horizontal="center" vertical="center"/>
    </xf>
    <xf numFmtId="0" fontId="49" fillId="18" borderId="6" xfId="0" applyFont="1" applyFill="1" applyBorder="1" applyAlignment="1">
      <alignment horizontal="center" vertical="center" wrapText="1"/>
    </xf>
    <xf numFmtId="0" fontId="49" fillId="18" borderId="8" xfId="0" applyFont="1" applyFill="1" applyBorder="1" applyAlignment="1">
      <alignment horizontal="center" vertical="center" wrapText="1"/>
    </xf>
    <xf numFmtId="0" fontId="49" fillId="18" borderId="89" xfId="0" applyFont="1" applyFill="1" applyBorder="1" applyAlignment="1">
      <alignment horizontal="center" vertical="center" wrapText="1"/>
    </xf>
    <xf numFmtId="0" fontId="49" fillId="18" borderId="4" xfId="0" applyFont="1" applyFill="1" applyBorder="1" applyAlignment="1">
      <alignment horizontal="center" vertical="center" wrapText="1"/>
    </xf>
    <xf numFmtId="0" fontId="49" fillId="18" borderId="7" xfId="0" applyFont="1" applyFill="1" applyBorder="1" applyAlignment="1">
      <alignment horizontal="center" vertical="center" wrapText="1"/>
    </xf>
    <xf numFmtId="0" fontId="49" fillId="18" borderId="84" xfId="0" applyFont="1" applyFill="1" applyBorder="1" applyAlignment="1">
      <alignment horizontal="center" vertical="center" wrapText="1"/>
    </xf>
    <xf numFmtId="0" fontId="19" fillId="18" borderId="5" xfId="0" applyFont="1" applyFill="1" applyBorder="1" applyAlignment="1">
      <alignment horizontal="center" vertical="center"/>
    </xf>
    <xf numFmtId="0" fontId="19" fillId="18" borderId="1" xfId="0" applyFont="1" applyFill="1" applyBorder="1" applyAlignment="1">
      <alignment horizontal="center" vertical="center"/>
    </xf>
    <xf numFmtId="0" fontId="19" fillId="18" borderId="75" xfId="0" applyFont="1" applyFill="1" applyBorder="1" applyAlignment="1">
      <alignment horizontal="center" vertical="center"/>
    </xf>
    <xf numFmtId="0" fontId="19" fillId="18" borderId="7" xfId="0" applyFont="1" applyFill="1" applyBorder="1" applyAlignment="1">
      <alignment horizontal="center" vertical="center" wrapText="1"/>
    </xf>
    <xf numFmtId="0" fontId="19" fillId="18" borderId="84" xfId="0" applyFont="1" applyFill="1" applyBorder="1" applyAlignment="1">
      <alignment horizontal="center" vertical="center" wrapText="1"/>
    </xf>
    <xf numFmtId="1" fontId="19" fillId="18" borderId="5" xfId="0" applyNumberFormat="1" applyFont="1" applyFill="1" applyBorder="1" applyAlignment="1">
      <alignment horizontal="center" vertical="center" wrapText="1"/>
    </xf>
    <xf numFmtId="1" fontId="19" fillId="18" borderId="1" xfId="0" applyNumberFormat="1" applyFont="1" applyFill="1" applyBorder="1" applyAlignment="1">
      <alignment horizontal="center" vertical="center" wrapText="1"/>
    </xf>
    <xf numFmtId="1" fontId="19" fillId="18" borderId="75" xfId="0" applyNumberFormat="1" applyFont="1" applyFill="1" applyBorder="1" applyAlignment="1">
      <alignment horizontal="center" vertical="center" wrapText="1"/>
    </xf>
    <xf numFmtId="0" fontId="49" fillId="18" borderId="27" xfId="0" applyFont="1" applyFill="1" applyBorder="1" applyAlignment="1">
      <alignment horizontal="center" vertical="center" wrapText="1"/>
    </xf>
    <xf numFmtId="0" fontId="19" fillId="18" borderId="105" xfId="0" applyFont="1" applyFill="1" applyBorder="1" applyAlignment="1">
      <alignment horizontal="center" vertical="center" wrapText="1"/>
    </xf>
    <xf numFmtId="0" fontId="19" fillId="18" borderId="66" xfId="0" applyFont="1" applyFill="1" applyBorder="1" applyAlignment="1">
      <alignment horizontal="center" vertical="center" wrapText="1"/>
    </xf>
    <xf numFmtId="0" fontId="19" fillId="18" borderId="28" xfId="0" applyFont="1" applyFill="1" applyBorder="1" applyAlignment="1">
      <alignment horizontal="center" vertical="center" wrapText="1"/>
    </xf>
    <xf numFmtId="0" fontId="19" fillId="18" borderId="4" xfId="0" applyFont="1" applyFill="1" applyBorder="1" applyAlignment="1">
      <alignment horizontal="center" vertical="center"/>
    </xf>
    <xf numFmtId="0" fontId="19" fillId="18" borderId="26" xfId="0" applyFont="1" applyFill="1" applyBorder="1" applyAlignment="1">
      <alignment horizontal="center" vertical="center"/>
    </xf>
    <xf numFmtId="1" fontId="19" fillId="18" borderId="27" xfId="0" applyNumberFormat="1" applyFont="1" applyFill="1" applyBorder="1" applyAlignment="1">
      <alignment horizontal="center" vertical="center"/>
    </xf>
    <xf numFmtId="0" fontId="19" fillId="18" borderId="27" xfId="0" applyFont="1" applyFill="1" applyBorder="1" applyAlignment="1">
      <alignment horizontal="center" vertical="center" wrapText="1"/>
    </xf>
    <xf numFmtId="0" fontId="19" fillId="18" borderId="28" xfId="0" applyFont="1" applyFill="1" applyBorder="1" applyAlignment="1">
      <alignment horizontal="center" vertical="center"/>
    </xf>
    <xf numFmtId="0" fontId="49" fillId="18" borderId="26" xfId="0" applyFont="1" applyFill="1" applyBorder="1" applyAlignment="1">
      <alignment horizontal="center" vertical="center" wrapText="1"/>
    </xf>
    <xf numFmtId="0" fontId="49" fillId="18" borderId="27" xfId="0" applyFont="1" applyFill="1" applyBorder="1" applyAlignment="1">
      <alignment horizontal="center" vertical="center"/>
    </xf>
    <xf numFmtId="0" fontId="49" fillId="18" borderId="17" xfId="0" applyFont="1" applyFill="1" applyBorder="1" applyAlignment="1">
      <alignment horizontal="center" vertical="center" wrapText="1"/>
    </xf>
    <xf numFmtId="0" fontId="49" fillId="18" borderId="18" xfId="0" applyFont="1" applyFill="1" applyBorder="1" applyAlignment="1">
      <alignment horizontal="center" vertical="center" wrapText="1"/>
    </xf>
    <xf numFmtId="0" fontId="49" fillId="18" borderId="99" xfId="0" applyFont="1" applyFill="1" applyBorder="1" applyAlignment="1">
      <alignment horizontal="center" vertical="center" wrapText="1"/>
    </xf>
    <xf numFmtId="0" fontId="49" fillId="0" borderId="0" xfId="0" applyFont="1" applyAlignment="1">
      <alignment horizontal="left" vertical="center"/>
    </xf>
    <xf numFmtId="168" fontId="49" fillId="18" borderId="28" xfId="0" applyNumberFormat="1" applyFont="1" applyFill="1" applyBorder="1" applyAlignment="1">
      <alignment horizontal="center" vertical="center" wrapText="1"/>
    </xf>
    <xf numFmtId="0" fontId="49" fillId="18" borderId="35" xfId="0" applyFont="1" applyFill="1" applyBorder="1" applyAlignment="1">
      <alignment horizontal="center" vertical="center"/>
    </xf>
    <xf numFmtId="0" fontId="46" fillId="35" borderId="20" xfId="0" quotePrefix="1" applyFont="1" applyFill="1" applyBorder="1" applyAlignment="1">
      <alignment horizontal="left" vertical="center"/>
    </xf>
    <xf numFmtId="0" fontId="46" fillId="35" borderId="20" xfId="0" applyFont="1" applyFill="1" applyBorder="1" applyAlignment="1">
      <alignment horizontal="left" vertical="center"/>
    </xf>
    <xf numFmtId="0" fontId="46" fillId="35" borderId="21" xfId="0" applyFont="1" applyFill="1" applyBorder="1" applyAlignment="1">
      <alignment horizontal="left" vertical="center"/>
    </xf>
    <xf numFmtId="168" fontId="49" fillId="18" borderId="28" xfId="0" applyNumberFormat="1" applyFont="1" applyFill="1" applyBorder="1" applyAlignment="1">
      <alignment horizontal="center" vertical="center"/>
    </xf>
    <xf numFmtId="0" fontId="49" fillId="18" borderId="26" xfId="0" applyFont="1" applyFill="1" applyBorder="1" applyAlignment="1">
      <alignment horizontal="center" vertical="center"/>
    </xf>
    <xf numFmtId="0" fontId="49" fillId="18" borderId="28" xfId="0" applyFont="1" applyFill="1" applyBorder="1" applyAlignment="1">
      <alignment horizontal="center" vertical="center"/>
    </xf>
    <xf numFmtId="0" fontId="19" fillId="18" borderId="27" xfId="0" applyFont="1" applyFill="1" applyBorder="1" applyAlignment="1">
      <alignment horizontal="center" vertical="center"/>
    </xf>
    <xf numFmtId="0" fontId="46" fillId="0" borderId="0" xfId="0" applyFont="1" applyAlignment="1">
      <alignment horizontal="left" vertical="center"/>
    </xf>
    <xf numFmtId="0" fontId="10" fillId="36" borderId="4" xfId="0" applyFont="1" applyFill="1" applyBorder="1" applyAlignment="1">
      <alignment horizontal="center" vertical="center"/>
    </xf>
    <xf numFmtId="0" fontId="10" fillId="36" borderId="5" xfId="0" applyFont="1" applyFill="1" applyBorder="1" applyAlignment="1">
      <alignment horizontal="center" vertical="center"/>
    </xf>
    <xf numFmtId="0" fontId="10" fillId="36" borderId="6" xfId="0" applyFont="1" applyFill="1" applyBorder="1" applyAlignment="1">
      <alignment horizontal="center" vertical="center"/>
    </xf>
    <xf numFmtId="0" fontId="10" fillId="36" borderId="37" xfId="0" applyFont="1" applyFill="1" applyBorder="1" applyAlignment="1">
      <alignment horizontal="center" vertical="center"/>
    </xf>
    <xf numFmtId="0" fontId="7" fillId="39" borderId="14" xfId="0" applyFont="1" applyFill="1" applyBorder="1" applyAlignment="1">
      <alignment horizontal="center"/>
    </xf>
    <xf numFmtId="0" fontId="7" fillId="39" borderId="24" xfId="0" applyFont="1" applyFill="1" applyBorder="1" applyAlignment="1">
      <alignment horizontal="center"/>
    </xf>
    <xf numFmtId="0" fontId="7" fillId="39" borderId="15" xfId="0" applyFont="1" applyFill="1" applyBorder="1" applyAlignment="1">
      <alignment horizontal="center"/>
    </xf>
    <xf numFmtId="0" fontId="7" fillId="39" borderId="49" xfId="0" applyFont="1" applyFill="1" applyBorder="1" applyAlignment="1">
      <alignment horizontal="center"/>
    </xf>
    <xf numFmtId="0" fontId="7" fillId="39" borderId="16" xfId="0" applyFont="1" applyFill="1" applyBorder="1" applyAlignment="1">
      <alignment horizontal="center"/>
    </xf>
    <xf numFmtId="0" fontId="7" fillId="39" borderId="11" xfId="0" applyFont="1" applyFill="1" applyBorder="1" applyAlignment="1">
      <alignment horizontal="center"/>
    </xf>
    <xf numFmtId="0" fontId="47" fillId="25" borderId="12" xfId="0" applyFont="1" applyFill="1" applyBorder="1" applyAlignment="1">
      <alignment horizontal="center" vertical="center"/>
    </xf>
    <xf numFmtId="0" fontId="47" fillId="25" borderId="13" xfId="0" applyFont="1" applyFill="1" applyBorder="1" applyAlignment="1">
      <alignment horizontal="center" vertical="center"/>
    </xf>
    <xf numFmtId="0" fontId="47" fillId="25" borderId="10" xfId="0" applyFont="1" applyFill="1" applyBorder="1" applyAlignment="1">
      <alignment horizontal="center" vertical="center"/>
    </xf>
    <xf numFmtId="0" fontId="7" fillId="25" borderId="12" xfId="0" applyFont="1" applyFill="1" applyBorder="1" applyAlignment="1">
      <alignment horizontal="center"/>
    </xf>
    <xf numFmtId="0" fontId="7" fillId="25" borderId="13" xfId="0" applyFont="1" applyFill="1" applyBorder="1" applyAlignment="1">
      <alignment horizontal="center"/>
    </xf>
    <xf numFmtId="0" fontId="7" fillId="25" borderId="10" xfId="0" applyFont="1" applyFill="1" applyBorder="1" applyAlignment="1">
      <alignment horizontal="center"/>
    </xf>
    <xf numFmtId="0" fontId="47" fillId="39" borderId="14" xfId="0" applyFont="1" applyFill="1" applyBorder="1" applyAlignment="1">
      <alignment horizontal="center" vertical="center"/>
    </xf>
    <xf numFmtId="0" fontId="47" fillId="39" borderId="24" xfId="0" applyFont="1" applyFill="1" applyBorder="1" applyAlignment="1">
      <alignment horizontal="center" vertical="center"/>
    </xf>
    <xf numFmtId="0" fontId="47" fillId="39" borderId="16" xfId="0" applyFont="1" applyFill="1" applyBorder="1" applyAlignment="1">
      <alignment horizontal="center" vertical="center"/>
    </xf>
    <xf numFmtId="0" fontId="47" fillId="39" borderId="11" xfId="0" applyFont="1" applyFill="1" applyBorder="1" applyAlignment="1">
      <alignment horizontal="center" vertical="center"/>
    </xf>
    <xf numFmtId="0" fontId="7" fillId="13" borderId="14" xfId="0" applyFont="1" applyFill="1" applyBorder="1" applyAlignment="1">
      <alignment horizontal="center"/>
    </xf>
    <xf numFmtId="0" fontId="7" fillId="13" borderId="24" xfId="0" applyFont="1" applyFill="1" applyBorder="1" applyAlignment="1">
      <alignment horizontal="center"/>
    </xf>
    <xf numFmtId="0" fontId="7" fillId="13" borderId="16" xfId="0" applyFont="1" applyFill="1" applyBorder="1" applyAlignment="1">
      <alignment horizontal="center"/>
    </xf>
    <xf numFmtId="0" fontId="7" fillId="13" borderId="11" xfId="0" applyFont="1" applyFill="1" applyBorder="1" applyAlignment="1">
      <alignment horizontal="center"/>
    </xf>
    <xf numFmtId="0" fontId="10" fillId="18" borderId="5" xfId="0" applyFont="1" applyFill="1" applyBorder="1" applyAlignment="1">
      <alignment horizontal="center"/>
    </xf>
    <xf numFmtId="0" fontId="10" fillId="22" borderId="5" xfId="0" applyFont="1" applyFill="1" applyBorder="1" applyAlignment="1">
      <alignment horizontal="center"/>
    </xf>
    <xf numFmtId="0" fontId="10" fillId="22" borderId="6" xfId="0" applyFont="1" applyFill="1" applyBorder="1" applyAlignment="1">
      <alignment horizontal="center"/>
    </xf>
    <xf numFmtId="0" fontId="26" fillId="36" borderId="54" xfId="0" applyFont="1" applyFill="1" applyBorder="1" applyAlignment="1">
      <alignment horizontal="center"/>
    </xf>
    <xf numFmtId="0" fontId="26" fillId="36" borderId="55" xfId="0" applyFont="1" applyFill="1" applyBorder="1" applyAlignment="1">
      <alignment horizontal="center"/>
    </xf>
    <xf numFmtId="0" fontId="26" fillId="36" borderId="56" xfId="0" applyFont="1" applyFill="1" applyBorder="1" applyAlignment="1">
      <alignment horizontal="center"/>
    </xf>
    <xf numFmtId="0" fontId="10" fillId="37" borderId="53" xfId="0" applyFont="1" applyFill="1" applyBorder="1" applyAlignment="1">
      <alignment horizontal="center"/>
    </xf>
    <xf numFmtId="0" fontId="10" fillId="37" borderId="88" xfId="0" applyFont="1" applyFill="1" applyBorder="1" applyAlignment="1">
      <alignment horizontal="center"/>
    </xf>
    <xf numFmtId="0" fontId="10" fillId="37" borderId="29" xfId="0" applyFont="1" applyFill="1" applyBorder="1" applyAlignment="1">
      <alignment horizontal="center"/>
    </xf>
    <xf numFmtId="0" fontId="10" fillId="37" borderId="9" xfId="0" applyFont="1" applyFill="1" applyBorder="1" applyAlignment="1">
      <alignment horizontal="center"/>
    </xf>
    <xf numFmtId="0" fontId="10" fillId="37" borderId="50" xfId="0" applyFont="1" applyFill="1" applyBorder="1" applyAlignment="1">
      <alignment horizontal="center"/>
    </xf>
    <xf numFmtId="0" fontId="10" fillId="37" borderId="25" xfId="0" applyFont="1" applyFill="1" applyBorder="1" applyAlignment="1">
      <alignment horizontal="center"/>
    </xf>
    <xf numFmtId="0" fontId="41" fillId="25" borderId="19" xfId="0" applyFont="1" applyFill="1" applyBorder="1" applyAlignment="1">
      <alignment horizontal="center" vertical="center"/>
    </xf>
    <xf numFmtId="0" fontId="41" fillId="25" borderId="20" xfId="0" applyFont="1" applyFill="1" applyBorder="1" applyAlignment="1">
      <alignment horizontal="center" vertical="center"/>
    </xf>
    <xf numFmtId="0" fontId="41" fillId="25" borderId="21" xfId="0" applyFont="1" applyFill="1" applyBorder="1" applyAlignment="1">
      <alignment horizontal="center" vertical="center"/>
    </xf>
    <xf numFmtId="0" fontId="14" fillId="27" borderId="19" xfId="0" applyFont="1" applyFill="1" applyBorder="1" applyAlignment="1">
      <alignment horizontal="center" vertical="center"/>
    </xf>
    <xf numFmtId="0" fontId="14" fillId="27" borderId="20" xfId="0" applyFont="1" applyFill="1" applyBorder="1" applyAlignment="1">
      <alignment horizontal="center" vertical="center"/>
    </xf>
    <xf numFmtId="0" fontId="14" fillId="27" borderId="21" xfId="0" applyFont="1" applyFill="1" applyBorder="1" applyAlignment="1">
      <alignment horizontal="center" vertical="center"/>
    </xf>
    <xf numFmtId="0" fontId="14" fillId="49" borderId="19" xfId="0" applyFont="1" applyFill="1" applyBorder="1" applyAlignment="1">
      <alignment horizontal="center" vertical="center"/>
    </xf>
    <xf numFmtId="0" fontId="14" fillId="49" borderId="20" xfId="0" applyFont="1" applyFill="1" applyBorder="1" applyAlignment="1">
      <alignment horizontal="center" vertical="center"/>
    </xf>
    <xf numFmtId="0" fontId="14" fillId="49" borderId="21" xfId="0" applyFont="1" applyFill="1" applyBorder="1" applyAlignment="1">
      <alignment horizontal="center" vertical="center"/>
    </xf>
    <xf numFmtId="0" fontId="14" fillId="39" borderId="19" xfId="0" applyFont="1" applyFill="1" applyBorder="1" applyAlignment="1">
      <alignment horizontal="center" vertical="center"/>
    </xf>
    <xf numFmtId="0" fontId="14" fillId="39" borderId="20" xfId="0" applyFont="1" applyFill="1" applyBorder="1" applyAlignment="1">
      <alignment horizontal="center" vertical="center"/>
    </xf>
    <xf numFmtId="0" fontId="14" fillId="39" borderId="21" xfId="0" applyFont="1" applyFill="1" applyBorder="1" applyAlignment="1">
      <alignment horizontal="center" vertical="center"/>
    </xf>
    <xf numFmtId="0" fontId="7" fillId="70" borderId="2" xfId="0" applyFont="1" applyFill="1" applyBorder="1"/>
    <xf numFmtId="0" fontId="7" fillId="70" borderId="18" xfId="0" applyFont="1" applyFill="1" applyBorder="1"/>
    <xf numFmtId="0" fontId="26" fillId="70" borderId="1" xfId="0" applyFont="1" applyFill="1" applyBorder="1" applyAlignment="1">
      <alignment horizontal="center"/>
    </xf>
    <xf numFmtId="0" fontId="26" fillId="18" borderId="54" xfId="0" applyFont="1" applyFill="1" applyBorder="1" applyAlignment="1">
      <alignment horizontal="center"/>
    </xf>
    <xf numFmtId="0" fontId="26" fillId="18" borderId="55" xfId="0" applyFont="1" applyFill="1" applyBorder="1" applyAlignment="1">
      <alignment horizontal="center"/>
    </xf>
    <xf numFmtId="0" fontId="26" fillId="18" borderId="56" xfId="0" applyFont="1" applyFill="1" applyBorder="1" applyAlignment="1">
      <alignment horizontal="center"/>
    </xf>
    <xf numFmtId="0" fontId="104" fillId="60" borderId="19" xfId="0" applyFont="1" applyFill="1" applyBorder="1" applyAlignment="1">
      <alignment horizontal="center" vertical="center"/>
    </xf>
    <xf numFmtId="0" fontId="104" fillId="60" borderId="20" xfId="0" applyFont="1" applyFill="1" applyBorder="1" applyAlignment="1">
      <alignment horizontal="center" vertical="center"/>
    </xf>
    <xf numFmtId="0" fontId="14" fillId="72" borderId="14" xfId="0" applyFont="1" applyFill="1" applyBorder="1" applyAlignment="1">
      <alignment horizontal="center" vertical="center"/>
    </xf>
    <xf numFmtId="0" fontId="14" fillId="72" borderId="33" xfId="0" applyFont="1" applyFill="1" applyBorder="1" applyAlignment="1">
      <alignment horizontal="center" vertical="center"/>
    </xf>
    <xf numFmtId="0" fontId="14" fillId="72" borderId="24" xfId="0" applyFont="1" applyFill="1" applyBorder="1" applyAlignment="1">
      <alignment horizontal="center" vertical="center"/>
    </xf>
    <xf numFmtId="0" fontId="14" fillId="29" borderId="19" xfId="0" applyFont="1" applyFill="1" applyBorder="1" applyAlignment="1">
      <alignment horizontal="center" vertical="center"/>
    </xf>
    <xf numFmtId="0" fontId="14" fillId="29" borderId="20" xfId="0" applyFont="1" applyFill="1" applyBorder="1" applyAlignment="1">
      <alignment horizontal="center" vertical="center"/>
    </xf>
    <xf numFmtId="0" fontId="14" fillId="29" borderId="21" xfId="0" applyFont="1" applyFill="1" applyBorder="1" applyAlignment="1">
      <alignment horizontal="center" vertical="center"/>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05" fillId="13" borderId="19" xfId="0" applyFont="1" applyFill="1" applyBorder="1" applyAlignment="1">
      <alignment horizontal="center" vertical="center"/>
    </xf>
    <xf numFmtId="0" fontId="105" fillId="13" borderId="20" xfId="0" applyFont="1" applyFill="1" applyBorder="1" applyAlignment="1">
      <alignment horizontal="center" vertical="center"/>
    </xf>
    <xf numFmtId="0" fontId="105" fillId="13" borderId="21" xfId="0" applyFont="1" applyFill="1" applyBorder="1" applyAlignment="1">
      <alignment horizontal="center" vertical="center"/>
    </xf>
    <xf numFmtId="0" fontId="7" fillId="25" borderId="54" xfId="0" applyFont="1" applyFill="1" applyBorder="1" applyAlignment="1">
      <alignment horizontal="center"/>
    </xf>
    <xf numFmtId="0" fontId="7" fillId="25" borderId="56" xfId="0" applyFont="1" applyFill="1" applyBorder="1" applyAlignment="1">
      <alignment horizontal="center"/>
    </xf>
    <xf numFmtId="0" fontId="7" fillId="13" borderId="19" xfId="0" quotePrefix="1" applyFont="1" applyFill="1" applyBorder="1" applyAlignment="1">
      <alignment horizontal="center"/>
    </xf>
    <xf numFmtId="0" fontId="7" fillId="13" borderId="20" xfId="0" applyFont="1" applyFill="1" applyBorder="1" applyAlignment="1">
      <alignment horizontal="center"/>
    </xf>
    <xf numFmtId="0" fontId="7" fillId="13" borderId="21" xfId="0" applyFont="1" applyFill="1" applyBorder="1" applyAlignment="1">
      <alignment horizontal="center"/>
    </xf>
    <xf numFmtId="0" fontId="7" fillId="25" borderId="53" xfId="0" applyFont="1" applyFill="1" applyBorder="1" applyAlignment="1">
      <alignment horizontal="center"/>
    </xf>
    <xf numFmtId="0" fontId="7" fillId="25" borderId="69" xfId="0" applyFont="1" applyFill="1" applyBorder="1" applyAlignment="1">
      <alignment horizontal="center"/>
    </xf>
    <xf numFmtId="0" fontId="14" fillId="25" borderId="19" xfId="0" applyFont="1" applyFill="1" applyBorder="1" applyAlignment="1">
      <alignment horizontal="center" vertical="center"/>
    </xf>
    <xf numFmtId="0" fontId="14" fillId="25" borderId="20" xfId="0" applyFont="1" applyFill="1" applyBorder="1" applyAlignment="1">
      <alignment horizontal="center" vertical="center"/>
    </xf>
    <xf numFmtId="0" fontId="14" fillId="25" borderId="21" xfId="0" applyFont="1" applyFill="1" applyBorder="1" applyAlignment="1">
      <alignment horizontal="center" vertical="center"/>
    </xf>
    <xf numFmtId="0" fontId="14" fillId="74" borderId="19" xfId="0" applyFont="1" applyFill="1" applyBorder="1" applyAlignment="1">
      <alignment horizontal="center" vertical="center"/>
    </xf>
    <xf numFmtId="0" fontId="14" fillId="74" borderId="20" xfId="0" applyFont="1" applyFill="1" applyBorder="1" applyAlignment="1">
      <alignment horizontal="center" vertical="center"/>
    </xf>
    <xf numFmtId="0" fontId="14" fillId="74" borderId="21" xfId="0" applyFont="1" applyFill="1" applyBorder="1" applyAlignment="1">
      <alignment horizontal="center" vertical="center"/>
    </xf>
    <xf numFmtId="0" fontId="14" fillId="28" borderId="19" xfId="0" applyFont="1" applyFill="1" applyBorder="1" applyAlignment="1">
      <alignment horizontal="center" vertical="center"/>
    </xf>
    <xf numFmtId="0" fontId="14" fillId="28" borderId="20" xfId="0" applyFont="1" applyFill="1" applyBorder="1" applyAlignment="1">
      <alignment horizontal="center" vertical="center"/>
    </xf>
    <xf numFmtId="0" fontId="14" fillId="28" borderId="21" xfId="0" applyFont="1" applyFill="1" applyBorder="1" applyAlignment="1">
      <alignment horizontal="center" vertical="center"/>
    </xf>
    <xf numFmtId="0" fontId="105" fillId="50" borderId="19" xfId="0" applyFont="1" applyFill="1" applyBorder="1" applyAlignment="1">
      <alignment horizontal="center" vertical="center"/>
    </xf>
    <xf numFmtId="0" fontId="105" fillId="50" borderId="20" xfId="0" applyFont="1" applyFill="1" applyBorder="1" applyAlignment="1">
      <alignment horizontal="center" vertical="center"/>
    </xf>
    <xf numFmtId="0" fontId="105" fillId="50" borderId="19" xfId="0" applyFont="1" applyFill="1" applyBorder="1" applyAlignment="1">
      <alignment horizontal="center"/>
    </xf>
    <xf numFmtId="0" fontId="105" fillId="50" borderId="20" xfId="0" applyFont="1" applyFill="1" applyBorder="1" applyAlignment="1">
      <alignment horizontal="center"/>
    </xf>
    <xf numFmtId="0" fontId="105" fillId="50" borderId="14" xfId="0" applyFont="1" applyFill="1" applyBorder="1" applyAlignment="1">
      <alignment horizontal="center"/>
    </xf>
    <xf numFmtId="0" fontId="105" fillId="50" borderId="33" xfId="0" applyFont="1" applyFill="1" applyBorder="1" applyAlignment="1">
      <alignment horizontal="center"/>
    </xf>
    <xf numFmtId="0" fontId="106" fillId="31" borderId="12" xfId="0" applyFont="1" applyFill="1" applyBorder="1" applyAlignment="1">
      <alignment horizontal="center" vertical="center" textRotation="90" wrapText="1"/>
    </xf>
    <xf numFmtId="0" fontId="106" fillId="31" borderId="13" xfId="0" applyFont="1" applyFill="1" applyBorder="1" applyAlignment="1">
      <alignment horizontal="center" vertical="center" textRotation="90" wrapText="1"/>
    </xf>
    <xf numFmtId="0" fontId="14" fillId="26" borderId="19" xfId="0" applyFont="1" applyFill="1" applyBorder="1" applyAlignment="1">
      <alignment horizontal="center" vertical="center"/>
    </xf>
    <xf numFmtId="0" fontId="14" fillId="26" borderId="20" xfId="0" applyFont="1" applyFill="1" applyBorder="1" applyAlignment="1">
      <alignment horizontal="center" vertical="center"/>
    </xf>
    <xf numFmtId="0" fontId="14" fillId="26" borderId="21" xfId="0" applyFont="1" applyFill="1" applyBorder="1" applyAlignment="1">
      <alignment horizontal="center" vertical="center"/>
    </xf>
    <xf numFmtId="0" fontId="14" fillId="75" borderId="19" xfId="0" applyFont="1" applyFill="1" applyBorder="1" applyAlignment="1">
      <alignment horizontal="center" vertical="center"/>
    </xf>
    <xf numFmtId="0" fontId="14" fillId="75" borderId="20" xfId="0" applyFont="1" applyFill="1" applyBorder="1" applyAlignment="1">
      <alignment horizontal="center" vertical="center"/>
    </xf>
    <xf numFmtId="0" fontId="14" fillId="75" borderId="21" xfId="0" applyFont="1" applyFill="1" applyBorder="1" applyAlignment="1">
      <alignment horizontal="center" vertical="center"/>
    </xf>
    <xf numFmtId="0" fontId="14" fillId="76" borderId="19" xfId="0" applyFont="1" applyFill="1" applyBorder="1" applyAlignment="1">
      <alignment horizontal="center" vertical="center"/>
    </xf>
    <xf numFmtId="0" fontId="14" fillId="76" borderId="20" xfId="0" applyFont="1" applyFill="1" applyBorder="1" applyAlignment="1">
      <alignment horizontal="center" vertical="center"/>
    </xf>
    <xf numFmtId="0" fontId="14" fillId="76" borderId="21" xfId="0" applyFont="1" applyFill="1" applyBorder="1" applyAlignment="1">
      <alignment horizontal="center" vertical="center"/>
    </xf>
    <xf numFmtId="0" fontId="5" fillId="48" borderId="68" xfId="0" applyFont="1" applyFill="1" applyBorder="1"/>
    <xf numFmtId="0" fontId="5" fillId="48" borderId="123" xfId="0" applyFont="1" applyFill="1" applyBorder="1"/>
    <xf numFmtId="0" fontId="5" fillId="48" borderId="79" xfId="0" applyFont="1" applyFill="1" applyBorder="1"/>
    <xf numFmtId="0" fontId="5" fillId="48" borderId="41" xfId="0" applyFont="1" applyFill="1" applyBorder="1"/>
    <xf numFmtId="0" fontId="0" fillId="48" borderId="19" xfId="0" applyFill="1" applyBorder="1" applyAlignment="1">
      <alignment horizontal="center"/>
    </xf>
    <xf numFmtId="0" fontId="0" fillId="48" borderId="21" xfId="0" applyFill="1" applyBorder="1" applyAlignment="1">
      <alignment horizontal="center"/>
    </xf>
    <xf numFmtId="0" fontId="70" fillId="25" borderId="19" xfId="0" applyFont="1" applyFill="1" applyBorder="1" applyAlignment="1">
      <alignment horizontal="center" vertical="center"/>
    </xf>
    <xf numFmtId="0" fontId="70" fillId="25" borderId="20" xfId="0" applyFont="1" applyFill="1" applyBorder="1" applyAlignment="1">
      <alignment horizontal="center" vertical="center"/>
    </xf>
    <xf numFmtId="0" fontId="70" fillId="25" borderId="21" xfId="0" applyFont="1" applyFill="1" applyBorder="1" applyAlignment="1">
      <alignment horizontal="center" vertical="center"/>
    </xf>
    <xf numFmtId="0" fontId="71" fillId="28" borderId="19" xfId="0" applyFont="1" applyFill="1" applyBorder="1" applyAlignment="1">
      <alignment horizontal="center" vertical="center"/>
    </xf>
    <xf numFmtId="0" fontId="71" fillId="28" borderId="20" xfId="0" applyFont="1" applyFill="1" applyBorder="1" applyAlignment="1">
      <alignment horizontal="center" vertical="center"/>
    </xf>
    <xf numFmtId="0" fontId="71" fillId="28" borderId="21" xfId="0" applyFont="1" applyFill="1" applyBorder="1" applyAlignment="1">
      <alignment horizontal="center" vertical="center"/>
    </xf>
    <xf numFmtId="0" fontId="71" fillId="49" borderId="19" xfId="0" applyFont="1" applyFill="1" applyBorder="1" applyAlignment="1">
      <alignment horizontal="center" vertical="center"/>
    </xf>
    <xf numFmtId="0" fontId="71" fillId="49" borderId="20" xfId="0" applyFont="1" applyFill="1" applyBorder="1" applyAlignment="1">
      <alignment horizontal="center" vertical="center"/>
    </xf>
    <xf numFmtId="0" fontId="71" fillId="49" borderId="21" xfId="0" applyFont="1" applyFill="1" applyBorder="1" applyAlignment="1">
      <alignment horizontal="center" vertical="center"/>
    </xf>
    <xf numFmtId="0" fontId="71" fillId="13" borderId="19" xfId="0" applyFont="1" applyFill="1" applyBorder="1" applyAlignment="1">
      <alignment horizontal="center" vertical="center"/>
    </xf>
    <xf numFmtId="0" fontId="71" fillId="13" borderId="20" xfId="0" applyFont="1" applyFill="1" applyBorder="1" applyAlignment="1">
      <alignment horizontal="center" vertical="center"/>
    </xf>
    <xf numFmtId="0" fontId="71" fillId="13" borderId="21" xfId="0" applyFont="1" applyFill="1" applyBorder="1" applyAlignment="1">
      <alignment horizontal="center" vertical="center"/>
    </xf>
    <xf numFmtId="0" fontId="71" fillId="50" borderId="19" xfId="0" applyFont="1" applyFill="1" applyBorder="1" applyAlignment="1">
      <alignment horizontal="center" vertical="center"/>
    </xf>
    <xf numFmtId="0" fontId="71" fillId="50" borderId="21" xfId="0" applyFont="1" applyFill="1" applyBorder="1" applyAlignment="1">
      <alignment horizontal="center" vertical="center"/>
    </xf>
    <xf numFmtId="0" fontId="0" fillId="25" borderId="54" xfId="0" applyFill="1" applyBorder="1" applyAlignment="1">
      <alignment horizontal="center"/>
    </xf>
    <xf numFmtId="0" fontId="0" fillId="25" borderId="56" xfId="0" applyFill="1" applyBorder="1" applyAlignment="1">
      <alignment horizontal="center"/>
    </xf>
    <xf numFmtId="0" fontId="71" fillId="39" borderId="16" xfId="0" applyFont="1" applyFill="1" applyBorder="1" applyAlignment="1">
      <alignment horizontal="center" vertical="center"/>
    </xf>
    <xf numFmtId="0" fontId="71" fillId="39" borderId="42" xfId="0" applyFont="1" applyFill="1" applyBorder="1" applyAlignment="1">
      <alignment horizontal="center" vertical="center"/>
    </xf>
    <xf numFmtId="0" fontId="71" fillId="39" borderId="11" xfId="0" applyFont="1" applyFill="1" applyBorder="1" applyAlignment="1">
      <alignment horizontal="center" vertical="center"/>
    </xf>
    <xf numFmtId="0" fontId="72" fillId="48" borderId="19" xfId="0" applyFont="1" applyFill="1" applyBorder="1" applyAlignment="1">
      <alignment horizontal="center" vertical="center"/>
    </xf>
    <xf numFmtId="0" fontId="72" fillId="48" borderId="21" xfId="0" applyFont="1" applyFill="1" applyBorder="1" applyAlignment="1">
      <alignment horizontal="center" vertical="center"/>
    </xf>
    <xf numFmtId="0" fontId="0" fillId="53" borderId="79" xfId="0" applyFill="1" applyBorder="1" applyAlignment="1">
      <alignment horizontal="center"/>
    </xf>
    <xf numFmtId="0" fontId="0" fillId="53" borderId="41" xfId="0" applyFill="1" applyBorder="1" applyAlignment="1">
      <alignment horizontal="center"/>
    </xf>
    <xf numFmtId="0" fontId="0" fillId="53" borderId="105" xfId="0" applyFill="1" applyBorder="1" applyAlignment="1">
      <alignment horizontal="center"/>
    </xf>
    <xf numFmtId="0" fontId="0" fillId="53" borderId="63" xfId="0" applyFill="1" applyBorder="1" applyAlignment="1">
      <alignment horizontal="center"/>
    </xf>
    <xf numFmtId="0" fontId="73" fillId="27" borderId="19" xfId="0" applyFont="1" applyFill="1" applyBorder="1" applyAlignment="1">
      <alignment horizontal="center" vertical="center"/>
    </xf>
    <xf numFmtId="0" fontId="73" fillId="27" borderId="20" xfId="0" applyFont="1" applyFill="1" applyBorder="1" applyAlignment="1">
      <alignment horizontal="center" vertical="center"/>
    </xf>
    <xf numFmtId="0" fontId="73" fillId="27" borderId="21" xfId="0" applyFont="1" applyFill="1" applyBorder="1" applyAlignment="1">
      <alignment horizontal="center" vertical="center"/>
    </xf>
    <xf numFmtId="0" fontId="71" fillId="52" borderId="19" xfId="0" applyFont="1" applyFill="1" applyBorder="1" applyAlignment="1">
      <alignment horizontal="center" vertical="center"/>
    </xf>
    <xf numFmtId="0" fontId="71" fillId="52" borderId="21" xfId="0" applyFont="1" applyFill="1" applyBorder="1" applyAlignment="1">
      <alignment horizontal="center" vertical="center"/>
    </xf>
    <xf numFmtId="0" fontId="71" fillId="51" borderId="19" xfId="0" applyFont="1" applyFill="1" applyBorder="1" applyAlignment="1">
      <alignment horizontal="center" vertical="center"/>
    </xf>
    <xf numFmtId="0" fontId="71" fillId="51" borderId="20" xfId="0" applyFont="1" applyFill="1" applyBorder="1" applyAlignment="1">
      <alignment horizontal="center" vertical="center"/>
    </xf>
    <xf numFmtId="0" fontId="71" fillId="51" borderId="21" xfId="0" applyFont="1" applyFill="1" applyBorder="1" applyAlignment="1">
      <alignment horizontal="center" vertical="center"/>
    </xf>
    <xf numFmtId="0" fontId="71" fillId="26" borderId="19" xfId="0" applyFont="1" applyFill="1" applyBorder="1" applyAlignment="1">
      <alignment horizontal="center" vertical="center"/>
    </xf>
    <xf numFmtId="0" fontId="71" fillId="26" borderId="20" xfId="0" applyFont="1" applyFill="1" applyBorder="1" applyAlignment="1">
      <alignment horizontal="center" vertical="center"/>
    </xf>
    <xf numFmtId="0" fontId="71" fillId="26" borderId="21" xfId="0" applyFont="1" applyFill="1" applyBorder="1" applyAlignment="1">
      <alignment horizontal="center" vertical="center"/>
    </xf>
    <xf numFmtId="0" fontId="5" fillId="48" borderId="105" xfId="0" applyFont="1" applyFill="1" applyBorder="1"/>
    <xf numFmtId="0" fontId="5" fillId="48" borderId="63" xfId="0" applyFont="1" applyFill="1" applyBorder="1"/>
    <xf numFmtId="0" fontId="0" fillId="53" borderId="68" xfId="0" applyFill="1" applyBorder="1" applyAlignment="1">
      <alignment horizontal="center"/>
    </xf>
    <xf numFmtId="0" fontId="0" fillId="53" borderId="123" xfId="0" applyFill="1" applyBorder="1" applyAlignment="1">
      <alignment horizontal="center"/>
    </xf>
    <xf numFmtId="0" fontId="72" fillId="53" borderId="19" xfId="0" applyFont="1" applyFill="1" applyBorder="1" applyAlignment="1">
      <alignment horizontal="center" vertical="center"/>
    </xf>
    <xf numFmtId="0" fontId="72" fillId="53" borderId="21" xfId="0" applyFont="1" applyFill="1" applyBorder="1" applyAlignment="1">
      <alignment horizontal="center" vertical="center"/>
    </xf>
    <xf numFmtId="0" fontId="68" fillId="13" borderId="12" xfId="0" applyFont="1" applyFill="1" applyBorder="1" applyAlignment="1" applyProtection="1">
      <alignment horizontal="center" vertical="center"/>
      <protection locked="0"/>
    </xf>
    <xf numFmtId="0" fontId="68" fillId="13" borderId="10" xfId="0" applyFont="1" applyFill="1" applyBorder="1" applyAlignment="1" applyProtection="1">
      <alignment horizontal="center" vertical="center"/>
      <protection locked="0"/>
    </xf>
    <xf numFmtId="0" fontId="89" fillId="21" borderId="2" xfId="0" applyFont="1" applyFill="1" applyBorder="1" applyAlignment="1">
      <alignment horizontal="center" vertical="center"/>
    </xf>
    <xf numFmtId="0" fontId="89" fillId="21" borderId="18" xfId="0" applyFont="1" applyFill="1" applyBorder="1" applyAlignment="1">
      <alignment horizontal="center" vertical="center"/>
    </xf>
    <xf numFmtId="0" fontId="7" fillId="11" borderId="2" xfId="0" applyFont="1" applyFill="1" applyBorder="1" applyAlignment="1">
      <alignment horizontal="center"/>
    </xf>
    <xf numFmtId="0" fontId="7" fillId="11" borderId="18" xfId="0" applyFont="1" applyFill="1" applyBorder="1" applyAlignment="1">
      <alignment horizontal="center"/>
    </xf>
    <xf numFmtId="0" fontId="45" fillId="45" borderId="115" xfId="0" applyFont="1" applyFill="1" applyBorder="1" applyAlignment="1">
      <alignment horizontal="left" vertical="top" wrapText="1"/>
    </xf>
    <xf numFmtId="0" fontId="17" fillId="45" borderId="116" xfId="0" applyFont="1" applyFill="1" applyBorder="1" applyAlignment="1">
      <alignment horizontal="left" vertical="top" wrapText="1"/>
    </xf>
    <xf numFmtId="0" fontId="17" fillId="45" borderId="117" xfId="0" applyFont="1" applyFill="1" applyBorder="1" applyAlignment="1">
      <alignment horizontal="left" vertical="top" wrapText="1"/>
    </xf>
    <xf numFmtId="0" fontId="17" fillId="45" borderId="118" xfId="0" applyFont="1" applyFill="1" applyBorder="1" applyAlignment="1">
      <alignment horizontal="left" vertical="top" wrapText="1"/>
    </xf>
    <xf numFmtId="0" fontId="17" fillId="45" borderId="0" xfId="0" applyFont="1" applyFill="1" applyAlignment="1">
      <alignment horizontal="left" vertical="top" wrapText="1"/>
    </xf>
    <xf numFmtId="0" fontId="17" fillId="45" borderId="119" xfId="0" applyFont="1" applyFill="1" applyBorder="1" applyAlignment="1">
      <alignment horizontal="left" vertical="top" wrapText="1"/>
    </xf>
    <xf numFmtId="0" fontId="17" fillId="45" borderId="120" xfId="0" applyFont="1" applyFill="1" applyBorder="1" applyAlignment="1">
      <alignment horizontal="left" vertical="top" wrapText="1"/>
    </xf>
    <xf numFmtId="0" fontId="17" fillId="45" borderId="111" xfId="0" applyFont="1" applyFill="1" applyBorder="1" applyAlignment="1">
      <alignment horizontal="left" vertical="top" wrapText="1"/>
    </xf>
    <xf numFmtId="0" fontId="17" fillId="45" borderId="112" xfId="0" applyFont="1" applyFill="1" applyBorder="1" applyAlignment="1">
      <alignment horizontal="left" vertical="top" wrapText="1"/>
    </xf>
    <xf numFmtId="173" fontId="91" fillId="47" borderId="113" xfId="0" applyNumberFormat="1" applyFont="1" applyFill="1" applyBorder="1" applyAlignment="1">
      <alignment horizontal="center" vertical="top" wrapText="1"/>
    </xf>
    <xf numFmtId="173" fontId="91" fillId="47" borderId="114" xfId="0" applyNumberFormat="1" applyFont="1" applyFill="1" applyBorder="1" applyAlignment="1">
      <alignment horizontal="center" vertical="top" wrapText="1"/>
    </xf>
    <xf numFmtId="172" fontId="91" fillId="47" borderId="113" xfId="1" applyNumberFormat="1" applyFont="1" applyFill="1" applyBorder="1" applyAlignment="1">
      <alignment horizontal="center" vertical="top" wrapText="1"/>
    </xf>
    <xf numFmtId="172" fontId="91" fillId="47" borderId="114" xfId="1" applyNumberFormat="1" applyFont="1" applyFill="1" applyBorder="1" applyAlignment="1">
      <alignment horizontal="center" vertical="top" wrapText="1"/>
    </xf>
    <xf numFmtId="0" fontId="12" fillId="44" borderId="75" xfId="0" applyFont="1" applyFill="1" applyBorder="1" applyAlignment="1">
      <alignment horizontal="center" vertical="center"/>
    </xf>
    <xf numFmtId="0" fontId="12" fillId="44" borderId="50" xfId="0" applyFont="1" applyFill="1" applyBorder="1" applyAlignment="1">
      <alignment horizontal="center" vertical="center"/>
    </xf>
    <xf numFmtId="0" fontId="12" fillId="44" borderId="25" xfId="0" applyFont="1" applyFill="1" applyBorder="1" applyAlignment="1">
      <alignment horizontal="center" vertical="center"/>
    </xf>
    <xf numFmtId="0" fontId="17" fillId="45" borderId="113" xfId="0" applyFont="1" applyFill="1" applyBorder="1" applyAlignment="1">
      <alignment horizontal="center" vertical="top" wrapText="1"/>
    </xf>
    <xf numFmtId="0" fontId="17" fillId="45" borderId="114" xfId="0" applyFont="1" applyFill="1" applyBorder="1" applyAlignment="1">
      <alignment horizontal="center" vertical="top" wrapText="1"/>
    </xf>
    <xf numFmtId="0" fontId="17" fillId="46" borderId="113" xfId="0" applyFont="1" applyFill="1" applyBorder="1" applyAlignment="1">
      <alignment horizontal="center" vertical="top" wrapText="1"/>
    </xf>
    <xf numFmtId="0" fontId="17" fillId="46" borderId="114" xfId="0" applyFont="1" applyFill="1" applyBorder="1" applyAlignment="1">
      <alignment horizontal="center" vertical="top" wrapText="1"/>
    </xf>
    <xf numFmtId="0" fontId="17" fillId="0" borderId="1" xfId="0" applyFont="1" applyBorder="1" applyAlignment="1">
      <alignment horizontal="center" vertical="center"/>
    </xf>
    <xf numFmtId="0" fontId="17" fillId="45" borderId="121" xfId="0" applyFont="1" applyFill="1" applyBorder="1" applyAlignment="1">
      <alignment horizontal="left" vertical="top" wrapText="1"/>
    </xf>
    <xf numFmtId="0" fontId="17" fillId="45" borderId="114" xfId="0" applyFont="1" applyFill="1" applyBorder="1" applyAlignment="1">
      <alignment horizontal="left" vertical="top" wrapText="1"/>
    </xf>
    <xf numFmtId="0" fontId="17" fillId="45" borderId="113" xfId="0" applyFont="1" applyFill="1" applyBorder="1" applyAlignment="1">
      <alignment horizontal="left" vertical="top" wrapText="1"/>
    </xf>
    <xf numFmtId="0" fontId="17" fillId="45" borderId="115" xfId="0" applyFont="1" applyFill="1" applyBorder="1" applyAlignment="1">
      <alignment horizontal="left" vertical="top" wrapText="1"/>
    </xf>
    <xf numFmtId="174" fontId="91" fillId="47" borderId="113" xfId="0" applyNumberFormat="1" applyFont="1" applyFill="1" applyBorder="1" applyAlignment="1">
      <alignment horizontal="center" vertical="top" wrapText="1"/>
    </xf>
    <xf numFmtId="174" fontId="91" fillId="47" borderId="114" xfId="0" applyNumberFormat="1" applyFont="1" applyFill="1" applyBorder="1" applyAlignment="1">
      <alignment horizontal="center" vertical="top" wrapText="1"/>
    </xf>
    <xf numFmtId="174" fontId="91" fillId="46" borderId="113" xfId="0" applyNumberFormat="1" applyFont="1" applyFill="1" applyBorder="1" applyAlignment="1">
      <alignment horizontal="center" vertical="top" wrapText="1"/>
    </xf>
    <xf numFmtId="174" fontId="91" fillId="46" borderId="114" xfId="0" applyNumberFormat="1" applyFont="1" applyFill="1" applyBorder="1" applyAlignment="1">
      <alignment horizontal="center" vertical="top" wrapText="1"/>
    </xf>
    <xf numFmtId="173" fontId="91" fillId="47" borderId="115" xfId="0" applyNumberFormat="1" applyFont="1" applyFill="1" applyBorder="1" applyAlignment="1">
      <alignment horizontal="center" vertical="top" wrapText="1"/>
    </xf>
    <xf numFmtId="173" fontId="91" fillId="47" borderId="117" xfId="0" applyNumberFormat="1" applyFont="1" applyFill="1" applyBorder="1" applyAlignment="1">
      <alignment horizontal="center" vertical="top" wrapText="1"/>
    </xf>
    <xf numFmtId="0" fontId="90" fillId="18" borderId="1" xfId="0" applyFont="1" applyFill="1" applyBorder="1" applyAlignment="1">
      <alignment horizontal="center" vertical="center"/>
    </xf>
    <xf numFmtId="0" fontId="92" fillId="24" borderId="2" xfId="0" applyFont="1" applyFill="1" applyBorder="1" applyAlignment="1">
      <alignment horizontal="center" vertical="center"/>
    </xf>
    <xf numFmtId="0" fontId="92" fillId="24" borderId="40" xfId="0" applyFont="1" applyFill="1" applyBorder="1" applyAlignment="1">
      <alignment horizontal="center" vertical="center"/>
    </xf>
    <xf numFmtId="0" fontId="92" fillId="24" borderId="18" xfId="0" applyFont="1" applyFill="1" applyBorder="1" applyAlignment="1">
      <alignment horizontal="center" vertical="center"/>
    </xf>
    <xf numFmtId="0" fontId="80" fillId="59" borderId="18" xfId="0" applyFont="1" applyFill="1" applyBorder="1" applyAlignment="1">
      <alignment horizontal="center" vertical="center"/>
    </xf>
    <xf numFmtId="0" fontId="80" fillId="59" borderId="1" xfId="0" applyFont="1" applyFill="1" applyBorder="1" applyAlignment="1">
      <alignment horizontal="center" vertical="center"/>
    </xf>
    <xf numFmtId="0" fontId="80" fillId="59" borderId="2" xfId="0" applyFont="1" applyFill="1" applyBorder="1" applyAlignment="1">
      <alignment horizontal="center" vertical="center"/>
    </xf>
    <xf numFmtId="0" fontId="92" fillId="24" borderId="1" xfId="0" applyFont="1" applyFill="1" applyBorder="1" applyAlignment="1">
      <alignment horizontal="center" vertical="center"/>
    </xf>
    <xf numFmtId="0" fontId="17" fillId="18" borderId="19" xfId="0" applyFont="1" applyFill="1" applyBorder="1" applyAlignment="1">
      <alignment horizontal="center"/>
    </xf>
    <xf numFmtId="0" fontId="17" fillId="18" borderId="21" xfId="0" applyFont="1" applyFill="1" applyBorder="1" applyAlignment="1">
      <alignment horizontal="center"/>
    </xf>
    <xf numFmtId="0" fontId="10" fillId="43" borderId="1" xfId="0" applyFont="1" applyFill="1" applyBorder="1" applyAlignment="1">
      <alignment horizontal="center"/>
    </xf>
  </cellXfs>
  <cellStyles count="17">
    <cellStyle name="Check Cell" xfId="3" builtinId="23"/>
    <cellStyle name="Comma" xfId="1" builtinId="3"/>
    <cellStyle name="Comma 2" xfId="4" xr:uid="{00000000-0005-0000-0000-000002000000}"/>
    <cellStyle name="Comma 3" xfId="7" xr:uid="{00000000-0005-0000-0000-000003000000}"/>
    <cellStyle name="Comma 4" xfId="15" xr:uid="{C0B4082C-7C10-4922-9606-859FE4B7DD24}"/>
    <cellStyle name="Good" xfId="2" builtinId="26"/>
    <cellStyle name="Hyperlink" xfId="9" builtinId="8"/>
    <cellStyle name="Normal" xfId="0" builtinId="0"/>
    <cellStyle name="Normal 2" xfId="5" xr:uid="{00000000-0005-0000-0000-000007000000}"/>
    <cellStyle name="Normal 2 2" xfId="10" xr:uid="{00000000-0005-0000-0000-000008000000}"/>
    <cellStyle name="Normal 3" xfId="13" xr:uid="{00000000-0005-0000-0000-000009000000}"/>
    <cellStyle name="Normal 4" xfId="11" xr:uid="{00000000-0005-0000-0000-00000A000000}"/>
    <cellStyle name="Normal_Book1" xfId="16" xr:uid="{E00D3C09-EBC3-4B1A-BF7F-BCA8D207B7FC}"/>
    <cellStyle name="Normal_Sheet1" xfId="12" xr:uid="{00000000-0005-0000-0000-00000B000000}"/>
    <cellStyle name="Note" xfId="6" builtinId="10"/>
    <cellStyle name="Note 2" xfId="8" xr:uid="{00000000-0005-0000-0000-00000D000000}"/>
    <cellStyle name="Percent" xfId="14" builtinId="5"/>
  </cellStyles>
  <dxfs count="457">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right/>
        <top style="thin">
          <color rgb="FF95B3D7"/>
        </top>
        <bottom style="thin">
          <color rgb="FF95B3D7"/>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right/>
        <top style="thin">
          <color rgb="FF95B3D7"/>
        </top>
        <bottom style="thin">
          <color rgb="FF95B3D7"/>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right/>
        <top style="thin">
          <color rgb="FF95B3D7"/>
        </top>
        <bottom style="thin">
          <color rgb="FF95B3D7"/>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right/>
        <top style="thin">
          <color rgb="FF95B3D7"/>
        </top>
        <bottom style="thin">
          <color rgb="FF95B3D7"/>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rgb="FF95B3D7"/>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rgb="FF95B3D7"/>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rgb="FF95B3D7"/>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rgb="FF95B3D7"/>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rgb="FF95B3D7"/>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rgb="FF95B3D7"/>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rgb="FF95B3D7"/>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fill>
        <patternFill patternType="solid">
          <fgColor rgb="FFDCE6F1"/>
          <bgColor rgb="FFDCE6F1"/>
        </patternFill>
      </fill>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none"/>
      </font>
      <fill>
        <patternFill patternType="solid">
          <fgColor rgb="FFDCE6F1"/>
          <bgColor rgb="FFDCE6F1"/>
        </patternFill>
      </fill>
    </dxf>
    <dxf>
      <border outline="0">
        <bottom style="thin">
          <color indexed="64"/>
        </bottom>
      </border>
    </dxf>
    <dxf>
      <font>
        <b/>
        <i val="0"/>
        <strike val="0"/>
        <condense val="0"/>
        <extend val="0"/>
        <outline val="0"/>
        <shadow val="0"/>
        <u val="none"/>
        <vertAlign val="baseline"/>
        <sz val="11"/>
        <color rgb="FFFFFFFF"/>
        <name val="Calibri"/>
        <scheme val="none"/>
      </font>
      <fill>
        <patternFill patternType="solid">
          <fgColor rgb="FF000000"/>
          <bgColor rgb="FFC0000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0"/>
        <name val="Arial Narrow"/>
        <scheme val="none"/>
      </font>
      <numFmt numFmtId="171" formatCode="[$USD]\ #,##0.00"/>
      <fill>
        <patternFill patternType="solid">
          <fgColor indexed="64"/>
          <bgColor theme="7" tint="-0.499984740745262"/>
        </patternFill>
      </fill>
      <alignment horizontal="center" vertical="top"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fill>
        <patternFill patternType="solid">
          <fgColor indexed="64"/>
          <bgColor theme="9"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fill>
        <patternFill patternType="solid">
          <fgColor indexed="64"/>
          <bgColor theme="9"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fill>
        <patternFill patternType="solid">
          <fgColor indexed="64"/>
          <bgColor theme="9"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fill>
        <patternFill patternType="solid">
          <fgColor indexed="64"/>
          <bgColor theme="9"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fill>
        <patternFill patternType="solid">
          <fgColor indexed="64"/>
          <bgColor theme="9"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fill>
        <patternFill patternType="solid">
          <fgColor indexed="64"/>
          <bgColor theme="9"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fill>
        <patternFill patternType="solid">
          <fgColor indexed="64"/>
          <bgColor theme="9"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family val="2"/>
        <scheme val="none"/>
      </font>
      <numFmt numFmtId="171" formatCode="[$USD]\ #,##0.00"/>
      <fill>
        <patternFill patternType="solid">
          <fgColor indexed="64"/>
          <bgColor theme="2" tint="-0.89999084444715716"/>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family val="2"/>
        <scheme val="none"/>
      </font>
      <numFmt numFmtId="171" formatCode="[$USD]\ #,##0.00"/>
      <fill>
        <patternFill patternType="solid">
          <fgColor indexed="64"/>
          <bgColor theme="2" tint="-0.89999084444715716"/>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0"/>
        <name val="Arial Narrow"/>
        <scheme val="none"/>
      </font>
      <numFmt numFmtId="171" formatCode="[$USD]\ #,##0.00"/>
      <fill>
        <patternFill patternType="solid">
          <fgColor indexed="64"/>
          <bgColor theme="2" tint="-0.89999084444715716"/>
        </patternFill>
      </fill>
      <alignment horizontal="center" vertical="top"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family val="2"/>
        <scheme val="none"/>
      </font>
      <numFmt numFmtId="171" formatCode="[$USD]\ #,##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0"/>
        <name val="Arial Narrow"/>
        <scheme val="none"/>
      </font>
      <numFmt numFmtId="4" formatCode="#,##0.00"/>
      <fill>
        <patternFill patternType="solid">
          <fgColor indexed="64"/>
          <bgColor theme="1" tint="0.249977111117893"/>
        </patternFill>
      </fill>
      <alignment horizontal="center" vertical="top"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0" formatCode="[$USD]\ #,##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0" formatCode="[$USD]\ #,##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0"/>
        <name val="Arial Narrow"/>
        <scheme val="none"/>
      </font>
      <numFmt numFmtId="171" formatCode="[$USD]\ #,##0.00"/>
      <fill>
        <patternFill patternType="solid">
          <fgColor indexed="64"/>
          <bgColor rgb="FF002060"/>
        </patternFill>
      </fill>
      <alignment horizontal="center" vertical="top"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0"/>
        <name val="Arial Narrow"/>
        <scheme val="none"/>
      </font>
      <numFmt numFmtId="171" formatCode="[$USD]\ #,##0.00"/>
      <fill>
        <patternFill patternType="solid">
          <fgColor indexed="64"/>
          <bgColor theme="6" tint="-0.499984740745262"/>
        </patternFill>
      </fill>
      <alignment horizontal="center" vertical="top"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171" formatCode="[$USD]\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Narrow"/>
        <scheme val="none"/>
      </font>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Narrow"/>
        <scheme val="none"/>
      </font>
    </dxf>
    <dxf>
      <border>
        <bottom style="thin">
          <color indexed="64"/>
        </bottom>
      </border>
    </dxf>
    <dxf>
      <font>
        <b val="0"/>
        <i val="0"/>
        <strike val="0"/>
        <condense val="0"/>
        <extend val="0"/>
        <outline val="0"/>
        <shadow val="0"/>
        <u val="none"/>
        <vertAlign val="baseline"/>
        <sz val="12"/>
        <color auto="1"/>
        <name val="Arial Narrow"/>
        <scheme val="none"/>
      </font>
      <alignment horizontal="center" vertical="top"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1"/>
        <name val="Times New Roman"/>
        <scheme val="none"/>
      </font>
      <protection locked="0" hidden="0"/>
    </dxf>
    <dxf>
      <border diagonalUp="0" diagonalDown="0">
        <left style="thin">
          <color indexed="64"/>
        </left>
        <right style="thin">
          <color indexed="64"/>
        </right>
        <top style="thin">
          <color indexed="64"/>
        </top>
        <bottom style="thin">
          <color indexed="64"/>
        </bottom>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protection locked="0" hidden="0"/>
    </dxf>
    <dxf>
      <font>
        <b val="0"/>
        <i val="0"/>
        <strike val="0"/>
        <condense val="0"/>
        <extend val="0"/>
        <outline val="0"/>
        <shadow val="0"/>
        <u val="none"/>
        <vertAlign val="baseline"/>
        <sz val="11"/>
        <color theme="1"/>
        <name val="Times New Roman"/>
        <scheme val="none"/>
      </font>
      <protection locked="0" hidden="0"/>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rgb="FF000000"/>
        <name val="Times New Roman"/>
        <scheme val="none"/>
      </font>
    </dxf>
    <dxf>
      <font>
        <b val="0"/>
        <i val="0"/>
        <strike val="0"/>
        <condense val="0"/>
        <extend val="0"/>
        <outline val="0"/>
        <shadow val="0"/>
        <u val="none"/>
        <vertAlign val="baseline"/>
        <sz val="11"/>
        <color theme="1"/>
        <name val="Times New Roman"/>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Times New Roman"/>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Times New Roman"/>
        <scheme val="none"/>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rgb="FF95B3D7"/>
        </top>
      </border>
    </dxf>
    <dxf>
      <border outline="0">
        <left style="thin">
          <color rgb="FF95B3D7"/>
        </left>
        <top style="thin">
          <color rgb="FF95B3D7"/>
        </top>
        <bottom style="thin">
          <color rgb="FF95B3D7"/>
        </bottom>
      </border>
    </dxf>
    <dxf>
      <font>
        <b val="0"/>
        <i val="0"/>
        <strike val="0"/>
        <condense val="0"/>
        <extend val="0"/>
        <outline val="0"/>
        <shadow val="0"/>
        <u val="none"/>
        <vertAlign val="baseline"/>
        <sz val="11"/>
        <color rgb="FF000000"/>
        <name val="Times New Roman"/>
        <scheme val="none"/>
      </font>
    </dxf>
    <dxf>
      <border outline="0">
        <bottom style="thin">
          <color rgb="FF95B3D7"/>
        </bottom>
      </border>
    </dxf>
    <dxf>
      <font>
        <b/>
        <i val="0"/>
        <strike val="0"/>
        <condense val="0"/>
        <extend val="0"/>
        <outline val="0"/>
        <shadow val="0"/>
        <u val="none"/>
        <vertAlign val="baseline"/>
        <sz val="11"/>
        <color theme="0"/>
        <name val="Times New Roman"/>
        <scheme val="none"/>
      </font>
      <fill>
        <patternFill patternType="solid">
          <fgColor theme="4"/>
          <bgColor theme="4"/>
        </patternFill>
      </fill>
    </dxf>
    <dxf>
      <font>
        <strike val="0"/>
        <outline val="0"/>
        <shadow val="0"/>
        <u val="none"/>
        <vertAlign val="baseline"/>
        <sz val="10"/>
        <color auto="1"/>
        <name val="Arial Narrow"/>
        <family val="2"/>
        <scheme val="none"/>
      </font>
      <numFmt numFmtId="0" formatCode="General"/>
      <fill>
        <patternFill patternType="none">
          <fgColor indexed="64"/>
          <bgColor indexed="65"/>
        </patternFill>
      </fill>
      <border diagonalUp="0" diagonalDown="0">
        <left style="thin">
          <color indexed="64"/>
        </left>
        <right style="thin">
          <color indexed="64"/>
        </right>
        <top/>
        <bottom style="thin">
          <color indexed="64"/>
        </bottom>
        <vertical/>
        <horizontal/>
      </border>
    </dxf>
    <dxf>
      <font>
        <strike val="0"/>
        <outline val="0"/>
        <shadow val="0"/>
        <u val="none"/>
        <vertAlign val="baseline"/>
        <sz val="10"/>
        <name val="Arial Narrow"/>
        <family val="2"/>
        <scheme val="none"/>
      </font>
      <numFmt numFmtId="0" formatCode="Genera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family val="2"/>
        <scheme val="none"/>
      </font>
      <numFmt numFmtId="0" formatCode="Genera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Arial Narrow"/>
        <family val="2"/>
        <scheme val="none"/>
      </font>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none"/>
      </font>
      <numFmt numFmtId="175" formatCode="_-* #,##0.0_-;\-* #,##0.0_-;_-* &quot;-&quot;?_-;_-@_-"/>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none"/>
      </font>
      <numFmt numFmtId="175" formatCode="_-* #,##0.0_-;\-* #,##0.0_-;_-* &quot;-&quot;?_-;_-@_-"/>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175" formatCode="_-* #,##0.0_-;\-* #,##0.0_-;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none"/>
      </font>
      <numFmt numFmtId="175" formatCode="_-* #,##0.0_-;\-* #,##0.0_-;_-* &quot;-&quot;?_-;_-@_-"/>
      <border diagonalUp="0" diagonalDown="0" outline="0">
        <left style="thin">
          <color indexed="64"/>
        </left>
        <right/>
        <top style="thin">
          <color indexed="64"/>
        </top>
        <bottom style="thin">
          <color indexed="64"/>
        </bottom>
      </border>
    </dxf>
    <dxf>
      <font>
        <strike val="0"/>
        <outline val="0"/>
        <shadow val="0"/>
        <u val="none"/>
        <vertAlign val="baseline"/>
        <sz val="10"/>
        <color auto="1"/>
        <name val="Arial Narrow"/>
        <family val="2"/>
        <scheme val="none"/>
      </font>
      <numFmt numFmtId="175" formatCode="_-* #,##0.0_-;\-* #,##0.0_-;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none"/>
      </font>
      <numFmt numFmtId="164" formatCode="_(* #,##0.00_);_(* \(#,##0.0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none"/>
      </font>
      <numFmt numFmtId="164" formatCode="_(* #,##0.00_);_(* \(#,##0.00\);_(* &quot;-&quot;??_);_(@_)"/>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164" formatCode="_(* #,##0.00_);_(* \(#,##0.00\);_(* &quot;-&quot;??_);_(@_)"/>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175" formatCode="_-* #,##0.0_-;\-* #,##0.0_-;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none"/>
      </font>
      <numFmt numFmtId="175" formatCode="_-* #,##0.0_-;\-* #,##0.0_-;_-* &quot;-&quot;?_-;_-@_-"/>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none"/>
      </font>
      <numFmt numFmtId="175" formatCode="_-* #,##0.0_-;\-* #,##0.0_-;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none"/>
      </font>
      <numFmt numFmtId="172" formatCode="_-* #,##0_-;\-* #,##0_-;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none"/>
      </font>
      <numFmt numFmtId="0" formatCode="Genera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none"/>
      </font>
      <numFmt numFmtId="0" formatCode="Genera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none"/>
      </font>
      <numFmt numFmtId="0" formatCode="Genera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none"/>
      </font>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none"/>
      </font>
      <numFmt numFmtId="0" formatCode="Genera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family val="2"/>
        <scheme val="none"/>
      </font>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none"/>
      </font>
      <numFmt numFmtId="0" formatCode="Genera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none"/>
      </font>
      <numFmt numFmtId="0" formatCode="Genera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family val="2"/>
        <scheme val="none"/>
      </font>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family val="2"/>
        <scheme val="none"/>
      </font>
    </dxf>
    <dxf>
      <border>
        <bottom style="thin">
          <color indexed="64"/>
        </bottom>
      </border>
    </dxf>
    <dxf>
      <font>
        <strike val="0"/>
        <outline val="0"/>
        <shadow val="0"/>
        <u val="none"/>
        <vertAlign val="baseline"/>
        <sz val="10"/>
        <name val="Arial Narrow"/>
        <family val="2"/>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Narrow"/>
        <family val="2"/>
        <scheme val="none"/>
      </font>
      <protection locked="0" hidden="0"/>
    </dxf>
    <dxf>
      <font>
        <b val="0"/>
        <i val="0"/>
        <strike val="0"/>
        <condense val="0"/>
        <extend val="0"/>
        <outline val="0"/>
        <shadow val="0"/>
        <u val="none"/>
        <vertAlign val="baseline"/>
        <sz val="11"/>
        <color theme="1"/>
        <name val="Arial Narrow"/>
        <family val="2"/>
        <scheme val="none"/>
      </font>
      <protection locked="0" hidden="0"/>
    </dxf>
    <dxf>
      <font>
        <b val="0"/>
        <i val="0"/>
        <strike val="0"/>
        <condense val="0"/>
        <extend val="0"/>
        <outline val="0"/>
        <shadow val="0"/>
        <u val="none"/>
        <vertAlign val="baseline"/>
        <sz val="11"/>
        <color theme="1"/>
        <name val="Arial Narrow"/>
        <family val="2"/>
        <scheme val="none"/>
      </font>
      <protection locked="0" hidden="0"/>
    </dxf>
    <dxf>
      <font>
        <b val="0"/>
        <i val="0"/>
        <strike val="0"/>
        <condense val="0"/>
        <extend val="0"/>
        <outline val="0"/>
        <shadow val="0"/>
        <u val="none"/>
        <vertAlign val="baseline"/>
        <sz val="11"/>
        <color theme="1"/>
        <name val="Arial Narrow"/>
        <family val="2"/>
        <scheme val="none"/>
      </font>
      <protection locked="0" hidden="0"/>
    </dxf>
    <dxf>
      <font>
        <b val="0"/>
        <i val="0"/>
        <strike val="0"/>
        <condense val="0"/>
        <extend val="0"/>
        <outline val="0"/>
        <shadow val="0"/>
        <u val="none"/>
        <vertAlign val="baseline"/>
        <sz val="11"/>
        <color theme="1"/>
        <name val="Arial Narrow"/>
        <family val="2"/>
        <scheme val="none"/>
      </font>
      <protection locked="0" hidden="0"/>
    </dxf>
    <dxf>
      <font>
        <b val="0"/>
        <i val="0"/>
        <strike val="0"/>
        <condense val="0"/>
        <extend val="0"/>
        <outline val="0"/>
        <shadow val="0"/>
        <u val="none"/>
        <vertAlign val="baseline"/>
        <sz val="11"/>
        <color theme="1"/>
        <name val="Arial Narrow"/>
        <family val="2"/>
        <scheme val="none"/>
      </font>
      <protection locked="0" hidden="0"/>
    </dxf>
    <dxf>
      <font>
        <b val="0"/>
        <i val="0"/>
        <strike val="0"/>
        <condense val="0"/>
        <extend val="0"/>
        <outline val="0"/>
        <shadow val="0"/>
        <u val="none"/>
        <vertAlign val="baseline"/>
        <sz val="11"/>
        <color theme="1"/>
        <name val="Arial Narrow"/>
        <family val="2"/>
        <scheme val="none"/>
      </font>
      <protection locked="0" hidden="0"/>
    </dxf>
    <dxf>
      <font>
        <b val="0"/>
        <i val="0"/>
        <strike val="0"/>
        <condense val="0"/>
        <extend val="0"/>
        <outline val="0"/>
        <shadow val="0"/>
        <u val="none"/>
        <vertAlign val="baseline"/>
        <sz val="11"/>
        <color theme="1"/>
        <name val="Arial Narrow"/>
        <family val="2"/>
        <scheme val="none"/>
      </font>
      <protection locked="0" hidden="0"/>
    </dxf>
    <dxf>
      <font>
        <b val="0"/>
        <i val="0"/>
        <strike val="0"/>
        <condense val="0"/>
        <extend val="0"/>
        <outline val="0"/>
        <shadow val="0"/>
        <u val="none"/>
        <vertAlign val="baseline"/>
        <sz val="11"/>
        <color theme="1"/>
        <name val="Arial Narrow"/>
        <family val="2"/>
        <scheme val="none"/>
      </font>
      <protection locked="0" hidden="0"/>
    </dxf>
    <dxf>
      <font>
        <b val="0"/>
        <i val="0"/>
        <strike val="0"/>
        <condense val="0"/>
        <extend val="0"/>
        <outline val="0"/>
        <shadow val="0"/>
        <u val="none"/>
        <vertAlign val="baseline"/>
        <sz val="11"/>
        <color theme="1"/>
        <name val="Arial Narrow"/>
        <family val="2"/>
        <scheme val="none"/>
      </font>
      <protection locked="0" hidden="0"/>
    </dxf>
    <dxf>
      <border outline="0">
        <top style="thin">
          <color theme="4" tint="0.39997558519241921"/>
        </top>
      </border>
    </dxf>
    <dxf>
      <border diagonalUp="0" diagonalDown="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Narrow"/>
        <family val="2"/>
        <scheme val="none"/>
      </font>
      <protection locked="0" hidden="0"/>
    </dxf>
    <dxf>
      <border outline="0">
        <bottom style="thin">
          <color theme="4" tint="0.39997558519241921"/>
        </bottom>
      </border>
    </dxf>
    <dxf>
      <font>
        <b/>
        <i val="0"/>
        <strike val="0"/>
        <condense val="0"/>
        <extend val="0"/>
        <outline val="0"/>
        <shadow val="0"/>
        <u val="none"/>
        <vertAlign val="baseline"/>
        <sz val="11"/>
        <color theme="0"/>
        <name val="Arial Narrow"/>
        <family val="2"/>
        <scheme val="none"/>
      </font>
      <fill>
        <patternFill patternType="solid">
          <fgColor theme="4"/>
          <bgColor theme="4"/>
        </patternFill>
      </fill>
      <alignment horizontal="center" vertical="center" textRotation="0" wrapText="0" indent="0" justifyLastLine="0" shrinkToFit="0" readingOrder="0"/>
      <protection locked="0" hidden="0"/>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font>
        <strike val="0"/>
        <outline val="0"/>
        <shadow val="0"/>
        <vertAlign val="baseline"/>
        <name val="Arial Narrow"/>
        <family val="2"/>
        <scheme val="none"/>
      </font>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outline val="0"/>
        <shadow val="0"/>
        <vertAlign val="baseline"/>
        <name val="Arial Narrow"/>
        <family val="2"/>
        <scheme val="none"/>
      </font>
    </dxf>
    <dxf>
      <font>
        <b/>
        <i val="0"/>
        <strike val="0"/>
        <condense val="0"/>
        <extend val="0"/>
        <outline val="0"/>
        <shadow val="0"/>
        <u val="none"/>
        <vertAlign val="baseline"/>
        <sz val="11"/>
        <color theme="0"/>
        <name val="Arial Narrow"/>
        <family val="2"/>
        <scheme val="none"/>
      </font>
      <fill>
        <patternFill patternType="solid">
          <fgColor theme="4"/>
          <bgColor theme="4"/>
        </patternFill>
      </fill>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border outline="0">
        <left style="medium">
          <color indexed="64"/>
        </left>
      </border>
    </dxf>
    <dxf>
      <border outline="0">
        <left style="medium">
          <color indexed="64"/>
        </left>
      </border>
    </dxf>
    <dxf>
      <border outline="0">
        <left style="medium">
          <color indexed="64"/>
        </left>
      </border>
    </dxf>
    <dxf>
      <border outline="0">
        <left style="medium">
          <color indexed="64"/>
        </left>
      </border>
    </dxf>
    <dxf>
      <border outline="0">
        <left style="medium">
          <color indexed="64"/>
        </left>
      </border>
    </dxf>
    <dxf>
      <border diagonalUp="0" diagonalDown="0">
        <left style="medium">
          <color indexed="64"/>
        </left>
        <right/>
        <top/>
        <bottom/>
        <vertical/>
        <horizontal/>
      </border>
    </dxf>
    <dxf>
      <font>
        <strike val="0"/>
        <outline val="0"/>
        <shadow val="0"/>
        <vertAlign val="baseline"/>
        <name val="Times New Roman"/>
        <scheme val="none"/>
      </font>
    </dxf>
    <dxf>
      <font>
        <strike val="0"/>
        <outline val="0"/>
        <shadow val="0"/>
        <vertAlign val="baseline"/>
        <name val="Times New Roman"/>
        <scheme val="none"/>
      </font>
    </dxf>
    <dxf>
      <font>
        <strike val="0"/>
        <outline val="0"/>
        <shadow val="0"/>
        <vertAlign val="baseline"/>
        <name val="Times New Roman"/>
        <scheme val="none"/>
      </font>
    </dxf>
    <dxf>
      <font>
        <strike val="0"/>
        <outline val="0"/>
        <shadow val="0"/>
        <vertAlign val="baseline"/>
        <name val="Times New Roman"/>
        <scheme val="none"/>
      </font>
    </dxf>
    <dxf>
      <font>
        <strike val="0"/>
        <outline val="0"/>
        <shadow val="0"/>
        <vertAlign val="baseline"/>
        <name val="Times New Roman"/>
        <scheme val="none"/>
      </font>
    </dxf>
    <dxf>
      <font>
        <strike val="0"/>
        <outline val="0"/>
        <shadow val="0"/>
        <vertAlign val="baseline"/>
        <name val="Times New Roman"/>
        <scheme val="none"/>
      </font>
    </dxf>
    <dxf>
      <font>
        <strike val="0"/>
        <outline val="0"/>
        <shadow val="0"/>
        <vertAlign val="baseline"/>
        <name val="Times New Roman"/>
        <scheme val="none"/>
      </font>
    </dxf>
    <dxf>
      <font>
        <strike val="0"/>
        <outline val="0"/>
        <shadow val="0"/>
        <vertAlign val="baseline"/>
        <name val="Times New Roman"/>
        <scheme val="none"/>
      </font>
    </dxf>
    <dxf>
      <font>
        <strike val="0"/>
        <outline val="0"/>
        <shadow val="0"/>
        <vertAlign val="baseline"/>
        <name val="Times New Roman"/>
        <scheme val="none"/>
      </font>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border outline="0">
        <left style="medium">
          <color indexed="64"/>
        </left>
      </border>
    </dxf>
    <dxf>
      <border outline="0">
        <left style="medium">
          <color indexed="64"/>
        </left>
      </border>
    </dxf>
    <dxf>
      <border outline="0">
        <left style="medium">
          <color indexed="64"/>
        </left>
      </border>
    </dxf>
    <dxf>
      <border outline="0">
        <left style="medium">
          <color indexed="64"/>
        </left>
      </border>
    </dxf>
    <dxf>
      <border outline="0">
        <left style="medium">
          <color indexed="64"/>
        </left>
      </border>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solid">
          <fgColor rgb="FFDCE6F1"/>
          <bgColor rgb="FFDCE6F1"/>
        </patternFill>
      </fill>
    </dxf>
    <dxf>
      <fill>
        <patternFill patternType="solid">
          <fgColor rgb="FFDCE6F1"/>
          <bgColor rgb="FFDCE6F1"/>
        </patternFill>
      </fill>
    </dxf>
    <dxf>
      <font>
        <b/>
        <color rgb="FF000000"/>
      </font>
    </dxf>
    <dxf>
      <font>
        <b/>
        <color rgb="FF000000"/>
      </font>
    </dxf>
    <dxf>
      <font>
        <b/>
        <color rgb="FF000000"/>
      </font>
      <border>
        <top style="double">
          <color rgb="FF4F81BD"/>
        </top>
      </border>
    </dxf>
    <dxf>
      <font>
        <b/>
        <color rgb="FFFFFFFF"/>
      </font>
      <fill>
        <patternFill patternType="solid">
          <fgColor rgb="FF4F81BD"/>
          <bgColor rgb="FF4F81BD"/>
        </patternFill>
      </fill>
    </dxf>
    <dxf>
      <font>
        <color rgb="FF000000"/>
      </font>
      <border>
        <left style="thin">
          <color rgb="FF95B3D7"/>
        </left>
        <right style="thin">
          <color rgb="FF95B3D7"/>
        </right>
        <top style="thin">
          <color rgb="FF95B3D7"/>
        </top>
        <bottom style="thin">
          <color rgb="FF95B3D7"/>
        </bottom>
        <horizontal style="thin">
          <color rgb="FF95B3D7"/>
        </horizontal>
      </border>
    </dxf>
  </dxfs>
  <tableStyles count="1" defaultTableStyle="TableStyleMedium2" defaultPivotStyle="PivotStyleLight16">
    <tableStyle name="TableStyleMedium2 2" pivot="0" count="7" xr9:uid="{00000000-0011-0000-FFFF-FFFF00000000}">
      <tableStyleElement type="wholeTable" dxfId="456"/>
      <tableStyleElement type="headerRow" dxfId="455"/>
      <tableStyleElement type="totalRow" dxfId="454"/>
      <tableStyleElement type="firstColumn" dxfId="453"/>
      <tableStyleElement type="lastColumn" dxfId="452"/>
      <tableStyleElement type="firstRowStripe" dxfId="451"/>
      <tableStyleElement type="firstColumnStripe" dxfId="450"/>
    </tableStyle>
  </tableStyles>
  <colors>
    <mruColors>
      <color rgb="FF94CDDC"/>
      <color rgb="FF594470"/>
      <color rgb="FF756D43"/>
      <color rgb="FF4E3C62"/>
      <color rgb="FF00518E"/>
      <color rgb="FFD0EAF0"/>
      <color rgb="FF6DBED1"/>
      <color rgb="FF9ACFDE"/>
      <color rgb="FFC6E5EC"/>
      <color rgb="FF64BA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_rels/activeX385.xml.rels><?xml version="1.0" encoding="UTF-8" standalone="yes"?>
<Relationships xmlns="http://schemas.openxmlformats.org/package/2006/relationships"><Relationship Id="rId1" Type="http://schemas.microsoft.com/office/2006/relationships/activeXControlBinary" Target="activeX385.bin"/></Relationships>
</file>

<file path=xl/activeX/_rels/activeX386.xml.rels><?xml version="1.0" encoding="UTF-8" standalone="yes"?>
<Relationships xmlns="http://schemas.openxmlformats.org/package/2006/relationships"><Relationship Id="rId1" Type="http://schemas.microsoft.com/office/2006/relationships/activeXControlBinary" Target="activeX386.bin"/></Relationships>
</file>

<file path=xl/activeX/_rels/activeX387.xml.rels><?xml version="1.0" encoding="UTF-8" standalone="yes"?>
<Relationships xmlns="http://schemas.openxmlformats.org/package/2006/relationships"><Relationship Id="rId1" Type="http://schemas.microsoft.com/office/2006/relationships/activeXControlBinary" Target="activeX387.bin"/></Relationships>
</file>

<file path=xl/activeX/_rels/activeX388.xml.rels><?xml version="1.0" encoding="UTF-8" standalone="yes"?>
<Relationships xmlns="http://schemas.openxmlformats.org/package/2006/relationships"><Relationship Id="rId1" Type="http://schemas.microsoft.com/office/2006/relationships/activeXControlBinary" Target="activeX388.bin"/></Relationships>
</file>

<file path=xl/activeX/_rels/activeX389.xml.rels><?xml version="1.0" encoding="UTF-8" standalone="yes"?>
<Relationships xmlns="http://schemas.openxmlformats.org/package/2006/relationships"><Relationship Id="rId1" Type="http://schemas.microsoft.com/office/2006/relationships/activeXControlBinary" Target="activeX389.bin"/></Relationships>
</file>

<file path=xl/activeX/_rels/activeX390.xml.rels><?xml version="1.0" encoding="UTF-8" standalone="yes"?>
<Relationships xmlns="http://schemas.openxmlformats.org/package/2006/relationships"><Relationship Id="rId1" Type="http://schemas.microsoft.com/office/2006/relationships/activeXControlBinary" Target="activeX390.bin"/></Relationships>
</file>

<file path=xl/activeX/_rels/activeX391.xml.rels><?xml version="1.0" encoding="UTF-8" standalone="yes"?>
<Relationships xmlns="http://schemas.openxmlformats.org/package/2006/relationships"><Relationship Id="rId1" Type="http://schemas.microsoft.com/office/2006/relationships/activeXControlBinary" Target="activeX391.bin"/></Relationships>
</file>

<file path=xl/activeX/_rels/activeX392.xml.rels><?xml version="1.0" encoding="UTF-8" standalone="yes"?>
<Relationships xmlns="http://schemas.openxmlformats.org/package/2006/relationships"><Relationship Id="rId1" Type="http://schemas.microsoft.com/office/2006/relationships/activeXControlBinary" Target="activeX392.bin"/></Relationships>
</file>

<file path=xl/activeX/_rels/activeX393.xml.rels><?xml version="1.0" encoding="UTF-8" standalone="yes"?>
<Relationships xmlns="http://schemas.openxmlformats.org/package/2006/relationships"><Relationship Id="rId1" Type="http://schemas.microsoft.com/office/2006/relationships/activeXControlBinary" Target="activeX393.bin"/></Relationships>
</file>

<file path=xl/activeX/_rels/activeX394.xml.rels><?xml version="1.0" encoding="UTF-8" standalone="yes"?>
<Relationships xmlns="http://schemas.openxmlformats.org/package/2006/relationships"><Relationship Id="rId1" Type="http://schemas.microsoft.com/office/2006/relationships/activeXControlBinary" Target="activeX394.bin"/></Relationships>
</file>

<file path=xl/activeX/_rels/activeX395.xml.rels><?xml version="1.0" encoding="UTF-8" standalone="yes"?>
<Relationships xmlns="http://schemas.openxmlformats.org/package/2006/relationships"><Relationship Id="rId1" Type="http://schemas.microsoft.com/office/2006/relationships/activeXControlBinary" Target="activeX395.bin"/></Relationships>
</file>

<file path=xl/activeX/_rels/activeX396.xml.rels><?xml version="1.0" encoding="UTF-8" standalone="yes"?>
<Relationships xmlns="http://schemas.openxmlformats.org/package/2006/relationships"><Relationship Id="rId1" Type="http://schemas.microsoft.com/office/2006/relationships/activeXControlBinary" Target="activeX396.bin"/></Relationships>
</file>

<file path=xl/activeX/_rels/activeX397.xml.rels><?xml version="1.0" encoding="UTF-8" standalone="yes"?>
<Relationships xmlns="http://schemas.openxmlformats.org/package/2006/relationships"><Relationship Id="rId1" Type="http://schemas.microsoft.com/office/2006/relationships/activeXControlBinary" Target="activeX397.bin"/></Relationships>
</file>

<file path=xl/activeX/_rels/activeX398.xml.rels><?xml version="1.0" encoding="UTF-8" standalone="yes"?>
<Relationships xmlns="http://schemas.openxmlformats.org/package/2006/relationships"><Relationship Id="rId1" Type="http://schemas.microsoft.com/office/2006/relationships/activeXControlBinary" Target="activeX398.bin"/></Relationships>
</file>

<file path=xl/activeX/_rels/activeX399.xml.rels><?xml version="1.0" encoding="UTF-8" standalone="yes"?>
<Relationships xmlns="http://schemas.openxmlformats.org/package/2006/relationships"><Relationship Id="rId1" Type="http://schemas.microsoft.com/office/2006/relationships/activeXControlBinary" Target="activeX399.bin"/></Relationships>
</file>

<file path=xl/activeX/_rels/activeX400.xml.rels><?xml version="1.0" encoding="UTF-8" standalone="yes"?>
<Relationships xmlns="http://schemas.openxmlformats.org/package/2006/relationships"><Relationship Id="rId1" Type="http://schemas.microsoft.com/office/2006/relationships/activeXControlBinary" Target="activeX400.bin"/></Relationships>
</file>

<file path=xl/activeX/_rels/activeX401.xml.rels><?xml version="1.0" encoding="UTF-8" standalone="yes"?>
<Relationships xmlns="http://schemas.openxmlformats.org/package/2006/relationships"><Relationship Id="rId1" Type="http://schemas.microsoft.com/office/2006/relationships/activeXControlBinary" Target="activeX401.bin"/></Relationships>
</file>

<file path=xl/activeX/_rels/activeX402.xml.rels><?xml version="1.0" encoding="UTF-8" standalone="yes"?>
<Relationships xmlns="http://schemas.openxmlformats.org/package/2006/relationships"><Relationship Id="rId1" Type="http://schemas.microsoft.com/office/2006/relationships/activeXControlBinary" Target="activeX402.bin"/></Relationships>
</file>

<file path=xl/activeX/_rels/activeX403.xml.rels><?xml version="1.0" encoding="UTF-8" standalone="yes"?>
<Relationships xmlns="http://schemas.openxmlformats.org/package/2006/relationships"><Relationship Id="rId1" Type="http://schemas.microsoft.com/office/2006/relationships/activeXControlBinary" Target="activeX403.bin"/></Relationships>
</file>

<file path=xl/activeX/_rels/activeX404.xml.rels><?xml version="1.0" encoding="UTF-8" standalone="yes"?>
<Relationships xmlns="http://schemas.openxmlformats.org/package/2006/relationships"><Relationship Id="rId1" Type="http://schemas.microsoft.com/office/2006/relationships/activeXControlBinary" Target="activeX404.bin"/></Relationships>
</file>

<file path=xl/activeX/_rels/activeX405.xml.rels><?xml version="1.0" encoding="UTF-8" standalone="yes"?>
<Relationships xmlns="http://schemas.openxmlformats.org/package/2006/relationships"><Relationship Id="rId1" Type="http://schemas.microsoft.com/office/2006/relationships/activeXControlBinary" Target="activeX405.bin"/></Relationships>
</file>

<file path=xl/activeX/_rels/activeX406.xml.rels><?xml version="1.0" encoding="UTF-8" standalone="yes"?>
<Relationships xmlns="http://schemas.openxmlformats.org/package/2006/relationships"><Relationship Id="rId1" Type="http://schemas.microsoft.com/office/2006/relationships/activeXControlBinary" Target="activeX406.bin"/></Relationships>
</file>

<file path=xl/activeX/_rels/activeX407.xml.rels><?xml version="1.0" encoding="UTF-8" standalone="yes"?>
<Relationships xmlns="http://schemas.openxmlformats.org/package/2006/relationships"><Relationship Id="rId1" Type="http://schemas.microsoft.com/office/2006/relationships/activeXControlBinary" Target="activeX407.bin"/></Relationships>
</file>

<file path=xl/activeX/_rels/activeX408.xml.rels><?xml version="1.0" encoding="UTF-8" standalone="yes"?>
<Relationships xmlns="http://schemas.openxmlformats.org/package/2006/relationships"><Relationship Id="rId1" Type="http://schemas.microsoft.com/office/2006/relationships/activeXControlBinary" Target="activeX408.bin"/></Relationships>
</file>

<file path=xl/activeX/_rels/activeX409.xml.rels><?xml version="1.0" encoding="UTF-8" standalone="yes"?>
<Relationships xmlns="http://schemas.openxmlformats.org/package/2006/relationships"><Relationship Id="rId1" Type="http://schemas.microsoft.com/office/2006/relationships/activeXControlBinary" Target="activeX409.bin"/></Relationships>
</file>

<file path=xl/activeX/_rels/activeX410.xml.rels><?xml version="1.0" encoding="UTF-8" standalone="yes"?>
<Relationships xmlns="http://schemas.openxmlformats.org/package/2006/relationships"><Relationship Id="rId1" Type="http://schemas.microsoft.com/office/2006/relationships/activeXControlBinary" Target="activeX410.bin"/></Relationships>
</file>

<file path=xl/activeX/_rels/activeX411.xml.rels><?xml version="1.0" encoding="UTF-8" standalone="yes"?>
<Relationships xmlns="http://schemas.openxmlformats.org/package/2006/relationships"><Relationship Id="rId1" Type="http://schemas.microsoft.com/office/2006/relationships/activeXControlBinary" Target="activeX411.bin"/></Relationships>
</file>

<file path=xl/activeX/_rels/activeX412.xml.rels><?xml version="1.0" encoding="UTF-8" standalone="yes"?>
<Relationships xmlns="http://schemas.openxmlformats.org/package/2006/relationships"><Relationship Id="rId1" Type="http://schemas.microsoft.com/office/2006/relationships/activeXControlBinary" Target="activeX412.bin"/></Relationships>
</file>

<file path=xl/activeX/_rels/activeX413.xml.rels><?xml version="1.0" encoding="UTF-8" standalone="yes"?>
<Relationships xmlns="http://schemas.openxmlformats.org/package/2006/relationships"><Relationship Id="rId1" Type="http://schemas.microsoft.com/office/2006/relationships/activeXControlBinary" Target="activeX413.bin"/></Relationships>
</file>

<file path=xl/activeX/_rels/activeX414.xml.rels><?xml version="1.0" encoding="UTF-8" standalone="yes"?>
<Relationships xmlns="http://schemas.openxmlformats.org/package/2006/relationships"><Relationship Id="rId1" Type="http://schemas.microsoft.com/office/2006/relationships/activeXControlBinary" Target="activeX414.bin"/></Relationships>
</file>

<file path=xl/activeX/_rels/activeX415.xml.rels><?xml version="1.0" encoding="UTF-8" standalone="yes"?>
<Relationships xmlns="http://schemas.openxmlformats.org/package/2006/relationships"><Relationship Id="rId1" Type="http://schemas.microsoft.com/office/2006/relationships/activeXControlBinary" Target="activeX415.bin"/></Relationships>
</file>

<file path=xl/activeX/_rels/activeX416.xml.rels><?xml version="1.0" encoding="UTF-8" standalone="yes"?>
<Relationships xmlns="http://schemas.openxmlformats.org/package/2006/relationships"><Relationship Id="rId1" Type="http://schemas.microsoft.com/office/2006/relationships/activeXControlBinary" Target="activeX416.bin"/></Relationships>
</file>

<file path=xl/activeX/_rels/activeX417.xml.rels><?xml version="1.0" encoding="UTF-8" standalone="yes"?>
<Relationships xmlns="http://schemas.openxmlformats.org/package/2006/relationships"><Relationship Id="rId1" Type="http://schemas.microsoft.com/office/2006/relationships/activeXControlBinary" Target="activeX417.bin"/></Relationships>
</file>

<file path=xl/activeX/_rels/activeX418.xml.rels><?xml version="1.0" encoding="UTF-8" standalone="yes"?>
<Relationships xmlns="http://schemas.openxmlformats.org/package/2006/relationships"><Relationship Id="rId1" Type="http://schemas.microsoft.com/office/2006/relationships/activeXControlBinary" Target="activeX418.bin"/></Relationships>
</file>

<file path=xl/activeX/_rels/activeX419.xml.rels><?xml version="1.0" encoding="UTF-8" standalone="yes"?>
<Relationships xmlns="http://schemas.openxmlformats.org/package/2006/relationships"><Relationship Id="rId1" Type="http://schemas.microsoft.com/office/2006/relationships/activeXControlBinary" Target="activeX419.bin"/></Relationships>
</file>

<file path=xl/activeX/_rels/activeX420.xml.rels><?xml version="1.0" encoding="UTF-8" standalone="yes"?>
<Relationships xmlns="http://schemas.openxmlformats.org/package/2006/relationships"><Relationship Id="rId1" Type="http://schemas.microsoft.com/office/2006/relationships/activeXControlBinary" Target="activeX420.bin"/></Relationships>
</file>

<file path=xl/activeX/_rels/activeX421.xml.rels><?xml version="1.0" encoding="UTF-8" standalone="yes"?>
<Relationships xmlns="http://schemas.openxmlformats.org/package/2006/relationships"><Relationship Id="rId1" Type="http://schemas.microsoft.com/office/2006/relationships/activeXControlBinary" Target="activeX421.bin"/></Relationships>
</file>

<file path=xl/activeX/_rels/activeX422.xml.rels><?xml version="1.0" encoding="UTF-8" standalone="yes"?>
<Relationships xmlns="http://schemas.openxmlformats.org/package/2006/relationships"><Relationship Id="rId1" Type="http://schemas.microsoft.com/office/2006/relationships/activeXControlBinary" Target="activeX422.bin"/></Relationships>
</file>

<file path=xl/activeX/_rels/activeX423.xml.rels><?xml version="1.0" encoding="UTF-8" standalone="yes"?>
<Relationships xmlns="http://schemas.openxmlformats.org/package/2006/relationships"><Relationship Id="rId1" Type="http://schemas.microsoft.com/office/2006/relationships/activeXControlBinary" Target="activeX423.bin"/></Relationships>
</file>

<file path=xl/activeX/_rels/activeX424.xml.rels><?xml version="1.0" encoding="UTF-8" standalone="yes"?>
<Relationships xmlns="http://schemas.openxmlformats.org/package/2006/relationships"><Relationship Id="rId1" Type="http://schemas.microsoft.com/office/2006/relationships/activeXControlBinary" Target="activeX424.bin"/></Relationships>
</file>

<file path=xl/activeX/_rels/activeX425.xml.rels><?xml version="1.0" encoding="UTF-8" standalone="yes"?>
<Relationships xmlns="http://schemas.openxmlformats.org/package/2006/relationships"><Relationship Id="rId1" Type="http://schemas.microsoft.com/office/2006/relationships/activeXControlBinary" Target="activeX425.bin"/></Relationships>
</file>

<file path=xl/activeX/_rels/activeX426.xml.rels><?xml version="1.0" encoding="UTF-8" standalone="yes"?>
<Relationships xmlns="http://schemas.openxmlformats.org/package/2006/relationships"><Relationship Id="rId1" Type="http://schemas.microsoft.com/office/2006/relationships/activeXControlBinary" Target="activeX426.bin"/></Relationships>
</file>

<file path=xl/activeX/_rels/activeX427.xml.rels><?xml version="1.0" encoding="UTF-8" standalone="yes"?>
<Relationships xmlns="http://schemas.openxmlformats.org/package/2006/relationships"><Relationship Id="rId1" Type="http://schemas.microsoft.com/office/2006/relationships/activeXControlBinary" Target="activeX427.bin"/></Relationships>
</file>

<file path=xl/activeX/_rels/activeX428.xml.rels><?xml version="1.0" encoding="UTF-8" standalone="yes"?>
<Relationships xmlns="http://schemas.openxmlformats.org/package/2006/relationships"><Relationship Id="rId1" Type="http://schemas.microsoft.com/office/2006/relationships/activeXControlBinary" Target="activeX428.bin"/></Relationships>
</file>

<file path=xl/activeX/_rels/activeX429.xml.rels><?xml version="1.0" encoding="UTF-8" standalone="yes"?>
<Relationships xmlns="http://schemas.openxmlformats.org/package/2006/relationships"><Relationship Id="rId1" Type="http://schemas.microsoft.com/office/2006/relationships/activeXControlBinary" Target="activeX429.bin"/></Relationships>
</file>

<file path=xl/activeX/_rels/activeX430.xml.rels><?xml version="1.0" encoding="UTF-8" standalone="yes"?>
<Relationships xmlns="http://schemas.openxmlformats.org/package/2006/relationships"><Relationship Id="rId1" Type="http://schemas.microsoft.com/office/2006/relationships/activeXControlBinary" Target="activeX430.bin"/></Relationships>
</file>

<file path=xl/activeX/_rels/activeX431.xml.rels><?xml version="1.0" encoding="UTF-8" standalone="yes"?>
<Relationships xmlns="http://schemas.openxmlformats.org/package/2006/relationships"><Relationship Id="rId1" Type="http://schemas.microsoft.com/office/2006/relationships/activeXControlBinary" Target="activeX431.bin"/></Relationships>
</file>

<file path=xl/activeX/_rels/activeX432.xml.rels><?xml version="1.0" encoding="UTF-8" standalone="yes"?>
<Relationships xmlns="http://schemas.openxmlformats.org/package/2006/relationships"><Relationship Id="rId1" Type="http://schemas.microsoft.com/office/2006/relationships/activeXControlBinary" Target="activeX432.bin"/></Relationships>
</file>

<file path=xl/activeX/_rels/activeX433.xml.rels><?xml version="1.0" encoding="UTF-8" standalone="yes"?>
<Relationships xmlns="http://schemas.openxmlformats.org/package/2006/relationships"><Relationship Id="rId1" Type="http://schemas.microsoft.com/office/2006/relationships/activeXControlBinary" Target="activeX433.bin"/></Relationships>
</file>

<file path=xl/activeX/_rels/activeX434.xml.rels><?xml version="1.0" encoding="UTF-8" standalone="yes"?>
<Relationships xmlns="http://schemas.openxmlformats.org/package/2006/relationships"><Relationship Id="rId1" Type="http://schemas.microsoft.com/office/2006/relationships/activeXControlBinary" Target="activeX434.bin"/></Relationships>
</file>

<file path=xl/activeX/_rels/activeX435.xml.rels><?xml version="1.0" encoding="UTF-8" standalone="yes"?>
<Relationships xmlns="http://schemas.openxmlformats.org/package/2006/relationships"><Relationship Id="rId1" Type="http://schemas.microsoft.com/office/2006/relationships/activeXControlBinary" Target="activeX435.bin"/></Relationships>
</file>

<file path=xl/activeX/_rels/activeX436.xml.rels><?xml version="1.0" encoding="UTF-8" standalone="yes"?>
<Relationships xmlns="http://schemas.openxmlformats.org/package/2006/relationships"><Relationship Id="rId1" Type="http://schemas.microsoft.com/office/2006/relationships/activeXControlBinary" Target="activeX436.bin"/></Relationships>
</file>

<file path=xl/activeX/_rels/activeX437.xml.rels><?xml version="1.0" encoding="UTF-8" standalone="yes"?>
<Relationships xmlns="http://schemas.openxmlformats.org/package/2006/relationships"><Relationship Id="rId1" Type="http://schemas.microsoft.com/office/2006/relationships/activeXControlBinary" Target="activeX437.bin"/></Relationships>
</file>

<file path=xl/activeX/_rels/activeX438.xml.rels><?xml version="1.0" encoding="UTF-8" standalone="yes"?>
<Relationships xmlns="http://schemas.openxmlformats.org/package/2006/relationships"><Relationship Id="rId1" Type="http://schemas.microsoft.com/office/2006/relationships/activeXControlBinary" Target="activeX438.bin"/></Relationships>
</file>

<file path=xl/activeX/_rels/activeX439.xml.rels><?xml version="1.0" encoding="UTF-8" standalone="yes"?>
<Relationships xmlns="http://schemas.openxmlformats.org/package/2006/relationships"><Relationship Id="rId1" Type="http://schemas.microsoft.com/office/2006/relationships/activeXControlBinary" Target="activeX439.bin"/></Relationships>
</file>

<file path=xl/activeX/_rels/activeX440.xml.rels><?xml version="1.0" encoding="UTF-8" standalone="yes"?>
<Relationships xmlns="http://schemas.openxmlformats.org/package/2006/relationships"><Relationship Id="rId1" Type="http://schemas.microsoft.com/office/2006/relationships/activeXControlBinary" Target="activeX440.bin"/></Relationships>
</file>

<file path=xl/activeX/_rels/activeX441.xml.rels><?xml version="1.0" encoding="UTF-8" standalone="yes"?>
<Relationships xmlns="http://schemas.openxmlformats.org/package/2006/relationships"><Relationship Id="rId1" Type="http://schemas.microsoft.com/office/2006/relationships/activeXControlBinary" Target="activeX441.bin"/></Relationships>
</file>

<file path=xl/activeX/_rels/activeX442.xml.rels><?xml version="1.0" encoding="UTF-8" standalone="yes"?>
<Relationships xmlns="http://schemas.openxmlformats.org/package/2006/relationships"><Relationship Id="rId1" Type="http://schemas.microsoft.com/office/2006/relationships/activeXControlBinary" Target="activeX442.bin"/></Relationships>
</file>

<file path=xl/activeX/_rels/activeX443.xml.rels><?xml version="1.0" encoding="UTF-8" standalone="yes"?>
<Relationships xmlns="http://schemas.openxmlformats.org/package/2006/relationships"><Relationship Id="rId1" Type="http://schemas.microsoft.com/office/2006/relationships/activeXControlBinary" Target="activeX443.bin"/></Relationships>
</file>

<file path=xl/activeX/_rels/activeX444.xml.rels><?xml version="1.0" encoding="UTF-8" standalone="yes"?>
<Relationships xmlns="http://schemas.openxmlformats.org/package/2006/relationships"><Relationship Id="rId1" Type="http://schemas.microsoft.com/office/2006/relationships/activeXControlBinary" Target="activeX444.bin"/></Relationships>
</file>

<file path=xl/activeX/_rels/activeX445.xml.rels><?xml version="1.0" encoding="UTF-8" standalone="yes"?>
<Relationships xmlns="http://schemas.openxmlformats.org/package/2006/relationships"><Relationship Id="rId1" Type="http://schemas.microsoft.com/office/2006/relationships/activeXControlBinary" Target="activeX445.bin"/></Relationships>
</file>

<file path=xl/activeX/_rels/activeX446.xml.rels><?xml version="1.0" encoding="UTF-8" standalone="yes"?>
<Relationships xmlns="http://schemas.openxmlformats.org/package/2006/relationships"><Relationship Id="rId1" Type="http://schemas.microsoft.com/office/2006/relationships/activeXControlBinary" Target="activeX446.bin"/></Relationships>
</file>

<file path=xl/activeX/_rels/activeX447.xml.rels><?xml version="1.0" encoding="UTF-8" standalone="yes"?>
<Relationships xmlns="http://schemas.openxmlformats.org/package/2006/relationships"><Relationship Id="rId1" Type="http://schemas.microsoft.com/office/2006/relationships/activeXControlBinary" Target="activeX447.bin"/></Relationships>
</file>

<file path=xl/activeX/_rels/activeX448.xml.rels><?xml version="1.0" encoding="UTF-8" standalone="yes"?>
<Relationships xmlns="http://schemas.openxmlformats.org/package/2006/relationships"><Relationship Id="rId1" Type="http://schemas.microsoft.com/office/2006/relationships/activeXControlBinary" Target="activeX448.bin"/></Relationships>
</file>

<file path=xl/activeX/_rels/activeX449.xml.rels><?xml version="1.0" encoding="UTF-8" standalone="yes"?>
<Relationships xmlns="http://schemas.openxmlformats.org/package/2006/relationships"><Relationship Id="rId1" Type="http://schemas.microsoft.com/office/2006/relationships/activeXControlBinary" Target="activeX449.bin"/></Relationships>
</file>

<file path=xl/activeX/_rels/activeX450.xml.rels><?xml version="1.0" encoding="UTF-8" standalone="yes"?>
<Relationships xmlns="http://schemas.openxmlformats.org/package/2006/relationships"><Relationship Id="rId1" Type="http://schemas.microsoft.com/office/2006/relationships/activeXControlBinary" Target="activeX450.bin"/></Relationships>
</file>

<file path=xl/activeX/_rels/activeX451.xml.rels><?xml version="1.0" encoding="UTF-8" standalone="yes"?>
<Relationships xmlns="http://schemas.openxmlformats.org/package/2006/relationships"><Relationship Id="rId1" Type="http://schemas.microsoft.com/office/2006/relationships/activeXControlBinary" Target="activeX451.bin"/></Relationships>
</file>

<file path=xl/activeX/_rels/activeX452.xml.rels><?xml version="1.0" encoding="UTF-8" standalone="yes"?>
<Relationships xmlns="http://schemas.openxmlformats.org/package/2006/relationships"><Relationship Id="rId1" Type="http://schemas.microsoft.com/office/2006/relationships/activeXControlBinary" Target="activeX452.bin"/></Relationships>
</file>

<file path=xl/activeX/_rels/activeX453.xml.rels><?xml version="1.0" encoding="UTF-8" standalone="yes"?>
<Relationships xmlns="http://schemas.openxmlformats.org/package/2006/relationships"><Relationship Id="rId1" Type="http://schemas.microsoft.com/office/2006/relationships/activeXControlBinary" Target="activeX453.bin"/></Relationships>
</file>

<file path=xl/activeX/_rels/activeX454.xml.rels><?xml version="1.0" encoding="UTF-8" standalone="yes"?>
<Relationships xmlns="http://schemas.openxmlformats.org/package/2006/relationships"><Relationship Id="rId1" Type="http://schemas.microsoft.com/office/2006/relationships/activeXControlBinary" Target="activeX454.bin"/></Relationships>
</file>

<file path=xl/activeX/_rels/activeX455.xml.rels><?xml version="1.0" encoding="UTF-8" standalone="yes"?>
<Relationships xmlns="http://schemas.openxmlformats.org/package/2006/relationships"><Relationship Id="rId1" Type="http://schemas.microsoft.com/office/2006/relationships/activeXControlBinary" Target="activeX455.bin"/></Relationships>
</file>

<file path=xl/activeX/_rels/activeX456.xml.rels><?xml version="1.0" encoding="UTF-8" standalone="yes"?>
<Relationships xmlns="http://schemas.openxmlformats.org/package/2006/relationships"><Relationship Id="rId1" Type="http://schemas.microsoft.com/office/2006/relationships/activeXControlBinary" Target="activeX456.bin"/></Relationships>
</file>

<file path=xl/activeX/_rels/activeX457.xml.rels><?xml version="1.0" encoding="UTF-8" standalone="yes"?>
<Relationships xmlns="http://schemas.openxmlformats.org/package/2006/relationships"><Relationship Id="rId1" Type="http://schemas.microsoft.com/office/2006/relationships/activeXControlBinary" Target="activeX457.bin"/></Relationships>
</file>

<file path=xl/activeX/_rels/activeX458.xml.rels><?xml version="1.0" encoding="UTF-8" standalone="yes"?>
<Relationships xmlns="http://schemas.openxmlformats.org/package/2006/relationships"><Relationship Id="rId1" Type="http://schemas.microsoft.com/office/2006/relationships/activeXControlBinary" Target="activeX458.bin"/></Relationships>
</file>

<file path=xl/activeX/_rels/activeX459.xml.rels><?xml version="1.0" encoding="UTF-8" standalone="yes"?>
<Relationships xmlns="http://schemas.openxmlformats.org/package/2006/relationships"><Relationship Id="rId1" Type="http://schemas.microsoft.com/office/2006/relationships/activeXControlBinary" Target="activeX459.bin"/></Relationships>
</file>

<file path=xl/activeX/_rels/activeX460.xml.rels><?xml version="1.0" encoding="UTF-8" standalone="yes"?>
<Relationships xmlns="http://schemas.openxmlformats.org/package/2006/relationships"><Relationship Id="rId1" Type="http://schemas.microsoft.com/office/2006/relationships/activeXControlBinary" Target="activeX460.bin"/></Relationships>
</file>

<file path=xl/activeX/_rels/activeX461.xml.rels><?xml version="1.0" encoding="UTF-8" standalone="yes"?>
<Relationships xmlns="http://schemas.openxmlformats.org/package/2006/relationships"><Relationship Id="rId1" Type="http://schemas.microsoft.com/office/2006/relationships/activeXControlBinary" Target="activeX461.bin"/></Relationships>
</file>

<file path=xl/activeX/_rels/activeX462.xml.rels><?xml version="1.0" encoding="UTF-8" standalone="yes"?>
<Relationships xmlns="http://schemas.openxmlformats.org/package/2006/relationships"><Relationship Id="rId1" Type="http://schemas.microsoft.com/office/2006/relationships/activeXControlBinary" Target="activeX462.bin"/></Relationships>
</file>

<file path=xl/activeX/_rels/activeX463.xml.rels><?xml version="1.0" encoding="UTF-8" standalone="yes"?>
<Relationships xmlns="http://schemas.openxmlformats.org/package/2006/relationships"><Relationship Id="rId1" Type="http://schemas.microsoft.com/office/2006/relationships/activeXControlBinary" Target="activeX463.bin"/></Relationships>
</file>

<file path=xl/activeX/_rels/activeX464.xml.rels><?xml version="1.0" encoding="UTF-8" standalone="yes"?>
<Relationships xmlns="http://schemas.openxmlformats.org/package/2006/relationships"><Relationship Id="rId1" Type="http://schemas.microsoft.com/office/2006/relationships/activeXControlBinary" Target="activeX464.bin"/></Relationships>
</file>

<file path=xl/activeX/_rels/activeX465.xml.rels><?xml version="1.0" encoding="UTF-8" standalone="yes"?>
<Relationships xmlns="http://schemas.openxmlformats.org/package/2006/relationships"><Relationship Id="rId1" Type="http://schemas.microsoft.com/office/2006/relationships/activeXControlBinary" Target="activeX465.bin"/></Relationships>
</file>

<file path=xl/activeX/_rels/activeX466.xml.rels><?xml version="1.0" encoding="UTF-8" standalone="yes"?>
<Relationships xmlns="http://schemas.openxmlformats.org/package/2006/relationships"><Relationship Id="rId1" Type="http://schemas.microsoft.com/office/2006/relationships/activeXControlBinary" Target="activeX466.bin"/></Relationships>
</file>

<file path=xl/activeX/_rels/activeX467.xml.rels><?xml version="1.0" encoding="UTF-8" standalone="yes"?>
<Relationships xmlns="http://schemas.openxmlformats.org/package/2006/relationships"><Relationship Id="rId1" Type="http://schemas.microsoft.com/office/2006/relationships/activeXControlBinary" Target="activeX467.bin"/></Relationships>
</file>

<file path=xl/activeX/_rels/activeX468.xml.rels><?xml version="1.0" encoding="UTF-8" standalone="yes"?>
<Relationships xmlns="http://schemas.openxmlformats.org/package/2006/relationships"><Relationship Id="rId1" Type="http://schemas.microsoft.com/office/2006/relationships/activeXControlBinary" Target="activeX468.bin"/></Relationships>
</file>

<file path=xl/activeX/_rels/activeX469.xml.rels><?xml version="1.0" encoding="UTF-8" standalone="yes"?>
<Relationships xmlns="http://schemas.openxmlformats.org/package/2006/relationships"><Relationship Id="rId1" Type="http://schemas.microsoft.com/office/2006/relationships/activeXControlBinary" Target="activeX469.bin"/></Relationships>
</file>

<file path=xl/activeX/_rels/activeX470.xml.rels><?xml version="1.0" encoding="UTF-8" standalone="yes"?>
<Relationships xmlns="http://schemas.openxmlformats.org/package/2006/relationships"><Relationship Id="rId1" Type="http://schemas.microsoft.com/office/2006/relationships/activeXControlBinary" Target="activeX470.bin"/></Relationships>
</file>

<file path=xl/activeX/_rels/activeX471.xml.rels><?xml version="1.0" encoding="UTF-8" standalone="yes"?>
<Relationships xmlns="http://schemas.openxmlformats.org/package/2006/relationships"><Relationship Id="rId1" Type="http://schemas.microsoft.com/office/2006/relationships/activeXControlBinary" Target="activeX471.bin"/></Relationships>
</file>

<file path=xl/activeX/_rels/activeX472.xml.rels><?xml version="1.0" encoding="UTF-8" standalone="yes"?>
<Relationships xmlns="http://schemas.openxmlformats.org/package/2006/relationships"><Relationship Id="rId1" Type="http://schemas.microsoft.com/office/2006/relationships/activeXControlBinary" Target="activeX472.bin"/></Relationships>
</file>

<file path=xl/activeX/_rels/activeX473.xml.rels><?xml version="1.0" encoding="UTF-8" standalone="yes"?>
<Relationships xmlns="http://schemas.openxmlformats.org/package/2006/relationships"><Relationship Id="rId1" Type="http://schemas.microsoft.com/office/2006/relationships/activeXControlBinary" Target="activeX473.bin"/></Relationships>
</file>

<file path=xl/activeX/_rels/activeX474.xml.rels><?xml version="1.0" encoding="UTF-8" standalone="yes"?>
<Relationships xmlns="http://schemas.openxmlformats.org/package/2006/relationships"><Relationship Id="rId1" Type="http://schemas.microsoft.com/office/2006/relationships/activeXControlBinary" Target="activeX474.bin"/></Relationships>
</file>

<file path=xl/activeX/_rels/activeX475.xml.rels><?xml version="1.0" encoding="UTF-8" standalone="yes"?>
<Relationships xmlns="http://schemas.openxmlformats.org/package/2006/relationships"><Relationship Id="rId1" Type="http://schemas.microsoft.com/office/2006/relationships/activeXControlBinary" Target="activeX475.bin"/></Relationships>
</file>

<file path=xl/activeX/_rels/activeX476.xml.rels><?xml version="1.0" encoding="UTF-8" standalone="yes"?>
<Relationships xmlns="http://schemas.openxmlformats.org/package/2006/relationships"><Relationship Id="rId1" Type="http://schemas.microsoft.com/office/2006/relationships/activeXControlBinary" Target="activeX476.bin"/></Relationships>
</file>

<file path=xl/activeX/_rels/activeX477.xml.rels><?xml version="1.0" encoding="UTF-8" standalone="yes"?>
<Relationships xmlns="http://schemas.openxmlformats.org/package/2006/relationships"><Relationship Id="rId1" Type="http://schemas.microsoft.com/office/2006/relationships/activeXControlBinary" Target="activeX477.bin"/></Relationships>
</file>

<file path=xl/activeX/_rels/activeX478.xml.rels><?xml version="1.0" encoding="UTF-8" standalone="yes"?>
<Relationships xmlns="http://schemas.openxmlformats.org/package/2006/relationships"><Relationship Id="rId1" Type="http://schemas.microsoft.com/office/2006/relationships/activeXControlBinary" Target="activeX478.bin"/></Relationships>
</file>

<file path=xl/activeX/_rels/activeX479.xml.rels><?xml version="1.0" encoding="UTF-8" standalone="yes"?>
<Relationships xmlns="http://schemas.openxmlformats.org/package/2006/relationships"><Relationship Id="rId1" Type="http://schemas.microsoft.com/office/2006/relationships/activeXControlBinary" Target="activeX479.bin"/></Relationships>
</file>

<file path=xl/activeX/_rels/activeX480.xml.rels><?xml version="1.0" encoding="UTF-8" standalone="yes"?>
<Relationships xmlns="http://schemas.openxmlformats.org/package/2006/relationships"><Relationship Id="rId1" Type="http://schemas.microsoft.com/office/2006/relationships/activeXControlBinary" Target="activeX480.bin"/></Relationships>
</file>

<file path=xl/activeX/_rels/activeX481.xml.rels><?xml version="1.0" encoding="UTF-8" standalone="yes"?>
<Relationships xmlns="http://schemas.openxmlformats.org/package/2006/relationships"><Relationship Id="rId1" Type="http://schemas.microsoft.com/office/2006/relationships/activeXControlBinary" Target="activeX481.bin"/></Relationships>
</file>

<file path=xl/activeX/_rels/activeX482.xml.rels><?xml version="1.0" encoding="UTF-8" standalone="yes"?>
<Relationships xmlns="http://schemas.openxmlformats.org/package/2006/relationships"><Relationship Id="rId1" Type="http://schemas.microsoft.com/office/2006/relationships/activeXControlBinary" Target="activeX482.bin"/></Relationships>
</file>

<file path=xl/activeX/_rels/activeX483.xml.rels><?xml version="1.0" encoding="UTF-8" standalone="yes"?>
<Relationships xmlns="http://schemas.openxmlformats.org/package/2006/relationships"><Relationship Id="rId1" Type="http://schemas.microsoft.com/office/2006/relationships/activeXControlBinary" Target="activeX483.bin"/></Relationships>
</file>

<file path=xl/activeX/_rels/activeX484.xml.rels><?xml version="1.0" encoding="UTF-8" standalone="yes"?>
<Relationships xmlns="http://schemas.openxmlformats.org/package/2006/relationships"><Relationship Id="rId1" Type="http://schemas.microsoft.com/office/2006/relationships/activeXControlBinary" Target="activeX484.bin"/></Relationships>
</file>

<file path=xl/activeX/_rels/activeX485.xml.rels><?xml version="1.0" encoding="UTF-8" standalone="yes"?>
<Relationships xmlns="http://schemas.openxmlformats.org/package/2006/relationships"><Relationship Id="rId1" Type="http://schemas.microsoft.com/office/2006/relationships/activeXControlBinary" Target="activeX485.bin"/></Relationships>
</file>

<file path=xl/activeX/_rels/activeX486.xml.rels><?xml version="1.0" encoding="UTF-8" standalone="yes"?>
<Relationships xmlns="http://schemas.openxmlformats.org/package/2006/relationships"><Relationship Id="rId1" Type="http://schemas.microsoft.com/office/2006/relationships/activeXControlBinary" Target="activeX486.bin"/></Relationships>
</file>

<file path=xl/activeX/_rels/activeX487.xml.rels><?xml version="1.0" encoding="UTF-8" standalone="yes"?>
<Relationships xmlns="http://schemas.openxmlformats.org/package/2006/relationships"><Relationship Id="rId1" Type="http://schemas.microsoft.com/office/2006/relationships/activeXControlBinary" Target="activeX487.bin"/></Relationships>
</file>

<file path=xl/activeX/_rels/activeX488.xml.rels><?xml version="1.0" encoding="UTF-8" standalone="yes"?>
<Relationships xmlns="http://schemas.openxmlformats.org/package/2006/relationships"><Relationship Id="rId1" Type="http://schemas.microsoft.com/office/2006/relationships/activeXControlBinary" Target="activeX488.bin"/></Relationships>
</file>

<file path=xl/activeX/_rels/activeX489.xml.rels><?xml version="1.0" encoding="UTF-8" standalone="yes"?>
<Relationships xmlns="http://schemas.openxmlformats.org/package/2006/relationships"><Relationship Id="rId1" Type="http://schemas.microsoft.com/office/2006/relationships/activeXControlBinary" Target="activeX489.bin"/></Relationships>
</file>

<file path=xl/activeX/_rels/activeX490.xml.rels><?xml version="1.0" encoding="UTF-8" standalone="yes"?>
<Relationships xmlns="http://schemas.openxmlformats.org/package/2006/relationships"><Relationship Id="rId1" Type="http://schemas.microsoft.com/office/2006/relationships/activeXControlBinary" Target="activeX490.bin"/></Relationships>
</file>

<file path=xl/activeX/_rels/activeX491.xml.rels><?xml version="1.0" encoding="UTF-8" standalone="yes"?>
<Relationships xmlns="http://schemas.openxmlformats.org/package/2006/relationships"><Relationship Id="rId1" Type="http://schemas.microsoft.com/office/2006/relationships/activeXControlBinary" Target="activeX491.bin"/></Relationships>
</file>

<file path=xl/activeX/_rels/activeX492.xml.rels><?xml version="1.0" encoding="UTF-8" standalone="yes"?>
<Relationships xmlns="http://schemas.openxmlformats.org/package/2006/relationships"><Relationship Id="rId1" Type="http://schemas.microsoft.com/office/2006/relationships/activeXControlBinary" Target="activeX492.bin"/></Relationships>
</file>

<file path=xl/activeX/_rels/activeX493.xml.rels><?xml version="1.0" encoding="UTF-8" standalone="yes"?>
<Relationships xmlns="http://schemas.openxmlformats.org/package/2006/relationships"><Relationship Id="rId1" Type="http://schemas.microsoft.com/office/2006/relationships/activeXControlBinary" Target="activeX493.bin"/></Relationships>
</file>

<file path=xl/activeX/_rels/activeX494.xml.rels><?xml version="1.0" encoding="UTF-8" standalone="yes"?>
<Relationships xmlns="http://schemas.openxmlformats.org/package/2006/relationships"><Relationship Id="rId1" Type="http://schemas.microsoft.com/office/2006/relationships/activeXControlBinary" Target="activeX494.bin"/></Relationships>
</file>

<file path=xl/activeX/_rels/activeX495.xml.rels><?xml version="1.0" encoding="UTF-8" standalone="yes"?>
<Relationships xmlns="http://schemas.openxmlformats.org/package/2006/relationships"><Relationship Id="rId1" Type="http://schemas.microsoft.com/office/2006/relationships/activeXControlBinary" Target="activeX495.bin"/></Relationships>
</file>

<file path=xl/activeX/_rels/activeX496.xml.rels><?xml version="1.0" encoding="UTF-8" standalone="yes"?>
<Relationships xmlns="http://schemas.openxmlformats.org/package/2006/relationships"><Relationship Id="rId1" Type="http://schemas.microsoft.com/office/2006/relationships/activeXControlBinary" Target="activeX496.bin"/></Relationships>
</file>

<file path=xl/activeX/_rels/activeX497.xml.rels><?xml version="1.0" encoding="UTF-8" standalone="yes"?>
<Relationships xmlns="http://schemas.openxmlformats.org/package/2006/relationships"><Relationship Id="rId1" Type="http://schemas.microsoft.com/office/2006/relationships/activeXControlBinary" Target="activeX497.bin"/></Relationships>
</file>

<file path=xl/activeX/_rels/activeX498.xml.rels><?xml version="1.0" encoding="UTF-8" standalone="yes"?>
<Relationships xmlns="http://schemas.openxmlformats.org/package/2006/relationships"><Relationship Id="rId1" Type="http://schemas.microsoft.com/office/2006/relationships/activeXControlBinary" Target="activeX498.bin"/></Relationships>
</file>

<file path=xl/activeX/_rels/activeX499.xml.rels><?xml version="1.0" encoding="UTF-8" standalone="yes"?>
<Relationships xmlns="http://schemas.openxmlformats.org/package/2006/relationships"><Relationship Id="rId1" Type="http://schemas.microsoft.com/office/2006/relationships/activeXControlBinary" Target="activeX499.bin"/></Relationships>
</file>

<file path=xl/activeX/_rels/activeX500.xml.rels><?xml version="1.0" encoding="UTF-8" standalone="yes"?>
<Relationships xmlns="http://schemas.openxmlformats.org/package/2006/relationships"><Relationship Id="rId1" Type="http://schemas.microsoft.com/office/2006/relationships/activeXControlBinary" Target="activeX500.bin"/></Relationships>
</file>

<file path=xl/activeX/_rels/activeX501.xml.rels><?xml version="1.0" encoding="UTF-8" standalone="yes"?>
<Relationships xmlns="http://schemas.openxmlformats.org/package/2006/relationships"><Relationship Id="rId1" Type="http://schemas.microsoft.com/office/2006/relationships/activeXControlBinary" Target="activeX501.bin"/></Relationships>
</file>

<file path=xl/activeX/_rels/activeX502.xml.rels><?xml version="1.0" encoding="UTF-8" standalone="yes"?>
<Relationships xmlns="http://schemas.openxmlformats.org/package/2006/relationships"><Relationship Id="rId1" Type="http://schemas.microsoft.com/office/2006/relationships/activeXControlBinary" Target="activeX502.bin"/></Relationships>
</file>

<file path=xl/activeX/_rels/activeX503.xml.rels><?xml version="1.0" encoding="UTF-8" standalone="yes"?>
<Relationships xmlns="http://schemas.openxmlformats.org/package/2006/relationships"><Relationship Id="rId1" Type="http://schemas.microsoft.com/office/2006/relationships/activeXControlBinary" Target="activeX503.bin"/></Relationships>
</file>

<file path=xl/activeX/_rels/activeX504.xml.rels><?xml version="1.0" encoding="UTF-8" standalone="yes"?>
<Relationships xmlns="http://schemas.openxmlformats.org/package/2006/relationships"><Relationship Id="rId1" Type="http://schemas.microsoft.com/office/2006/relationships/activeXControlBinary" Target="activeX504.bin"/></Relationships>
</file>

<file path=xl/activeX/_rels/activeX505.xml.rels><?xml version="1.0" encoding="UTF-8" standalone="yes"?>
<Relationships xmlns="http://schemas.openxmlformats.org/package/2006/relationships"><Relationship Id="rId1" Type="http://schemas.microsoft.com/office/2006/relationships/activeXControlBinary" Target="activeX505.bin"/></Relationships>
</file>

<file path=xl/activeX/_rels/activeX506.xml.rels><?xml version="1.0" encoding="UTF-8" standalone="yes"?>
<Relationships xmlns="http://schemas.openxmlformats.org/package/2006/relationships"><Relationship Id="rId1" Type="http://schemas.microsoft.com/office/2006/relationships/activeXControlBinary" Target="activeX506.bin"/></Relationships>
</file>

<file path=xl/activeX/_rels/activeX507.xml.rels><?xml version="1.0" encoding="UTF-8" standalone="yes"?>
<Relationships xmlns="http://schemas.openxmlformats.org/package/2006/relationships"><Relationship Id="rId1" Type="http://schemas.microsoft.com/office/2006/relationships/activeXControlBinary" Target="activeX507.bin"/></Relationships>
</file>

<file path=xl/activeX/_rels/activeX508.xml.rels><?xml version="1.0" encoding="UTF-8" standalone="yes"?>
<Relationships xmlns="http://schemas.openxmlformats.org/package/2006/relationships"><Relationship Id="rId1" Type="http://schemas.microsoft.com/office/2006/relationships/activeXControlBinary" Target="activeX508.bin"/></Relationships>
</file>

<file path=xl/activeX/_rels/activeX509.xml.rels><?xml version="1.0" encoding="UTF-8" standalone="yes"?>
<Relationships xmlns="http://schemas.openxmlformats.org/package/2006/relationships"><Relationship Id="rId1" Type="http://schemas.microsoft.com/office/2006/relationships/activeXControlBinary" Target="activeX509.bin"/></Relationships>
</file>

<file path=xl/activeX/_rels/activeX510.xml.rels><?xml version="1.0" encoding="UTF-8" standalone="yes"?>
<Relationships xmlns="http://schemas.openxmlformats.org/package/2006/relationships"><Relationship Id="rId1" Type="http://schemas.microsoft.com/office/2006/relationships/activeXControlBinary" Target="activeX510.bin"/></Relationships>
</file>

<file path=xl/activeX/_rels/activeX511.xml.rels><?xml version="1.0" encoding="UTF-8" standalone="yes"?>
<Relationships xmlns="http://schemas.openxmlformats.org/package/2006/relationships"><Relationship Id="rId1" Type="http://schemas.microsoft.com/office/2006/relationships/activeXControlBinary" Target="activeX511.bin"/></Relationships>
</file>

<file path=xl/activeX/_rels/activeX512.xml.rels><?xml version="1.0" encoding="UTF-8" standalone="yes"?>
<Relationships xmlns="http://schemas.openxmlformats.org/package/2006/relationships"><Relationship Id="rId1" Type="http://schemas.microsoft.com/office/2006/relationships/activeXControlBinary" Target="activeX512.bin"/></Relationships>
</file>

<file path=xl/activeX/_rels/activeX513.xml.rels><?xml version="1.0" encoding="UTF-8" standalone="yes"?>
<Relationships xmlns="http://schemas.openxmlformats.org/package/2006/relationships"><Relationship Id="rId1" Type="http://schemas.microsoft.com/office/2006/relationships/activeXControlBinary" Target="activeX513.bin"/></Relationships>
</file>

<file path=xl/activeX/_rels/activeX514.xml.rels><?xml version="1.0" encoding="UTF-8" standalone="yes"?>
<Relationships xmlns="http://schemas.openxmlformats.org/package/2006/relationships"><Relationship Id="rId1" Type="http://schemas.microsoft.com/office/2006/relationships/activeXControlBinary" Target="activeX514.bin"/></Relationships>
</file>

<file path=xl/activeX/_rels/activeX515.xml.rels><?xml version="1.0" encoding="UTF-8" standalone="yes"?>
<Relationships xmlns="http://schemas.openxmlformats.org/package/2006/relationships"><Relationship Id="rId1" Type="http://schemas.microsoft.com/office/2006/relationships/activeXControlBinary" Target="activeX515.bin"/></Relationships>
</file>

<file path=xl/activeX/_rels/activeX516.xml.rels><?xml version="1.0" encoding="UTF-8" standalone="yes"?>
<Relationships xmlns="http://schemas.openxmlformats.org/package/2006/relationships"><Relationship Id="rId1" Type="http://schemas.microsoft.com/office/2006/relationships/activeXControlBinary" Target="activeX516.bin"/></Relationships>
</file>

<file path=xl/activeX/_rels/activeX517.xml.rels><?xml version="1.0" encoding="UTF-8" standalone="yes"?>
<Relationships xmlns="http://schemas.openxmlformats.org/package/2006/relationships"><Relationship Id="rId1" Type="http://schemas.microsoft.com/office/2006/relationships/activeXControlBinary" Target="activeX517.bin"/></Relationships>
</file>

<file path=xl/activeX/_rels/activeX518.xml.rels><?xml version="1.0" encoding="UTF-8" standalone="yes"?>
<Relationships xmlns="http://schemas.openxmlformats.org/package/2006/relationships"><Relationship Id="rId1" Type="http://schemas.microsoft.com/office/2006/relationships/activeXControlBinary" Target="activeX518.bin"/></Relationships>
</file>

<file path=xl/activeX/_rels/activeX519.xml.rels><?xml version="1.0" encoding="UTF-8" standalone="yes"?>
<Relationships xmlns="http://schemas.openxmlformats.org/package/2006/relationships"><Relationship Id="rId1" Type="http://schemas.microsoft.com/office/2006/relationships/activeXControlBinary" Target="activeX519.bin"/></Relationships>
</file>

<file path=xl/activeX/_rels/activeX520.xml.rels><?xml version="1.0" encoding="UTF-8" standalone="yes"?>
<Relationships xmlns="http://schemas.openxmlformats.org/package/2006/relationships"><Relationship Id="rId1" Type="http://schemas.microsoft.com/office/2006/relationships/activeXControlBinary" Target="activeX520.bin"/></Relationships>
</file>

<file path=xl/activeX/_rels/activeX521.xml.rels><?xml version="1.0" encoding="UTF-8" standalone="yes"?>
<Relationships xmlns="http://schemas.openxmlformats.org/package/2006/relationships"><Relationship Id="rId1" Type="http://schemas.microsoft.com/office/2006/relationships/activeXControlBinary" Target="activeX521.bin"/></Relationships>
</file>

<file path=xl/activeX/_rels/activeX522.xml.rels><?xml version="1.0" encoding="UTF-8" standalone="yes"?>
<Relationships xmlns="http://schemas.openxmlformats.org/package/2006/relationships"><Relationship Id="rId1" Type="http://schemas.microsoft.com/office/2006/relationships/activeXControlBinary" Target="activeX522.bin"/></Relationships>
</file>

<file path=xl/activeX/_rels/activeX523.xml.rels><?xml version="1.0" encoding="UTF-8" standalone="yes"?>
<Relationships xmlns="http://schemas.openxmlformats.org/package/2006/relationships"><Relationship Id="rId1" Type="http://schemas.microsoft.com/office/2006/relationships/activeXControlBinary" Target="activeX523.bin"/></Relationships>
</file>

<file path=xl/activeX/_rels/activeX524.xml.rels><?xml version="1.0" encoding="UTF-8" standalone="yes"?>
<Relationships xmlns="http://schemas.openxmlformats.org/package/2006/relationships"><Relationship Id="rId1" Type="http://schemas.microsoft.com/office/2006/relationships/activeXControlBinary" Target="activeX524.bin"/></Relationships>
</file>

<file path=xl/activeX/_rels/activeX525.xml.rels><?xml version="1.0" encoding="UTF-8" standalone="yes"?>
<Relationships xmlns="http://schemas.openxmlformats.org/package/2006/relationships"><Relationship Id="rId1" Type="http://schemas.microsoft.com/office/2006/relationships/activeXControlBinary" Target="activeX525.bin"/></Relationships>
</file>

<file path=xl/activeX/_rels/activeX526.xml.rels><?xml version="1.0" encoding="UTF-8" standalone="yes"?>
<Relationships xmlns="http://schemas.openxmlformats.org/package/2006/relationships"><Relationship Id="rId1" Type="http://schemas.microsoft.com/office/2006/relationships/activeXControlBinary" Target="activeX526.bin"/></Relationships>
</file>

<file path=xl/activeX/_rels/activeX527.xml.rels><?xml version="1.0" encoding="UTF-8" standalone="yes"?>
<Relationships xmlns="http://schemas.openxmlformats.org/package/2006/relationships"><Relationship Id="rId1" Type="http://schemas.microsoft.com/office/2006/relationships/activeXControlBinary" Target="activeX527.bin"/></Relationships>
</file>

<file path=xl/activeX/_rels/activeX528.xml.rels><?xml version="1.0" encoding="UTF-8" standalone="yes"?>
<Relationships xmlns="http://schemas.openxmlformats.org/package/2006/relationships"><Relationship Id="rId1" Type="http://schemas.microsoft.com/office/2006/relationships/activeXControlBinary" Target="activeX528.bin"/></Relationships>
</file>

<file path=xl/activeX/_rels/activeX529.xml.rels><?xml version="1.0" encoding="UTF-8" standalone="yes"?>
<Relationships xmlns="http://schemas.openxmlformats.org/package/2006/relationships"><Relationship Id="rId1" Type="http://schemas.microsoft.com/office/2006/relationships/activeXControlBinary" Target="activeX529.bin"/></Relationships>
</file>

<file path=xl/activeX/_rels/activeX530.xml.rels><?xml version="1.0" encoding="UTF-8" standalone="yes"?>
<Relationships xmlns="http://schemas.openxmlformats.org/package/2006/relationships"><Relationship Id="rId1" Type="http://schemas.microsoft.com/office/2006/relationships/activeXControlBinary" Target="activeX530.bin"/></Relationships>
</file>

<file path=xl/activeX/_rels/activeX531.xml.rels><?xml version="1.0" encoding="UTF-8" standalone="yes"?>
<Relationships xmlns="http://schemas.openxmlformats.org/package/2006/relationships"><Relationship Id="rId1" Type="http://schemas.microsoft.com/office/2006/relationships/activeXControlBinary" Target="activeX531.bin"/></Relationships>
</file>

<file path=xl/activeX/_rels/activeX532.xml.rels><?xml version="1.0" encoding="UTF-8" standalone="yes"?>
<Relationships xmlns="http://schemas.openxmlformats.org/package/2006/relationships"><Relationship Id="rId1" Type="http://schemas.microsoft.com/office/2006/relationships/activeXControlBinary" Target="activeX532.bin"/></Relationships>
</file>

<file path=xl/activeX/_rels/activeX533.xml.rels><?xml version="1.0" encoding="UTF-8" standalone="yes"?>
<Relationships xmlns="http://schemas.openxmlformats.org/package/2006/relationships"><Relationship Id="rId1" Type="http://schemas.microsoft.com/office/2006/relationships/activeXControlBinary" Target="activeX533.bin"/></Relationships>
</file>

<file path=xl/activeX/_rels/activeX534.xml.rels><?xml version="1.0" encoding="UTF-8" standalone="yes"?>
<Relationships xmlns="http://schemas.openxmlformats.org/package/2006/relationships"><Relationship Id="rId1" Type="http://schemas.microsoft.com/office/2006/relationships/activeXControlBinary" Target="activeX534.bin"/></Relationships>
</file>

<file path=xl/activeX/_rels/activeX535.xml.rels><?xml version="1.0" encoding="UTF-8" standalone="yes"?>
<Relationships xmlns="http://schemas.openxmlformats.org/package/2006/relationships"><Relationship Id="rId1" Type="http://schemas.microsoft.com/office/2006/relationships/activeXControlBinary" Target="activeX535.bin"/></Relationships>
</file>

<file path=xl/activeX/_rels/activeX536.xml.rels><?xml version="1.0" encoding="UTF-8" standalone="yes"?>
<Relationships xmlns="http://schemas.openxmlformats.org/package/2006/relationships"><Relationship Id="rId1" Type="http://schemas.microsoft.com/office/2006/relationships/activeXControlBinary" Target="activeX536.bin"/></Relationships>
</file>

<file path=xl/activeX/_rels/activeX537.xml.rels><?xml version="1.0" encoding="UTF-8" standalone="yes"?>
<Relationships xmlns="http://schemas.openxmlformats.org/package/2006/relationships"><Relationship Id="rId1" Type="http://schemas.microsoft.com/office/2006/relationships/activeXControlBinary" Target="activeX537.bin"/></Relationships>
</file>

<file path=xl/activeX/_rels/activeX538.xml.rels><?xml version="1.0" encoding="UTF-8" standalone="yes"?>
<Relationships xmlns="http://schemas.openxmlformats.org/package/2006/relationships"><Relationship Id="rId1" Type="http://schemas.microsoft.com/office/2006/relationships/activeXControlBinary" Target="activeX538.bin"/></Relationships>
</file>

<file path=xl/activeX/_rels/activeX539.xml.rels><?xml version="1.0" encoding="UTF-8" standalone="yes"?>
<Relationships xmlns="http://schemas.openxmlformats.org/package/2006/relationships"><Relationship Id="rId1" Type="http://schemas.microsoft.com/office/2006/relationships/activeXControlBinary" Target="activeX539.bin"/></Relationships>
</file>

<file path=xl/activeX/_rels/activeX540.xml.rels><?xml version="1.0" encoding="UTF-8" standalone="yes"?>
<Relationships xmlns="http://schemas.openxmlformats.org/package/2006/relationships"><Relationship Id="rId1" Type="http://schemas.microsoft.com/office/2006/relationships/activeXControlBinary" Target="activeX540.bin"/></Relationships>
</file>

<file path=xl/activeX/_rels/activeX541.xml.rels><?xml version="1.0" encoding="UTF-8" standalone="yes"?>
<Relationships xmlns="http://schemas.openxmlformats.org/package/2006/relationships"><Relationship Id="rId1" Type="http://schemas.microsoft.com/office/2006/relationships/activeXControlBinary" Target="activeX541.bin"/></Relationships>
</file>

<file path=xl/activeX/_rels/activeX542.xml.rels><?xml version="1.0" encoding="UTF-8" standalone="yes"?>
<Relationships xmlns="http://schemas.openxmlformats.org/package/2006/relationships"><Relationship Id="rId1" Type="http://schemas.microsoft.com/office/2006/relationships/activeXControlBinary" Target="activeX542.bin"/></Relationships>
</file>

<file path=xl/activeX/_rels/activeX543.xml.rels><?xml version="1.0" encoding="UTF-8" standalone="yes"?>
<Relationships xmlns="http://schemas.openxmlformats.org/package/2006/relationships"><Relationship Id="rId1" Type="http://schemas.microsoft.com/office/2006/relationships/activeXControlBinary" Target="activeX543.bin"/></Relationships>
</file>

<file path=xl/activeX/_rels/activeX544.xml.rels><?xml version="1.0" encoding="UTF-8" standalone="yes"?>
<Relationships xmlns="http://schemas.openxmlformats.org/package/2006/relationships"><Relationship Id="rId1" Type="http://schemas.microsoft.com/office/2006/relationships/activeXControlBinary" Target="activeX544.bin"/></Relationships>
</file>

<file path=xl/activeX/_rels/activeX545.xml.rels><?xml version="1.0" encoding="UTF-8" standalone="yes"?>
<Relationships xmlns="http://schemas.openxmlformats.org/package/2006/relationships"><Relationship Id="rId1" Type="http://schemas.microsoft.com/office/2006/relationships/activeXControlBinary" Target="activeX545.bin"/></Relationships>
</file>

<file path=xl/activeX/_rels/activeX546.xml.rels><?xml version="1.0" encoding="UTF-8" standalone="yes"?>
<Relationships xmlns="http://schemas.openxmlformats.org/package/2006/relationships"><Relationship Id="rId1" Type="http://schemas.microsoft.com/office/2006/relationships/activeXControlBinary" Target="activeX546.bin"/></Relationships>
</file>

<file path=xl/activeX/_rels/activeX547.xml.rels><?xml version="1.0" encoding="UTF-8" standalone="yes"?>
<Relationships xmlns="http://schemas.openxmlformats.org/package/2006/relationships"><Relationship Id="rId1" Type="http://schemas.microsoft.com/office/2006/relationships/activeXControlBinary" Target="activeX547.bin"/></Relationships>
</file>

<file path=xl/activeX/_rels/activeX548.xml.rels><?xml version="1.0" encoding="UTF-8" standalone="yes"?>
<Relationships xmlns="http://schemas.openxmlformats.org/package/2006/relationships"><Relationship Id="rId1" Type="http://schemas.microsoft.com/office/2006/relationships/activeXControlBinary" Target="activeX548.bin"/></Relationships>
</file>

<file path=xl/activeX/_rels/activeX549.xml.rels><?xml version="1.0" encoding="UTF-8" standalone="yes"?>
<Relationships xmlns="http://schemas.openxmlformats.org/package/2006/relationships"><Relationship Id="rId1" Type="http://schemas.microsoft.com/office/2006/relationships/activeXControlBinary" Target="activeX549.bin"/></Relationships>
</file>

<file path=xl/activeX/_rels/activeX550.xml.rels><?xml version="1.0" encoding="UTF-8" standalone="yes"?>
<Relationships xmlns="http://schemas.openxmlformats.org/package/2006/relationships"><Relationship Id="rId1" Type="http://schemas.microsoft.com/office/2006/relationships/activeXControlBinary" Target="activeX550.bin"/></Relationships>
</file>

<file path=xl/activeX/_rels/activeX551.xml.rels><?xml version="1.0" encoding="UTF-8" standalone="yes"?>
<Relationships xmlns="http://schemas.openxmlformats.org/package/2006/relationships"><Relationship Id="rId1" Type="http://schemas.microsoft.com/office/2006/relationships/activeXControlBinary" Target="activeX551.bin"/></Relationships>
</file>

<file path=xl/activeX/_rels/activeX552.xml.rels><?xml version="1.0" encoding="UTF-8" standalone="yes"?>
<Relationships xmlns="http://schemas.openxmlformats.org/package/2006/relationships"><Relationship Id="rId1" Type="http://schemas.microsoft.com/office/2006/relationships/activeXControlBinary" Target="activeX552.bin"/></Relationships>
</file>

<file path=xl/activeX/_rels/activeX553.xml.rels><?xml version="1.0" encoding="UTF-8" standalone="yes"?>
<Relationships xmlns="http://schemas.openxmlformats.org/package/2006/relationships"><Relationship Id="rId1" Type="http://schemas.microsoft.com/office/2006/relationships/activeXControlBinary" Target="activeX553.bin"/></Relationships>
</file>

<file path=xl/activeX/_rels/activeX554.xml.rels><?xml version="1.0" encoding="UTF-8" standalone="yes"?>
<Relationships xmlns="http://schemas.openxmlformats.org/package/2006/relationships"><Relationship Id="rId1" Type="http://schemas.microsoft.com/office/2006/relationships/activeXControlBinary" Target="activeX554.bin"/></Relationships>
</file>

<file path=xl/activeX/_rels/activeX555.xml.rels><?xml version="1.0" encoding="UTF-8" standalone="yes"?>
<Relationships xmlns="http://schemas.openxmlformats.org/package/2006/relationships"><Relationship Id="rId1" Type="http://schemas.microsoft.com/office/2006/relationships/activeXControlBinary" Target="activeX555.bin"/></Relationships>
</file>

<file path=xl/activeX/_rels/activeX556.xml.rels><?xml version="1.0" encoding="UTF-8" standalone="yes"?>
<Relationships xmlns="http://schemas.openxmlformats.org/package/2006/relationships"><Relationship Id="rId1" Type="http://schemas.microsoft.com/office/2006/relationships/activeXControlBinary" Target="activeX556.bin"/></Relationships>
</file>

<file path=xl/activeX/_rels/activeX557.xml.rels><?xml version="1.0" encoding="UTF-8" standalone="yes"?>
<Relationships xmlns="http://schemas.openxmlformats.org/package/2006/relationships"><Relationship Id="rId1" Type="http://schemas.microsoft.com/office/2006/relationships/activeXControlBinary" Target="activeX557.bin"/></Relationships>
</file>

<file path=xl/activeX/_rels/activeX558.xml.rels><?xml version="1.0" encoding="UTF-8" standalone="yes"?>
<Relationships xmlns="http://schemas.openxmlformats.org/package/2006/relationships"><Relationship Id="rId1" Type="http://schemas.microsoft.com/office/2006/relationships/activeXControlBinary" Target="activeX558.bin"/></Relationships>
</file>

<file path=xl/activeX/_rels/activeX559.xml.rels><?xml version="1.0" encoding="UTF-8" standalone="yes"?>
<Relationships xmlns="http://schemas.openxmlformats.org/package/2006/relationships"><Relationship Id="rId1" Type="http://schemas.microsoft.com/office/2006/relationships/activeXControlBinary" Target="activeX559.bin"/></Relationships>
</file>

<file path=xl/activeX/_rels/activeX560.xml.rels><?xml version="1.0" encoding="UTF-8" standalone="yes"?>
<Relationships xmlns="http://schemas.openxmlformats.org/package/2006/relationships"><Relationship Id="rId1" Type="http://schemas.microsoft.com/office/2006/relationships/activeXControlBinary" Target="activeX560.bin"/></Relationships>
</file>

<file path=xl/activeX/_rels/activeX561.xml.rels><?xml version="1.0" encoding="UTF-8" standalone="yes"?>
<Relationships xmlns="http://schemas.openxmlformats.org/package/2006/relationships"><Relationship Id="rId1" Type="http://schemas.microsoft.com/office/2006/relationships/activeXControlBinary" Target="activeX561.bin"/></Relationships>
</file>

<file path=xl/activeX/_rels/activeX562.xml.rels><?xml version="1.0" encoding="UTF-8" standalone="yes"?>
<Relationships xmlns="http://schemas.openxmlformats.org/package/2006/relationships"><Relationship Id="rId1" Type="http://schemas.microsoft.com/office/2006/relationships/activeXControlBinary" Target="activeX562.bin"/></Relationships>
</file>

<file path=xl/activeX/_rels/activeX563.xml.rels><?xml version="1.0" encoding="UTF-8" standalone="yes"?>
<Relationships xmlns="http://schemas.openxmlformats.org/package/2006/relationships"><Relationship Id="rId1" Type="http://schemas.microsoft.com/office/2006/relationships/activeXControlBinary" Target="activeX563.bin"/></Relationships>
</file>

<file path=xl/activeX/_rels/activeX564.xml.rels><?xml version="1.0" encoding="UTF-8" standalone="yes"?>
<Relationships xmlns="http://schemas.openxmlformats.org/package/2006/relationships"><Relationship Id="rId1" Type="http://schemas.microsoft.com/office/2006/relationships/activeXControlBinary" Target="activeX564.bin"/></Relationships>
</file>

<file path=xl/activeX/_rels/activeX565.xml.rels><?xml version="1.0" encoding="UTF-8" standalone="yes"?>
<Relationships xmlns="http://schemas.openxmlformats.org/package/2006/relationships"><Relationship Id="rId1" Type="http://schemas.microsoft.com/office/2006/relationships/activeXControlBinary" Target="activeX565.bin"/></Relationships>
</file>

<file path=xl/activeX/_rels/activeX566.xml.rels><?xml version="1.0" encoding="UTF-8" standalone="yes"?>
<Relationships xmlns="http://schemas.openxmlformats.org/package/2006/relationships"><Relationship Id="rId1" Type="http://schemas.microsoft.com/office/2006/relationships/activeXControlBinary" Target="activeX566.bin"/></Relationships>
</file>

<file path=xl/activeX/_rels/activeX567.xml.rels><?xml version="1.0" encoding="UTF-8" standalone="yes"?>
<Relationships xmlns="http://schemas.openxmlformats.org/package/2006/relationships"><Relationship Id="rId1" Type="http://schemas.microsoft.com/office/2006/relationships/activeXControlBinary" Target="activeX567.bin"/></Relationships>
</file>

<file path=xl/activeX/_rels/activeX568.xml.rels><?xml version="1.0" encoding="UTF-8" standalone="yes"?>
<Relationships xmlns="http://schemas.openxmlformats.org/package/2006/relationships"><Relationship Id="rId1" Type="http://schemas.microsoft.com/office/2006/relationships/activeXControlBinary" Target="activeX568.bin"/></Relationships>
</file>

<file path=xl/activeX/_rels/activeX569.xml.rels><?xml version="1.0" encoding="UTF-8" standalone="yes"?>
<Relationships xmlns="http://schemas.openxmlformats.org/package/2006/relationships"><Relationship Id="rId1" Type="http://schemas.microsoft.com/office/2006/relationships/activeXControlBinary" Target="activeX569.bin"/></Relationships>
</file>

<file path=xl/activeX/_rels/activeX570.xml.rels><?xml version="1.0" encoding="UTF-8" standalone="yes"?>
<Relationships xmlns="http://schemas.openxmlformats.org/package/2006/relationships"><Relationship Id="rId1" Type="http://schemas.microsoft.com/office/2006/relationships/activeXControlBinary" Target="activeX570.bin"/></Relationships>
</file>

<file path=xl/activeX/_rels/activeX571.xml.rels><?xml version="1.0" encoding="UTF-8" standalone="yes"?>
<Relationships xmlns="http://schemas.openxmlformats.org/package/2006/relationships"><Relationship Id="rId1" Type="http://schemas.microsoft.com/office/2006/relationships/activeXControlBinary" Target="activeX571.bin"/></Relationships>
</file>

<file path=xl/activeX/_rels/activeX572.xml.rels><?xml version="1.0" encoding="UTF-8" standalone="yes"?>
<Relationships xmlns="http://schemas.openxmlformats.org/package/2006/relationships"><Relationship Id="rId1" Type="http://schemas.microsoft.com/office/2006/relationships/activeXControlBinary" Target="activeX572.bin"/></Relationships>
</file>

<file path=xl/activeX/_rels/activeX573.xml.rels><?xml version="1.0" encoding="UTF-8" standalone="yes"?>
<Relationships xmlns="http://schemas.openxmlformats.org/package/2006/relationships"><Relationship Id="rId1" Type="http://schemas.microsoft.com/office/2006/relationships/activeXControlBinary" Target="activeX573.bin"/></Relationships>
</file>

<file path=xl/activeX/_rels/activeX574.xml.rels><?xml version="1.0" encoding="UTF-8" standalone="yes"?>
<Relationships xmlns="http://schemas.openxmlformats.org/package/2006/relationships"><Relationship Id="rId1" Type="http://schemas.microsoft.com/office/2006/relationships/activeXControlBinary" Target="activeX574.bin"/></Relationships>
</file>

<file path=xl/activeX/_rels/activeX575.xml.rels><?xml version="1.0" encoding="UTF-8" standalone="yes"?>
<Relationships xmlns="http://schemas.openxmlformats.org/package/2006/relationships"><Relationship Id="rId1" Type="http://schemas.microsoft.com/office/2006/relationships/activeXControlBinary" Target="activeX575.bin"/></Relationships>
</file>

<file path=xl/activeX/_rels/activeX576.xml.rels><?xml version="1.0" encoding="UTF-8" standalone="yes"?>
<Relationships xmlns="http://schemas.openxmlformats.org/package/2006/relationships"><Relationship Id="rId1" Type="http://schemas.microsoft.com/office/2006/relationships/activeXControlBinary" Target="activeX576.bin"/></Relationships>
</file>

<file path=xl/activeX/_rels/activeX577.xml.rels><?xml version="1.0" encoding="UTF-8" standalone="yes"?>
<Relationships xmlns="http://schemas.openxmlformats.org/package/2006/relationships"><Relationship Id="rId1" Type="http://schemas.microsoft.com/office/2006/relationships/activeXControlBinary" Target="activeX577.bin"/></Relationships>
</file>

<file path=xl/activeX/_rels/activeX578.xml.rels><?xml version="1.0" encoding="UTF-8" standalone="yes"?>
<Relationships xmlns="http://schemas.openxmlformats.org/package/2006/relationships"><Relationship Id="rId1" Type="http://schemas.microsoft.com/office/2006/relationships/activeXControlBinary" Target="activeX578.bin"/></Relationships>
</file>

<file path=xl/activeX/_rels/activeX579.xml.rels><?xml version="1.0" encoding="UTF-8" standalone="yes"?>
<Relationships xmlns="http://schemas.openxmlformats.org/package/2006/relationships"><Relationship Id="rId1" Type="http://schemas.microsoft.com/office/2006/relationships/activeXControlBinary" Target="activeX579.bin"/></Relationships>
</file>

<file path=xl/activeX/_rels/activeX580.xml.rels><?xml version="1.0" encoding="UTF-8" standalone="yes"?>
<Relationships xmlns="http://schemas.openxmlformats.org/package/2006/relationships"><Relationship Id="rId1" Type="http://schemas.microsoft.com/office/2006/relationships/activeXControlBinary" Target="activeX580.bin"/></Relationships>
</file>

<file path=xl/activeX/_rels/activeX581.xml.rels><?xml version="1.0" encoding="UTF-8" standalone="yes"?>
<Relationships xmlns="http://schemas.openxmlformats.org/package/2006/relationships"><Relationship Id="rId1" Type="http://schemas.microsoft.com/office/2006/relationships/activeXControlBinary" Target="activeX581.bin"/></Relationships>
</file>

<file path=xl/activeX/_rels/activeX582.xml.rels><?xml version="1.0" encoding="UTF-8" standalone="yes"?>
<Relationships xmlns="http://schemas.openxmlformats.org/package/2006/relationships"><Relationship Id="rId1" Type="http://schemas.microsoft.com/office/2006/relationships/activeXControlBinary" Target="activeX582.bin"/></Relationships>
</file>

<file path=xl/activeX/_rels/activeX583.xml.rels><?xml version="1.0" encoding="UTF-8" standalone="yes"?>
<Relationships xmlns="http://schemas.openxmlformats.org/package/2006/relationships"><Relationship Id="rId1" Type="http://schemas.microsoft.com/office/2006/relationships/activeXControlBinary" Target="activeX58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4C599241-6926-101B-9992-00000B65C6F9}"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8BD21D50-EC42-11CE-9E0D-00AA006002F3}"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8BD21D50-EC42-11CE-9E0D-00AA006002F3}" ax:persistence="persistStreamInit" r:id="rId1"/>
</file>

<file path=xl/activeX/activeX137.xml><?xml version="1.0" encoding="utf-8"?>
<ax:ocx xmlns:ax="http://schemas.microsoft.com/office/2006/activeX" xmlns:r="http://schemas.openxmlformats.org/officeDocument/2006/relationships" ax:classid="{8BD21D50-EC42-11CE-9E0D-00AA006002F3}" ax:persistence="persistStreamInit" r:id="rId1"/>
</file>

<file path=xl/activeX/activeX138.xml><?xml version="1.0" encoding="utf-8"?>
<ax:ocx xmlns:ax="http://schemas.microsoft.com/office/2006/activeX" xmlns:r="http://schemas.openxmlformats.org/officeDocument/2006/relationships" ax:classid="{8BD21D50-EC42-11CE-9E0D-00AA006002F3}"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50-EC42-11CE-9E0D-00AA006002F3}" ax:persistence="persistStreamInit" r:id="rId1"/>
</file>

<file path=xl/activeX/activeX142.xml><?xml version="1.0" encoding="utf-8"?>
<ax:ocx xmlns:ax="http://schemas.microsoft.com/office/2006/activeX" xmlns:r="http://schemas.openxmlformats.org/officeDocument/2006/relationships" ax:classid="{8BD21D50-EC42-11CE-9E0D-00AA006002F3}" ax:persistence="persistStreamInit" r:id="rId1"/>
</file>

<file path=xl/activeX/activeX143.xml><?xml version="1.0" encoding="utf-8"?>
<ax:ocx xmlns:ax="http://schemas.microsoft.com/office/2006/activeX" xmlns:r="http://schemas.openxmlformats.org/officeDocument/2006/relationships" ax:classid="{8BD21D50-EC42-11CE-9E0D-00AA006002F3}" ax:persistence="persistStreamInit" r:id="rId1"/>
</file>

<file path=xl/activeX/activeX144.xml><?xml version="1.0" encoding="utf-8"?>
<ax:ocx xmlns:ax="http://schemas.microsoft.com/office/2006/activeX" xmlns:r="http://schemas.openxmlformats.org/officeDocument/2006/relationships" ax:classid="{8BD21D50-EC42-11CE-9E0D-00AA006002F3}" ax:persistence="persistStreamInit" r:id="rId1"/>
</file>

<file path=xl/activeX/activeX145.xml><?xml version="1.0" encoding="utf-8"?>
<ax:ocx xmlns:ax="http://schemas.microsoft.com/office/2006/activeX" xmlns:r="http://schemas.openxmlformats.org/officeDocument/2006/relationships" ax:classid="{8BD21D50-EC42-11CE-9E0D-00AA006002F3}"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8BD21D50-EC42-11CE-9E0D-00AA006002F3}" ax:persistence="persistStreamInit" r:id="rId1"/>
</file>

<file path=xl/activeX/activeX148.xml><?xml version="1.0" encoding="utf-8"?>
<ax:ocx xmlns:ax="http://schemas.microsoft.com/office/2006/activeX" xmlns:r="http://schemas.openxmlformats.org/officeDocument/2006/relationships" ax:classid="{8BD21D50-EC42-11CE-9E0D-00AA006002F3}" ax:persistence="persistStreamInit" r:id="rId1"/>
</file>

<file path=xl/activeX/activeX149.xml><?xml version="1.0" encoding="utf-8"?>
<ax:ocx xmlns:ax="http://schemas.microsoft.com/office/2006/activeX" xmlns:r="http://schemas.openxmlformats.org/officeDocument/2006/relationships" ax:classid="{8BD21D50-EC42-11CE-9E0D-00AA006002F3}" ax:persistence="persistStreamInit" r:id="rId1"/>
</file>

<file path=xl/activeX/activeX150.xml><?xml version="1.0" encoding="utf-8"?>
<ax:ocx xmlns:ax="http://schemas.microsoft.com/office/2006/activeX" xmlns:r="http://schemas.openxmlformats.org/officeDocument/2006/relationships" ax:classid="{8BD21D50-EC42-11CE-9E0D-00AA006002F3}" ax:persistence="persistStreamInit" r:id="rId1"/>
</file>

<file path=xl/activeX/activeX151.xml><?xml version="1.0" encoding="utf-8"?>
<ax:ocx xmlns:ax="http://schemas.microsoft.com/office/2006/activeX" xmlns:r="http://schemas.openxmlformats.org/officeDocument/2006/relationships" ax:classid="{8BD21D50-EC42-11CE-9E0D-00AA006002F3}" ax:persistence="persistStreamInit" r:id="rId1"/>
</file>

<file path=xl/activeX/activeX152.xml><?xml version="1.0" encoding="utf-8"?>
<ax:ocx xmlns:ax="http://schemas.microsoft.com/office/2006/activeX" xmlns:r="http://schemas.openxmlformats.org/officeDocument/2006/relationships" ax:classid="{8BD21D50-EC42-11CE-9E0D-00AA006002F3}" ax:persistence="persistStreamInit" r:id="rId1"/>
</file>

<file path=xl/activeX/activeX153.xml><?xml version="1.0" encoding="utf-8"?>
<ax:ocx xmlns:ax="http://schemas.microsoft.com/office/2006/activeX" xmlns:r="http://schemas.openxmlformats.org/officeDocument/2006/relationships" ax:classid="{8BD21D50-EC42-11CE-9E0D-00AA006002F3}" ax:persistence="persistStreamInit" r:id="rId1"/>
</file>

<file path=xl/activeX/activeX154.xml><?xml version="1.0" encoding="utf-8"?>
<ax:ocx xmlns:ax="http://schemas.microsoft.com/office/2006/activeX" xmlns:r="http://schemas.openxmlformats.org/officeDocument/2006/relationships" ax:classid="{8BD21D50-EC42-11CE-9E0D-00AA006002F3}" ax:persistence="persistStreamInit" r:id="rId1"/>
</file>

<file path=xl/activeX/activeX155.xml><?xml version="1.0" encoding="utf-8"?>
<ax:ocx xmlns:ax="http://schemas.microsoft.com/office/2006/activeX" xmlns:r="http://schemas.openxmlformats.org/officeDocument/2006/relationships" ax:classid="{8BD21D50-EC42-11CE-9E0D-00AA006002F3}" ax:persistence="persistStreamInit" r:id="rId1"/>
</file>

<file path=xl/activeX/activeX156.xml><?xml version="1.0" encoding="utf-8"?>
<ax:ocx xmlns:ax="http://schemas.microsoft.com/office/2006/activeX" xmlns:r="http://schemas.openxmlformats.org/officeDocument/2006/relationships" ax:classid="{8BD21D50-EC42-11CE-9E0D-00AA006002F3}" ax:persistence="persistStreamInit" r:id="rId1"/>
</file>

<file path=xl/activeX/activeX157.xml><?xml version="1.0" encoding="utf-8"?>
<ax:ocx xmlns:ax="http://schemas.microsoft.com/office/2006/activeX" xmlns:r="http://schemas.openxmlformats.org/officeDocument/2006/relationships" ax:classid="{8BD21D50-EC42-11CE-9E0D-00AA006002F3}" ax:persistence="persistStreamInit" r:id="rId1"/>
</file>

<file path=xl/activeX/activeX158.xml><?xml version="1.0" encoding="utf-8"?>
<ax:ocx xmlns:ax="http://schemas.microsoft.com/office/2006/activeX" xmlns:r="http://schemas.openxmlformats.org/officeDocument/2006/relationships" ax:classid="{8BD21D50-EC42-11CE-9E0D-00AA006002F3}" ax:persistence="persistStreamInit" r:id="rId1"/>
</file>

<file path=xl/activeX/activeX159.xml><?xml version="1.0" encoding="utf-8"?>
<ax:ocx xmlns:ax="http://schemas.microsoft.com/office/2006/activeX" xmlns:r="http://schemas.openxmlformats.org/officeDocument/2006/relationships" ax:classid="{8BD21D50-EC42-11CE-9E0D-00AA006002F3}" ax:persistence="persistStreamInit" r:id="rId1"/>
</file>

<file path=xl/activeX/activeX160.xml><?xml version="1.0" encoding="utf-8"?>
<ax:ocx xmlns:ax="http://schemas.microsoft.com/office/2006/activeX" xmlns:r="http://schemas.openxmlformats.org/officeDocument/2006/relationships" ax:classid="{8BD21D50-EC42-11CE-9E0D-00AA006002F3}" ax:persistence="persistStreamInit" r:id="rId1"/>
</file>

<file path=xl/activeX/activeX161.xml><?xml version="1.0" encoding="utf-8"?>
<ax:ocx xmlns:ax="http://schemas.microsoft.com/office/2006/activeX" xmlns:r="http://schemas.openxmlformats.org/officeDocument/2006/relationships" ax:classid="{8BD21D50-EC42-11CE-9E0D-00AA006002F3}"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8BD21D50-EC42-11CE-9E0D-00AA006002F3}"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8BD21D50-EC42-11CE-9E0D-00AA006002F3}" ax:persistence="persistStreamInit" r:id="rId1"/>
</file>

<file path=xl/activeX/activeX168.xml><?xml version="1.0" encoding="utf-8"?>
<ax:ocx xmlns:ax="http://schemas.microsoft.com/office/2006/activeX" xmlns:r="http://schemas.openxmlformats.org/officeDocument/2006/relationships" ax:classid="{8BD21D2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8BD21D40-EC42-11CE-9E0D-00AA006002F3}" ax:persistence="persistStreamInit" r:id="rId1"/>
</file>

<file path=xl/activeX/activeX171.xml><?xml version="1.0" encoding="utf-8"?>
<ax:ocx xmlns:ax="http://schemas.microsoft.com/office/2006/activeX" xmlns:r="http://schemas.openxmlformats.org/officeDocument/2006/relationships" ax:classid="{8BD21D50-EC42-11CE-9E0D-00AA006002F3}" ax:persistence="persistStreamInit" r:id="rId1"/>
</file>

<file path=xl/activeX/activeX172.xml><?xml version="1.0" encoding="utf-8"?>
<ax:ocx xmlns:ax="http://schemas.microsoft.com/office/2006/activeX" xmlns:r="http://schemas.openxmlformats.org/officeDocument/2006/relationships" ax:classid="{8BD21D50-EC42-11CE-9E0D-00AA006002F3}"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8BD21D50-EC42-11CE-9E0D-00AA006002F3}" ax:persistence="persistStreamInit" r:id="rId1"/>
</file>

<file path=xl/activeX/activeX175.xml><?xml version="1.0" encoding="utf-8"?>
<ax:ocx xmlns:ax="http://schemas.microsoft.com/office/2006/activeX" xmlns:r="http://schemas.openxmlformats.org/officeDocument/2006/relationships" ax:classid="{8BD21D50-EC42-11CE-9E0D-00AA006002F3}" ax:persistence="persistStreamInit" r:id="rId1"/>
</file>

<file path=xl/activeX/activeX176.xml><?xml version="1.0" encoding="utf-8"?>
<ax:ocx xmlns:ax="http://schemas.microsoft.com/office/2006/activeX" xmlns:r="http://schemas.openxmlformats.org/officeDocument/2006/relationships" ax:classid="{8BD21D50-EC42-11CE-9E0D-00AA006002F3}" ax:persistence="persistStreamInit" r:id="rId1"/>
</file>

<file path=xl/activeX/activeX177.xml><?xml version="1.0" encoding="utf-8"?>
<ax:ocx xmlns:ax="http://schemas.microsoft.com/office/2006/activeX" xmlns:r="http://schemas.openxmlformats.org/officeDocument/2006/relationships" ax:classid="{8BD21D50-EC42-11CE-9E0D-00AA006002F3}" ax:persistence="persistStreamInit" r:id="rId1"/>
</file>

<file path=xl/activeX/activeX178.xml><?xml version="1.0" encoding="utf-8"?>
<ax:ocx xmlns:ax="http://schemas.microsoft.com/office/2006/activeX" xmlns:r="http://schemas.openxmlformats.org/officeDocument/2006/relationships" ax:classid="{8BD21D50-EC42-11CE-9E0D-00AA006002F3}" ax:persistence="persistStreamInit" r:id="rId1"/>
</file>

<file path=xl/activeX/activeX179.xml><?xml version="1.0" encoding="utf-8"?>
<ax:ocx xmlns:ax="http://schemas.microsoft.com/office/2006/activeX" xmlns:r="http://schemas.openxmlformats.org/officeDocument/2006/relationships" ax:classid="{8BD21D40-EC42-11CE-9E0D-00AA006002F3}" ax:persistence="persistStreamInit" r:id="rId1"/>
</file>

<file path=xl/activeX/activeX180.xml><?xml version="1.0" encoding="utf-8"?>
<ax:ocx xmlns:ax="http://schemas.microsoft.com/office/2006/activeX" xmlns:r="http://schemas.openxmlformats.org/officeDocument/2006/relationships" ax:classid="{8BD21D40-EC42-11CE-9E0D-00AA006002F3}"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8BD21D40-EC42-11CE-9E0D-00AA006002F3}" ax:persistence="persistStreamInit" r:id="rId1"/>
</file>

<file path=xl/activeX/activeX183.xml><?xml version="1.0" encoding="utf-8"?>
<ax:ocx xmlns:ax="http://schemas.microsoft.com/office/2006/activeX" xmlns:r="http://schemas.openxmlformats.org/officeDocument/2006/relationships" ax:classid="{8BD21D40-EC42-11CE-9E0D-00AA006002F3}" ax:persistence="persistStreamInit" r:id="rId1"/>
</file>

<file path=xl/activeX/activeX184.xml><?xml version="1.0" encoding="utf-8"?>
<ax:ocx xmlns:ax="http://schemas.microsoft.com/office/2006/activeX" xmlns:r="http://schemas.openxmlformats.org/officeDocument/2006/relationships" ax:classid="{8BD21D40-EC42-11CE-9E0D-00AA006002F3}" ax:persistence="persistStreamInit" r:id="rId1"/>
</file>

<file path=xl/activeX/activeX185.xml><?xml version="1.0" encoding="utf-8"?>
<ax:ocx xmlns:ax="http://schemas.microsoft.com/office/2006/activeX" xmlns:r="http://schemas.openxmlformats.org/officeDocument/2006/relationships" ax:classid="{8BD21D40-EC42-11CE-9E0D-00AA006002F3}" ax:persistence="persistStreamInit" r:id="rId1"/>
</file>

<file path=xl/activeX/activeX186.xml><?xml version="1.0" encoding="utf-8"?>
<ax:ocx xmlns:ax="http://schemas.microsoft.com/office/2006/activeX" xmlns:r="http://schemas.openxmlformats.org/officeDocument/2006/relationships" ax:classid="{8BD21D40-EC42-11CE-9E0D-00AA006002F3}" ax:persistence="persistStreamInit" r:id="rId1"/>
</file>

<file path=xl/activeX/activeX187.xml><?xml version="1.0" encoding="utf-8"?>
<ax:ocx xmlns:ax="http://schemas.microsoft.com/office/2006/activeX" xmlns:r="http://schemas.openxmlformats.org/officeDocument/2006/relationships" ax:classid="{8BD21D40-EC42-11CE-9E0D-00AA006002F3}" ax:persistence="persistStreamInit" r:id="rId1"/>
</file>

<file path=xl/activeX/activeX188.xml><?xml version="1.0" encoding="utf-8"?>
<ax:ocx xmlns:ax="http://schemas.microsoft.com/office/2006/activeX" xmlns:r="http://schemas.openxmlformats.org/officeDocument/2006/relationships" ax:classid="{8BD21D40-EC42-11CE-9E0D-00AA006002F3}" ax:persistence="persistStreamInit" r:id="rId1"/>
</file>

<file path=xl/activeX/activeX189.xml><?xml version="1.0" encoding="utf-8"?>
<ax:ocx xmlns:ax="http://schemas.microsoft.com/office/2006/activeX" xmlns:r="http://schemas.openxmlformats.org/officeDocument/2006/relationships" ax:classid="{8BD21D40-EC42-11CE-9E0D-00AA006002F3}" ax:persistence="persistStreamInit" r:id="rId1"/>
</file>

<file path=xl/activeX/activeX190.xml><?xml version="1.0" encoding="utf-8"?>
<ax:ocx xmlns:ax="http://schemas.microsoft.com/office/2006/activeX" xmlns:r="http://schemas.openxmlformats.org/officeDocument/2006/relationships" ax:classid="{8BD21D40-EC42-11CE-9E0D-00AA006002F3}" ax:persistence="persistStreamInit" r:id="rId1"/>
</file>

<file path=xl/activeX/activeX191.xml><?xml version="1.0" encoding="utf-8"?>
<ax:ocx xmlns:ax="http://schemas.microsoft.com/office/2006/activeX" xmlns:r="http://schemas.openxmlformats.org/officeDocument/2006/relationships" ax:classid="{8BD21D40-EC42-11CE-9E0D-00AA006002F3}" ax:persistence="persistStreamInit" r:id="rId1"/>
</file>

<file path=xl/activeX/activeX192.xml><?xml version="1.0" encoding="utf-8"?>
<ax:ocx xmlns:ax="http://schemas.microsoft.com/office/2006/activeX" xmlns:r="http://schemas.openxmlformats.org/officeDocument/2006/relationships" ax:classid="{8BD21D40-EC42-11CE-9E0D-00AA006002F3}" ax:persistence="persistStreamInit" r:id="rId1"/>
</file>

<file path=xl/activeX/activeX193.xml><?xml version="1.0" encoding="utf-8"?>
<ax:ocx xmlns:ax="http://schemas.microsoft.com/office/2006/activeX" xmlns:r="http://schemas.openxmlformats.org/officeDocument/2006/relationships" ax:classid="{8BD21D40-EC42-11CE-9E0D-00AA006002F3}" ax:persistence="persistStreamInit" r:id="rId1"/>
</file>

<file path=xl/activeX/activeX194.xml><?xml version="1.0" encoding="utf-8"?>
<ax:ocx xmlns:ax="http://schemas.microsoft.com/office/2006/activeX" xmlns:r="http://schemas.openxmlformats.org/officeDocument/2006/relationships" ax:classid="{8BD21D50-EC42-11CE-9E0D-00AA006002F3}" ax:persistence="persistStreamInit" r:id="rId1"/>
</file>

<file path=xl/activeX/activeX195.xml><?xml version="1.0" encoding="utf-8"?>
<ax:ocx xmlns:ax="http://schemas.microsoft.com/office/2006/activeX" xmlns:r="http://schemas.openxmlformats.org/officeDocument/2006/relationships" ax:classid="{8BD21D50-EC42-11CE-9E0D-00AA006002F3}" ax:persistence="persistStreamInit" r:id="rId1"/>
</file>

<file path=xl/activeX/activeX196.xml><?xml version="1.0" encoding="utf-8"?>
<ax:ocx xmlns:ax="http://schemas.microsoft.com/office/2006/activeX" xmlns:r="http://schemas.openxmlformats.org/officeDocument/2006/relationships" ax:classid="{8BD21D50-EC42-11CE-9E0D-00AA006002F3}" ax:persistence="persistStreamInit" r:id="rId1"/>
</file>

<file path=xl/activeX/activeX197.xml><?xml version="1.0" encoding="utf-8"?>
<ax:ocx xmlns:ax="http://schemas.microsoft.com/office/2006/activeX" xmlns:r="http://schemas.openxmlformats.org/officeDocument/2006/relationships" ax:classid="{8BD21D40-EC42-11CE-9E0D-00AA006002F3}" ax:persistence="persistStreamInit" r:id="rId1"/>
</file>

<file path=xl/activeX/activeX198.xml><?xml version="1.0" encoding="utf-8"?>
<ax:ocx xmlns:ax="http://schemas.microsoft.com/office/2006/activeX" xmlns:r="http://schemas.openxmlformats.org/officeDocument/2006/relationships" ax:classid="{8BD21D40-EC42-11CE-9E0D-00AA006002F3}" ax:persistence="persistStreamInit" r:id="rId1"/>
</file>

<file path=xl/activeX/activeX199.xml><?xml version="1.0" encoding="utf-8"?>
<ax:ocx xmlns:ax="http://schemas.microsoft.com/office/2006/activeX" xmlns:r="http://schemas.openxmlformats.org/officeDocument/2006/relationships" ax:classid="{8BD21D40-EC42-11CE-9E0D-00AA006002F3}" ax:persistence="persistStreamInit" r:id="rId1"/>
</file>

<file path=xl/activeX/activeX200.xml><?xml version="1.0" encoding="utf-8"?>
<ax:ocx xmlns:ax="http://schemas.microsoft.com/office/2006/activeX" xmlns:r="http://schemas.openxmlformats.org/officeDocument/2006/relationships" ax:classid="{8BD21D50-EC42-11CE-9E0D-00AA006002F3}" ax:persistence="persistStreamInit" r:id="rId1"/>
</file>

<file path=xl/activeX/activeX201.xml><?xml version="1.0" encoding="utf-8"?>
<ax:ocx xmlns:ax="http://schemas.microsoft.com/office/2006/activeX" xmlns:r="http://schemas.openxmlformats.org/officeDocument/2006/relationships" ax:classid="{8BD21D50-EC42-11CE-9E0D-00AA006002F3}" ax:persistence="persistStreamInit" r:id="rId1"/>
</file>

<file path=xl/activeX/activeX202.xml><?xml version="1.0" encoding="utf-8"?>
<ax:ocx xmlns:ax="http://schemas.microsoft.com/office/2006/activeX" xmlns:r="http://schemas.openxmlformats.org/officeDocument/2006/relationships" ax:classid="{8BD21D40-EC42-11CE-9E0D-00AA006002F3}" ax:persistence="persistStreamInit" r:id="rId1"/>
</file>

<file path=xl/activeX/activeX203.xml><?xml version="1.0" encoding="utf-8"?>
<ax:ocx xmlns:ax="http://schemas.microsoft.com/office/2006/activeX" xmlns:r="http://schemas.openxmlformats.org/officeDocument/2006/relationships" ax:classid="{8BD21D40-EC42-11CE-9E0D-00AA006002F3}" ax:persistence="persistStreamInit" r:id="rId1"/>
</file>

<file path=xl/activeX/activeX204.xml><?xml version="1.0" encoding="utf-8"?>
<ax:ocx xmlns:ax="http://schemas.microsoft.com/office/2006/activeX" xmlns:r="http://schemas.openxmlformats.org/officeDocument/2006/relationships" ax:classid="{8BD21D40-EC42-11CE-9E0D-00AA006002F3}" ax:persistence="persistStreamInit" r:id="rId1"/>
</file>

<file path=xl/activeX/activeX205.xml><?xml version="1.0" encoding="utf-8"?>
<ax:ocx xmlns:ax="http://schemas.microsoft.com/office/2006/activeX" xmlns:r="http://schemas.openxmlformats.org/officeDocument/2006/relationships" ax:classid="{8BD21D50-EC42-11CE-9E0D-00AA006002F3}" ax:persistence="persistStreamInit" r:id="rId1"/>
</file>

<file path=xl/activeX/activeX206.xml><?xml version="1.0" encoding="utf-8"?>
<ax:ocx xmlns:ax="http://schemas.microsoft.com/office/2006/activeX" xmlns:r="http://schemas.openxmlformats.org/officeDocument/2006/relationships" ax:classid="{8BD21D50-EC42-11CE-9E0D-00AA006002F3}" ax:persistence="persistStreamInit" r:id="rId1"/>
</file>

<file path=xl/activeX/activeX207.xml><?xml version="1.0" encoding="utf-8"?>
<ax:ocx xmlns:ax="http://schemas.microsoft.com/office/2006/activeX" xmlns:r="http://schemas.openxmlformats.org/officeDocument/2006/relationships" ax:classid="{8BD21D50-EC42-11CE-9E0D-00AA006002F3}" ax:persistence="persistStreamInit" r:id="rId1"/>
</file>

<file path=xl/activeX/activeX208.xml><?xml version="1.0" encoding="utf-8"?>
<ax:ocx xmlns:ax="http://schemas.microsoft.com/office/2006/activeX" xmlns:r="http://schemas.openxmlformats.org/officeDocument/2006/relationships" ax:classid="{8BD21D50-EC42-11CE-9E0D-00AA006002F3}" ax:persistence="persistStreamInit" r:id="rId1"/>
</file>

<file path=xl/activeX/activeX209.xml><?xml version="1.0" encoding="utf-8"?>
<ax:ocx xmlns:ax="http://schemas.microsoft.com/office/2006/activeX" xmlns:r="http://schemas.openxmlformats.org/officeDocument/2006/relationships" ax:classid="{8BD21D40-EC42-11CE-9E0D-00AA006002F3}" ax:persistence="persistStreamInit" r:id="rId1"/>
</file>

<file path=xl/activeX/activeX210.xml><?xml version="1.0" encoding="utf-8"?>
<ax:ocx xmlns:ax="http://schemas.microsoft.com/office/2006/activeX" xmlns:r="http://schemas.openxmlformats.org/officeDocument/2006/relationships" ax:classid="{8BD21D50-EC42-11CE-9E0D-00AA006002F3}" ax:persistence="persistStreamInit" r:id="rId1"/>
</file>

<file path=xl/activeX/activeX211.xml><?xml version="1.0" encoding="utf-8"?>
<ax:ocx xmlns:ax="http://schemas.microsoft.com/office/2006/activeX" xmlns:r="http://schemas.openxmlformats.org/officeDocument/2006/relationships" ax:classid="{8BD21D50-EC42-11CE-9E0D-00AA006002F3}" ax:persistence="persistStreamInit" r:id="rId1"/>
</file>

<file path=xl/activeX/activeX212.xml><?xml version="1.0" encoding="utf-8"?>
<ax:ocx xmlns:ax="http://schemas.microsoft.com/office/2006/activeX" xmlns:r="http://schemas.openxmlformats.org/officeDocument/2006/relationships" ax:classid="{8BD21D50-EC42-11CE-9E0D-00AA006002F3}" ax:persistence="persistStreamInit" r:id="rId1"/>
</file>

<file path=xl/activeX/activeX213.xml><?xml version="1.0" encoding="utf-8"?>
<ax:ocx xmlns:ax="http://schemas.microsoft.com/office/2006/activeX" xmlns:r="http://schemas.openxmlformats.org/officeDocument/2006/relationships" ax:classid="{8BD21D50-EC42-11CE-9E0D-00AA006002F3}" ax:persistence="persistStreamInit" r:id="rId1"/>
</file>

<file path=xl/activeX/activeX214.xml><?xml version="1.0" encoding="utf-8"?>
<ax:ocx xmlns:ax="http://schemas.microsoft.com/office/2006/activeX" xmlns:r="http://schemas.openxmlformats.org/officeDocument/2006/relationships" ax:classid="{8BD21D50-EC42-11CE-9E0D-00AA006002F3}" ax:persistence="persistStreamInit" r:id="rId1"/>
</file>

<file path=xl/activeX/activeX215.xml><?xml version="1.0" encoding="utf-8"?>
<ax:ocx xmlns:ax="http://schemas.microsoft.com/office/2006/activeX" xmlns:r="http://schemas.openxmlformats.org/officeDocument/2006/relationships" ax:classid="{8BD21D50-EC42-11CE-9E0D-00AA006002F3}" ax:persistence="persistStreamInit" r:id="rId1"/>
</file>

<file path=xl/activeX/activeX216.xml><?xml version="1.0" encoding="utf-8"?>
<ax:ocx xmlns:ax="http://schemas.microsoft.com/office/2006/activeX" xmlns:r="http://schemas.openxmlformats.org/officeDocument/2006/relationships" ax:classid="{8BD21D50-EC42-11CE-9E0D-00AA006002F3}" ax:persistence="persistStreamInit" r:id="rId1"/>
</file>

<file path=xl/activeX/activeX217.xml><?xml version="1.0" encoding="utf-8"?>
<ax:ocx xmlns:ax="http://schemas.microsoft.com/office/2006/activeX" xmlns:r="http://schemas.openxmlformats.org/officeDocument/2006/relationships" ax:classid="{8BD21D50-EC42-11CE-9E0D-00AA006002F3}" ax:persistence="persistStreamInit" r:id="rId1"/>
</file>

<file path=xl/activeX/activeX218.xml><?xml version="1.0" encoding="utf-8"?>
<ax:ocx xmlns:ax="http://schemas.microsoft.com/office/2006/activeX" xmlns:r="http://schemas.openxmlformats.org/officeDocument/2006/relationships" ax:classid="{8BD21D50-EC42-11CE-9E0D-00AA006002F3}" ax:persistence="persistStreamInit" r:id="rId1"/>
</file>

<file path=xl/activeX/activeX219.xml><?xml version="1.0" encoding="utf-8"?>
<ax:ocx xmlns:ax="http://schemas.microsoft.com/office/2006/activeX" xmlns:r="http://schemas.openxmlformats.org/officeDocument/2006/relationships" ax:classid="{8BD21D50-EC42-11CE-9E0D-00AA006002F3}" ax:persistence="persistStreamInit" r:id="rId1"/>
</file>

<file path=xl/activeX/activeX220.xml><?xml version="1.0" encoding="utf-8"?>
<ax:ocx xmlns:ax="http://schemas.microsoft.com/office/2006/activeX" xmlns:r="http://schemas.openxmlformats.org/officeDocument/2006/relationships" ax:classid="{8BD21D50-EC42-11CE-9E0D-00AA006002F3}" ax:persistence="persistStreamInit" r:id="rId1"/>
</file>

<file path=xl/activeX/activeX221.xml><?xml version="1.0" encoding="utf-8"?>
<ax:ocx xmlns:ax="http://schemas.microsoft.com/office/2006/activeX" xmlns:r="http://schemas.openxmlformats.org/officeDocument/2006/relationships" ax:classid="{8BD21D50-EC42-11CE-9E0D-00AA006002F3}" ax:persistence="persistStreamInit" r:id="rId1"/>
</file>

<file path=xl/activeX/activeX222.xml><?xml version="1.0" encoding="utf-8"?>
<ax:ocx xmlns:ax="http://schemas.microsoft.com/office/2006/activeX" xmlns:r="http://schemas.openxmlformats.org/officeDocument/2006/relationships" ax:classid="{8BD21D50-EC42-11CE-9E0D-00AA006002F3}" ax:persistence="persistStreamInit" r:id="rId1"/>
</file>

<file path=xl/activeX/activeX223.xml><?xml version="1.0" encoding="utf-8"?>
<ax:ocx xmlns:ax="http://schemas.microsoft.com/office/2006/activeX" xmlns:r="http://schemas.openxmlformats.org/officeDocument/2006/relationships" ax:classid="{8BD21D50-EC42-11CE-9E0D-00AA006002F3}" ax:persistence="persistStreamInit" r:id="rId1"/>
</file>

<file path=xl/activeX/activeX224.xml><?xml version="1.0" encoding="utf-8"?>
<ax:ocx xmlns:ax="http://schemas.microsoft.com/office/2006/activeX" xmlns:r="http://schemas.openxmlformats.org/officeDocument/2006/relationships" ax:classid="{8BD21D50-EC42-11CE-9E0D-00AA006002F3}" ax:persistence="persistStreamInit" r:id="rId1"/>
</file>

<file path=xl/activeX/activeX225.xml><?xml version="1.0" encoding="utf-8"?>
<ax:ocx xmlns:ax="http://schemas.microsoft.com/office/2006/activeX" xmlns:r="http://schemas.openxmlformats.org/officeDocument/2006/relationships" ax:classid="{8BD21D50-EC42-11CE-9E0D-00AA006002F3}" ax:persistence="persistStreamInit" r:id="rId1"/>
</file>

<file path=xl/activeX/activeX226.xml><?xml version="1.0" encoding="utf-8"?>
<ax:ocx xmlns:ax="http://schemas.microsoft.com/office/2006/activeX" xmlns:r="http://schemas.openxmlformats.org/officeDocument/2006/relationships" ax:classid="{8BD21D50-EC42-11CE-9E0D-00AA006002F3}" ax:persistence="persistStreamInit" r:id="rId1"/>
</file>

<file path=xl/activeX/activeX227.xml><?xml version="1.0" encoding="utf-8"?>
<ax:ocx xmlns:ax="http://schemas.microsoft.com/office/2006/activeX" xmlns:r="http://schemas.openxmlformats.org/officeDocument/2006/relationships" ax:classid="{8BD21D50-EC42-11CE-9E0D-00AA006002F3}" ax:persistence="persistStreamInit" r:id="rId1"/>
</file>

<file path=xl/activeX/activeX228.xml><?xml version="1.0" encoding="utf-8"?>
<ax:ocx xmlns:ax="http://schemas.microsoft.com/office/2006/activeX" xmlns:r="http://schemas.openxmlformats.org/officeDocument/2006/relationships" ax:classid="{8BD21D50-EC42-11CE-9E0D-00AA006002F3}" ax:persistence="persistStreamInit" r:id="rId1"/>
</file>

<file path=xl/activeX/activeX229.xml><?xml version="1.0" encoding="utf-8"?>
<ax:ocx xmlns:ax="http://schemas.microsoft.com/office/2006/activeX" xmlns:r="http://schemas.openxmlformats.org/officeDocument/2006/relationships" ax:classid="{8BD21D50-EC42-11CE-9E0D-00AA006002F3}" ax:persistence="persistStreamInit" r:id="rId1"/>
</file>

<file path=xl/activeX/activeX230.xml><?xml version="1.0" encoding="utf-8"?>
<ax:ocx xmlns:ax="http://schemas.microsoft.com/office/2006/activeX" xmlns:r="http://schemas.openxmlformats.org/officeDocument/2006/relationships" ax:classid="{8BD21D50-EC42-11CE-9E0D-00AA006002F3}" ax:persistence="persistStreamInit" r:id="rId1"/>
</file>

<file path=xl/activeX/activeX231.xml><?xml version="1.0" encoding="utf-8"?>
<ax:ocx xmlns:ax="http://schemas.microsoft.com/office/2006/activeX" xmlns:r="http://schemas.openxmlformats.org/officeDocument/2006/relationships" ax:classid="{8BD21D50-EC42-11CE-9E0D-00AA006002F3}" ax:persistence="persistStreamInit" r:id="rId1"/>
</file>

<file path=xl/activeX/activeX232.xml><?xml version="1.0" encoding="utf-8"?>
<ax:ocx xmlns:ax="http://schemas.microsoft.com/office/2006/activeX" xmlns:r="http://schemas.openxmlformats.org/officeDocument/2006/relationships" ax:classid="{8BD21D50-EC42-11CE-9E0D-00AA006002F3}" ax:persistence="persistStreamInit" r:id="rId1"/>
</file>

<file path=xl/activeX/activeX233.xml><?xml version="1.0" encoding="utf-8"?>
<ax:ocx xmlns:ax="http://schemas.microsoft.com/office/2006/activeX" xmlns:r="http://schemas.openxmlformats.org/officeDocument/2006/relationships" ax:classid="{8BD21D50-EC42-11CE-9E0D-00AA006002F3}" ax:persistence="persistStreamInit" r:id="rId1"/>
</file>

<file path=xl/activeX/activeX234.xml><?xml version="1.0" encoding="utf-8"?>
<ax:ocx xmlns:ax="http://schemas.microsoft.com/office/2006/activeX" xmlns:r="http://schemas.openxmlformats.org/officeDocument/2006/relationships" ax:classid="{8BD21D50-EC42-11CE-9E0D-00AA006002F3}" ax:persistence="persistStreamInit" r:id="rId1"/>
</file>

<file path=xl/activeX/activeX235.xml><?xml version="1.0" encoding="utf-8"?>
<ax:ocx xmlns:ax="http://schemas.microsoft.com/office/2006/activeX" xmlns:r="http://schemas.openxmlformats.org/officeDocument/2006/relationships" ax:classid="{8BD21D50-EC42-11CE-9E0D-00AA006002F3}" ax:persistence="persistStreamInit" r:id="rId1"/>
</file>

<file path=xl/activeX/activeX236.xml><?xml version="1.0" encoding="utf-8"?>
<ax:ocx xmlns:ax="http://schemas.microsoft.com/office/2006/activeX" xmlns:r="http://schemas.openxmlformats.org/officeDocument/2006/relationships" ax:classid="{8BD21D50-EC42-11CE-9E0D-00AA006002F3}" ax:persistence="persistStreamInit" r:id="rId1"/>
</file>

<file path=xl/activeX/activeX237.xml><?xml version="1.0" encoding="utf-8"?>
<ax:ocx xmlns:ax="http://schemas.microsoft.com/office/2006/activeX" xmlns:r="http://schemas.openxmlformats.org/officeDocument/2006/relationships" ax:classid="{8BD21D50-EC42-11CE-9E0D-00AA006002F3}" ax:persistence="persistStreamInit" r:id="rId1"/>
</file>

<file path=xl/activeX/activeX238.xml><?xml version="1.0" encoding="utf-8"?>
<ax:ocx xmlns:ax="http://schemas.microsoft.com/office/2006/activeX" xmlns:r="http://schemas.openxmlformats.org/officeDocument/2006/relationships" ax:classid="{8BD21D50-EC42-11CE-9E0D-00AA006002F3}" ax:persistence="persistStreamInit" r:id="rId1"/>
</file>

<file path=xl/activeX/activeX239.xml><?xml version="1.0" encoding="utf-8"?>
<ax:ocx xmlns:ax="http://schemas.microsoft.com/office/2006/activeX" xmlns:r="http://schemas.openxmlformats.org/officeDocument/2006/relationships" ax:classid="{8BD21D50-EC42-11CE-9E0D-00AA006002F3}" ax:persistence="persistStreamInit" r:id="rId1"/>
</file>

<file path=xl/activeX/activeX240.xml><?xml version="1.0" encoding="utf-8"?>
<ax:ocx xmlns:ax="http://schemas.microsoft.com/office/2006/activeX" xmlns:r="http://schemas.openxmlformats.org/officeDocument/2006/relationships" ax:classid="{8BD21D40-EC42-11CE-9E0D-00AA006002F3}" ax:persistence="persistStreamInit" r:id="rId1"/>
</file>

<file path=xl/activeX/activeX241.xml><?xml version="1.0" encoding="utf-8"?>
<ax:ocx xmlns:ax="http://schemas.microsoft.com/office/2006/activeX" xmlns:r="http://schemas.openxmlformats.org/officeDocument/2006/relationships" ax:classid="{8BD21D40-EC42-11CE-9E0D-00AA006002F3}" ax:persistence="persistStreamInit" r:id="rId1"/>
</file>

<file path=xl/activeX/activeX242.xml><?xml version="1.0" encoding="utf-8"?>
<ax:ocx xmlns:ax="http://schemas.microsoft.com/office/2006/activeX" xmlns:r="http://schemas.openxmlformats.org/officeDocument/2006/relationships" ax:classid="{8BD21D40-EC42-11CE-9E0D-00AA006002F3}" ax:persistence="persistStreamInit" r:id="rId1"/>
</file>

<file path=xl/activeX/activeX243.xml><?xml version="1.0" encoding="utf-8"?>
<ax:ocx xmlns:ax="http://schemas.microsoft.com/office/2006/activeX" xmlns:r="http://schemas.openxmlformats.org/officeDocument/2006/relationships" ax:classid="{8BD21D50-EC42-11CE-9E0D-00AA006002F3}" ax:persistence="persistStreamInit" r:id="rId1"/>
</file>

<file path=xl/activeX/activeX244.xml><?xml version="1.0" encoding="utf-8"?>
<ax:ocx xmlns:ax="http://schemas.microsoft.com/office/2006/activeX" xmlns:r="http://schemas.openxmlformats.org/officeDocument/2006/relationships" ax:classid="{8BD21D50-EC42-11CE-9E0D-00AA006002F3}" ax:persistence="persistStreamInit" r:id="rId1"/>
</file>

<file path=xl/activeX/activeX245.xml><?xml version="1.0" encoding="utf-8"?>
<ax:ocx xmlns:ax="http://schemas.microsoft.com/office/2006/activeX" xmlns:r="http://schemas.openxmlformats.org/officeDocument/2006/relationships" ax:classid="{8BD21D50-EC42-11CE-9E0D-00AA006002F3}" ax:persistence="persistStreamInit" r:id="rId1"/>
</file>

<file path=xl/activeX/activeX246.xml><?xml version="1.0" encoding="utf-8"?>
<ax:ocx xmlns:ax="http://schemas.microsoft.com/office/2006/activeX" xmlns:r="http://schemas.openxmlformats.org/officeDocument/2006/relationships" ax:classid="{8BD21D50-EC42-11CE-9E0D-00AA006002F3}" ax:persistence="persistStreamInit" r:id="rId1"/>
</file>

<file path=xl/activeX/activeX247.xml><?xml version="1.0" encoding="utf-8"?>
<ax:ocx xmlns:ax="http://schemas.microsoft.com/office/2006/activeX" xmlns:r="http://schemas.openxmlformats.org/officeDocument/2006/relationships" ax:classid="{8BD21D50-EC42-11CE-9E0D-00AA006002F3}" ax:persistence="persistStreamInit" r:id="rId1"/>
</file>

<file path=xl/activeX/activeX248.xml><?xml version="1.0" encoding="utf-8"?>
<ax:ocx xmlns:ax="http://schemas.microsoft.com/office/2006/activeX" xmlns:r="http://schemas.openxmlformats.org/officeDocument/2006/relationships" ax:classid="{8BD21D40-EC42-11CE-9E0D-00AA006002F3}" ax:persistence="persistStreamInit" r:id="rId1"/>
</file>

<file path=xl/activeX/activeX249.xml><?xml version="1.0" encoding="utf-8"?>
<ax:ocx xmlns:ax="http://schemas.microsoft.com/office/2006/activeX" xmlns:r="http://schemas.openxmlformats.org/officeDocument/2006/relationships" ax:classid="{8BD21D50-EC42-11CE-9E0D-00AA006002F3}" ax:persistence="persistStreamInit" r:id="rId1"/>
</file>

<file path=xl/activeX/activeX250.xml><?xml version="1.0" encoding="utf-8"?>
<ax:ocx xmlns:ax="http://schemas.microsoft.com/office/2006/activeX" xmlns:r="http://schemas.openxmlformats.org/officeDocument/2006/relationships" ax:classid="{8BD21D50-EC42-11CE-9E0D-00AA006002F3}" ax:persistence="persistStreamInit" r:id="rId1"/>
</file>

<file path=xl/activeX/activeX251.xml><?xml version="1.0" encoding="utf-8"?>
<ax:ocx xmlns:ax="http://schemas.microsoft.com/office/2006/activeX" xmlns:r="http://schemas.openxmlformats.org/officeDocument/2006/relationships" ax:classid="{8BD21D50-EC42-11CE-9E0D-00AA006002F3}" ax:persistence="persistStreamInit" r:id="rId1"/>
</file>

<file path=xl/activeX/activeX252.xml><?xml version="1.0" encoding="utf-8"?>
<ax:ocx xmlns:ax="http://schemas.microsoft.com/office/2006/activeX" xmlns:r="http://schemas.openxmlformats.org/officeDocument/2006/relationships" ax:classid="{8BD21D50-EC42-11CE-9E0D-00AA006002F3}" ax:persistence="persistStreamInit" r:id="rId1"/>
</file>

<file path=xl/activeX/activeX253.xml><?xml version="1.0" encoding="utf-8"?>
<ax:ocx xmlns:ax="http://schemas.microsoft.com/office/2006/activeX" xmlns:r="http://schemas.openxmlformats.org/officeDocument/2006/relationships" ax:classid="{8BD21D50-EC42-11CE-9E0D-00AA006002F3}" ax:persistence="persistStreamInit" r:id="rId1"/>
</file>

<file path=xl/activeX/activeX254.xml><?xml version="1.0" encoding="utf-8"?>
<ax:ocx xmlns:ax="http://schemas.microsoft.com/office/2006/activeX" xmlns:r="http://schemas.openxmlformats.org/officeDocument/2006/relationships" ax:classid="{8BD21D50-EC42-11CE-9E0D-00AA006002F3}" ax:persistence="persistStreamInit" r:id="rId1"/>
</file>

<file path=xl/activeX/activeX255.xml><?xml version="1.0" encoding="utf-8"?>
<ax:ocx xmlns:ax="http://schemas.microsoft.com/office/2006/activeX" xmlns:r="http://schemas.openxmlformats.org/officeDocument/2006/relationships" ax:classid="{8BD21D50-EC42-11CE-9E0D-00AA006002F3}" ax:persistence="persistStreamInit" r:id="rId1"/>
</file>

<file path=xl/activeX/activeX256.xml><?xml version="1.0" encoding="utf-8"?>
<ax:ocx xmlns:ax="http://schemas.microsoft.com/office/2006/activeX" xmlns:r="http://schemas.openxmlformats.org/officeDocument/2006/relationships" ax:classid="{8BD21D50-EC42-11CE-9E0D-00AA006002F3}" ax:persistence="persistStreamInit" r:id="rId1"/>
</file>

<file path=xl/activeX/activeX257.xml><?xml version="1.0" encoding="utf-8"?>
<ax:ocx xmlns:ax="http://schemas.microsoft.com/office/2006/activeX" xmlns:r="http://schemas.openxmlformats.org/officeDocument/2006/relationships" ax:classid="{8BD21D50-EC42-11CE-9E0D-00AA006002F3}" ax:persistence="persistStreamInit" r:id="rId1"/>
</file>

<file path=xl/activeX/activeX258.xml><?xml version="1.0" encoding="utf-8"?>
<ax:ocx xmlns:ax="http://schemas.microsoft.com/office/2006/activeX" xmlns:r="http://schemas.openxmlformats.org/officeDocument/2006/relationships" ax:classid="{8BD21D50-EC42-11CE-9E0D-00AA006002F3}" ax:persistence="persistStreamInit" r:id="rId1"/>
</file>

<file path=xl/activeX/activeX259.xml><?xml version="1.0" encoding="utf-8"?>
<ax:ocx xmlns:ax="http://schemas.microsoft.com/office/2006/activeX" xmlns:r="http://schemas.openxmlformats.org/officeDocument/2006/relationships" ax:classid="{8BD21D50-EC42-11CE-9E0D-00AA006002F3}" ax:persistence="persistStreamInit" r:id="rId1"/>
</file>

<file path=xl/activeX/activeX260.xml><?xml version="1.0" encoding="utf-8"?>
<ax:ocx xmlns:ax="http://schemas.microsoft.com/office/2006/activeX" xmlns:r="http://schemas.openxmlformats.org/officeDocument/2006/relationships" ax:classid="{8BD21D50-EC42-11CE-9E0D-00AA006002F3}" ax:persistence="persistStreamInit" r:id="rId1"/>
</file>

<file path=xl/activeX/activeX261.xml><?xml version="1.0" encoding="utf-8"?>
<ax:ocx xmlns:ax="http://schemas.microsoft.com/office/2006/activeX" xmlns:r="http://schemas.openxmlformats.org/officeDocument/2006/relationships" ax:classid="{8BD21D50-EC42-11CE-9E0D-00AA006002F3}" ax:persistence="persistStreamInit" r:id="rId1"/>
</file>

<file path=xl/activeX/activeX262.xml><?xml version="1.0" encoding="utf-8"?>
<ax:ocx xmlns:ax="http://schemas.microsoft.com/office/2006/activeX" xmlns:r="http://schemas.openxmlformats.org/officeDocument/2006/relationships" ax:classid="{8BD21D40-EC42-11CE-9E0D-00AA006002F3}" ax:persistence="persistStreamInit" r:id="rId1"/>
</file>

<file path=xl/activeX/activeX263.xml><?xml version="1.0" encoding="utf-8"?>
<ax:ocx xmlns:ax="http://schemas.microsoft.com/office/2006/activeX" xmlns:r="http://schemas.openxmlformats.org/officeDocument/2006/relationships" ax:classid="{8BD21D40-EC42-11CE-9E0D-00AA006002F3}" ax:persistence="persistStreamInit" r:id="rId1"/>
</file>

<file path=xl/activeX/activeX264.xml><?xml version="1.0" encoding="utf-8"?>
<ax:ocx xmlns:ax="http://schemas.microsoft.com/office/2006/activeX" xmlns:r="http://schemas.openxmlformats.org/officeDocument/2006/relationships" ax:classid="{8BD21D40-EC42-11CE-9E0D-00AA006002F3}" ax:persistence="persistStreamInit" r:id="rId1"/>
</file>

<file path=xl/activeX/activeX265.xml><?xml version="1.0" encoding="utf-8"?>
<ax:ocx xmlns:ax="http://schemas.microsoft.com/office/2006/activeX" xmlns:r="http://schemas.openxmlformats.org/officeDocument/2006/relationships" ax:classid="{8BD21D40-EC42-11CE-9E0D-00AA006002F3}" ax:persistence="persistStreamInit" r:id="rId1"/>
</file>

<file path=xl/activeX/activeX266.xml><?xml version="1.0" encoding="utf-8"?>
<ax:ocx xmlns:ax="http://schemas.microsoft.com/office/2006/activeX" xmlns:r="http://schemas.openxmlformats.org/officeDocument/2006/relationships" ax:classid="{8BD21D40-EC42-11CE-9E0D-00AA006002F3}" ax:persistence="persistStreamInit" r:id="rId1"/>
</file>

<file path=xl/activeX/activeX267.xml><?xml version="1.0" encoding="utf-8"?>
<ax:ocx xmlns:ax="http://schemas.microsoft.com/office/2006/activeX" xmlns:r="http://schemas.openxmlformats.org/officeDocument/2006/relationships" ax:classid="{8BD21D40-EC42-11CE-9E0D-00AA006002F3}" ax:persistence="persistStreamInit" r:id="rId1"/>
</file>

<file path=xl/activeX/activeX268.xml><?xml version="1.0" encoding="utf-8"?>
<ax:ocx xmlns:ax="http://schemas.microsoft.com/office/2006/activeX" xmlns:r="http://schemas.openxmlformats.org/officeDocument/2006/relationships" ax:classid="{8BD21D50-EC42-11CE-9E0D-00AA006002F3}" ax:persistence="persistStreamInit" r:id="rId1"/>
</file>

<file path=xl/activeX/activeX269.xml><?xml version="1.0" encoding="utf-8"?>
<ax:ocx xmlns:ax="http://schemas.microsoft.com/office/2006/activeX" xmlns:r="http://schemas.openxmlformats.org/officeDocument/2006/relationships" ax:classid="{8BD21D50-EC42-11CE-9E0D-00AA006002F3}" ax:persistence="persistStreamInit" r:id="rId1"/>
</file>

<file path=xl/activeX/activeX270.xml><?xml version="1.0" encoding="utf-8"?>
<ax:ocx xmlns:ax="http://schemas.microsoft.com/office/2006/activeX" xmlns:r="http://schemas.openxmlformats.org/officeDocument/2006/relationships" ax:classid="{8BD21D50-EC42-11CE-9E0D-00AA006002F3}" ax:persistence="persistStreamInit" r:id="rId1"/>
</file>

<file path=xl/activeX/activeX271.xml><?xml version="1.0" encoding="utf-8"?>
<ax:ocx xmlns:ax="http://schemas.microsoft.com/office/2006/activeX" xmlns:r="http://schemas.openxmlformats.org/officeDocument/2006/relationships" ax:classid="{8BD21D50-EC42-11CE-9E0D-00AA006002F3}" ax:persistence="persistStreamInit" r:id="rId1"/>
</file>

<file path=xl/activeX/activeX272.xml><?xml version="1.0" encoding="utf-8"?>
<ax:ocx xmlns:ax="http://schemas.microsoft.com/office/2006/activeX" xmlns:r="http://schemas.openxmlformats.org/officeDocument/2006/relationships" ax:classid="{8BD21D40-EC42-11CE-9E0D-00AA006002F3}" ax:persistence="persistStreamInit" r:id="rId1"/>
</file>

<file path=xl/activeX/activeX273.xml><?xml version="1.0" encoding="utf-8"?>
<ax:ocx xmlns:ax="http://schemas.microsoft.com/office/2006/activeX" xmlns:r="http://schemas.openxmlformats.org/officeDocument/2006/relationships" ax:classid="{8BD21D40-EC42-11CE-9E0D-00AA006002F3}" ax:persistence="persistStreamInit" r:id="rId1"/>
</file>

<file path=xl/activeX/activeX274.xml><?xml version="1.0" encoding="utf-8"?>
<ax:ocx xmlns:ax="http://schemas.microsoft.com/office/2006/activeX" xmlns:r="http://schemas.openxmlformats.org/officeDocument/2006/relationships" ax:classid="{8BD21D50-EC42-11CE-9E0D-00AA006002F3}" ax:persistence="persistStreamInit" r:id="rId1"/>
</file>

<file path=xl/activeX/activeX275.xml><?xml version="1.0" encoding="utf-8"?>
<ax:ocx xmlns:ax="http://schemas.microsoft.com/office/2006/activeX" xmlns:r="http://schemas.openxmlformats.org/officeDocument/2006/relationships" ax:classid="{8BD21D50-EC42-11CE-9E0D-00AA006002F3}" ax:persistence="persistStreamInit" r:id="rId1"/>
</file>

<file path=xl/activeX/activeX276.xml><?xml version="1.0" encoding="utf-8"?>
<ax:ocx xmlns:ax="http://schemas.microsoft.com/office/2006/activeX" xmlns:r="http://schemas.openxmlformats.org/officeDocument/2006/relationships" ax:classid="{8BD21D40-EC42-11CE-9E0D-00AA006002F3}" ax:persistence="persistStreamInit" r:id="rId1"/>
</file>

<file path=xl/activeX/activeX277.xml><?xml version="1.0" encoding="utf-8"?>
<ax:ocx xmlns:ax="http://schemas.microsoft.com/office/2006/activeX" xmlns:r="http://schemas.openxmlformats.org/officeDocument/2006/relationships" ax:classid="{8BD21D40-EC42-11CE-9E0D-00AA006002F3}" ax:persistence="persistStreamInit" r:id="rId1"/>
</file>

<file path=xl/activeX/activeX278.xml><?xml version="1.0" encoding="utf-8"?>
<ax:ocx xmlns:ax="http://schemas.microsoft.com/office/2006/activeX" xmlns:r="http://schemas.openxmlformats.org/officeDocument/2006/relationships" ax:classid="{8BD21D40-EC42-11CE-9E0D-00AA006002F3}" ax:persistence="persistStreamInit" r:id="rId1"/>
</file>

<file path=xl/activeX/activeX279.xml><?xml version="1.0" encoding="utf-8"?>
<ax:ocx xmlns:ax="http://schemas.microsoft.com/office/2006/activeX" xmlns:r="http://schemas.openxmlformats.org/officeDocument/2006/relationships" ax:classid="{8BD21D50-EC42-11CE-9E0D-00AA006002F3}" ax:persistence="persistStreamInit" r:id="rId1"/>
</file>

<file path=xl/activeX/activeX280.xml><?xml version="1.0" encoding="utf-8"?>
<ax:ocx xmlns:ax="http://schemas.microsoft.com/office/2006/activeX" xmlns:r="http://schemas.openxmlformats.org/officeDocument/2006/relationships" ax:classid="{8BD21D50-EC42-11CE-9E0D-00AA006002F3}" ax:persistence="persistStreamInit" r:id="rId1"/>
</file>

<file path=xl/activeX/activeX281.xml><?xml version="1.0" encoding="utf-8"?>
<ax:ocx xmlns:ax="http://schemas.microsoft.com/office/2006/activeX" xmlns:r="http://schemas.openxmlformats.org/officeDocument/2006/relationships" ax:classid="{8BD21D50-EC42-11CE-9E0D-00AA006002F3}" ax:persistence="persistStreamInit" r:id="rId1"/>
</file>

<file path=xl/activeX/activeX282.xml><?xml version="1.0" encoding="utf-8"?>
<ax:ocx xmlns:ax="http://schemas.microsoft.com/office/2006/activeX" xmlns:r="http://schemas.openxmlformats.org/officeDocument/2006/relationships" ax:classid="{8BD21D50-EC42-11CE-9E0D-00AA006002F3}" ax:persistence="persistStreamInit" r:id="rId1"/>
</file>

<file path=xl/activeX/activeX283.xml><?xml version="1.0" encoding="utf-8"?>
<ax:ocx xmlns:ax="http://schemas.microsoft.com/office/2006/activeX" xmlns:r="http://schemas.openxmlformats.org/officeDocument/2006/relationships" ax:classid="{8BD21D50-EC42-11CE-9E0D-00AA006002F3}" ax:persistence="persistStreamInit" r:id="rId1"/>
</file>

<file path=xl/activeX/activeX284.xml><?xml version="1.0" encoding="utf-8"?>
<ax:ocx xmlns:ax="http://schemas.microsoft.com/office/2006/activeX" xmlns:r="http://schemas.openxmlformats.org/officeDocument/2006/relationships" ax:classid="{8BD21D50-EC42-11CE-9E0D-00AA006002F3}" ax:persistence="persistStreamInit" r:id="rId1"/>
</file>

<file path=xl/activeX/activeX285.xml><?xml version="1.0" encoding="utf-8"?>
<ax:ocx xmlns:ax="http://schemas.microsoft.com/office/2006/activeX" xmlns:r="http://schemas.openxmlformats.org/officeDocument/2006/relationships" ax:classid="{8BD21D50-EC42-11CE-9E0D-00AA006002F3}" ax:persistence="persistStreamInit" r:id="rId1"/>
</file>

<file path=xl/activeX/activeX286.xml><?xml version="1.0" encoding="utf-8"?>
<ax:ocx xmlns:ax="http://schemas.microsoft.com/office/2006/activeX" xmlns:r="http://schemas.openxmlformats.org/officeDocument/2006/relationships" ax:classid="{8BD21D50-EC42-11CE-9E0D-00AA006002F3}" ax:persistence="persistStreamInit" r:id="rId1"/>
</file>

<file path=xl/activeX/activeX287.xml><?xml version="1.0" encoding="utf-8"?>
<ax:ocx xmlns:ax="http://schemas.microsoft.com/office/2006/activeX" xmlns:r="http://schemas.openxmlformats.org/officeDocument/2006/relationships" ax:classid="{8BD21D50-EC42-11CE-9E0D-00AA006002F3}" ax:persistence="persistStreamInit" r:id="rId1"/>
</file>

<file path=xl/activeX/activeX288.xml><?xml version="1.0" encoding="utf-8"?>
<ax:ocx xmlns:ax="http://schemas.microsoft.com/office/2006/activeX" xmlns:r="http://schemas.openxmlformats.org/officeDocument/2006/relationships" ax:classid="{8BD21D50-EC42-11CE-9E0D-00AA006002F3}" ax:persistence="persistStreamInit" r:id="rId1"/>
</file>

<file path=xl/activeX/activeX289.xml><?xml version="1.0" encoding="utf-8"?>
<ax:ocx xmlns:ax="http://schemas.microsoft.com/office/2006/activeX" xmlns:r="http://schemas.openxmlformats.org/officeDocument/2006/relationships" ax:classid="{8BD21D50-EC42-11CE-9E0D-00AA006002F3}" ax:persistence="persistStreamInit" r:id="rId1"/>
</file>

<file path=xl/activeX/activeX290.xml><?xml version="1.0" encoding="utf-8"?>
<ax:ocx xmlns:ax="http://schemas.microsoft.com/office/2006/activeX" xmlns:r="http://schemas.openxmlformats.org/officeDocument/2006/relationships" ax:classid="{8BD21D50-EC42-11CE-9E0D-00AA006002F3}" ax:persistence="persistStreamInit" r:id="rId1"/>
</file>

<file path=xl/activeX/activeX291.xml><?xml version="1.0" encoding="utf-8"?>
<ax:ocx xmlns:ax="http://schemas.microsoft.com/office/2006/activeX" xmlns:r="http://schemas.openxmlformats.org/officeDocument/2006/relationships" ax:classid="{8BD21D50-EC42-11CE-9E0D-00AA006002F3}" ax:persistence="persistStreamInit" r:id="rId1"/>
</file>

<file path=xl/activeX/activeX292.xml><?xml version="1.0" encoding="utf-8"?>
<ax:ocx xmlns:ax="http://schemas.microsoft.com/office/2006/activeX" xmlns:r="http://schemas.openxmlformats.org/officeDocument/2006/relationships" ax:classid="{8BD21D50-EC42-11CE-9E0D-00AA006002F3}" ax:persistence="persistStreamInit" r:id="rId1"/>
</file>

<file path=xl/activeX/activeX293.xml><?xml version="1.0" encoding="utf-8"?>
<ax:ocx xmlns:ax="http://schemas.microsoft.com/office/2006/activeX" xmlns:r="http://schemas.openxmlformats.org/officeDocument/2006/relationships" ax:classid="{8BD21D50-EC42-11CE-9E0D-00AA006002F3}" ax:persistence="persistStreamInit" r:id="rId1"/>
</file>

<file path=xl/activeX/activeX294.xml><?xml version="1.0" encoding="utf-8"?>
<ax:ocx xmlns:ax="http://schemas.microsoft.com/office/2006/activeX" xmlns:r="http://schemas.openxmlformats.org/officeDocument/2006/relationships" ax:classid="{8BD21D40-EC42-11CE-9E0D-00AA006002F3}" ax:persistence="persistStreamInit" r:id="rId1"/>
</file>

<file path=xl/activeX/activeX295.xml><?xml version="1.0" encoding="utf-8"?>
<ax:ocx xmlns:ax="http://schemas.microsoft.com/office/2006/activeX" xmlns:r="http://schemas.openxmlformats.org/officeDocument/2006/relationships" ax:classid="{8BD21D40-EC42-11CE-9E0D-00AA006002F3}" ax:persistence="persistStreamInit" r:id="rId1"/>
</file>

<file path=xl/activeX/activeX296.xml><?xml version="1.0" encoding="utf-8"?>
<ax:ocx xmlns:ax="http://schemas.microsoft.com/office/2006/activeX" xmlns:r="http://schemas.openxmlformats.org/officeDocument/2006/relationships" ax:classid="{8BD21D50-EC42-11CE-9E0D-00AA006002F3}" ax:persistence="persistStreamInit" r:id="rId1"/>
</file>

<file path=xl/activeX/activeX297.xml><?xml version="1.0" encoding="utf-8"?>
<ax:ocx xmlns:ax="http://schemas.microsoft.com/office/2006/activeX" xmlns:r="http://schemas.openxmlformats.org/officeDocument/2006/relationships" ax:classid="{8BD21D50-EC42-11CE-9E0D-00AA006002F3}" ax:persistence="persistStreamInit" r:id="rId1"/>
</file>

<file path=xl/activeX/activeX298.xml><?xml version="1.0" encoding="utf-8"?>
<ax:ocx xmlns:ax="http://schemas.microsoft.com/office/2006/activeX" xmlns:r="http://schemas.openxmlformats.org/officeDocument/2006/relationships" ax:classid="{8BD21D50-EC42-11CE-9E0D-00AA006002F3}" ax:persistence="persistStreamInit" r:id="rId1"/>
</file>

<file path=xl/activeX/activeX299.xml><?xml version="1.0" encoding="utf-8"?>
<ax:ocx xmlns:ax="http://schemas.microsoft.com/office/2006/activeX" xmlns:r="http://schemas.openxmlformats.org/officeDocument/2006/relationships" ax:classid="{8BD21D50-EC42-11CE-9E0D-00AA006002F3}" ax:persistence="persistStreamInit" r:id="rId1"/>
</file>

<file path=xl/activeX/activeX300.xml><?xml version="1.0" encoding="utf-8"?>
<ax:ocx xmlns:ax="http://schemas.microsoft.com/office/2006/activeX" xmlns:r="http://schemas.openxmlformats.org/officeDocument/2006/relationships" ax:classid="{8BD21D50-EC42-11CE-9E0D-00AA006002F3}" ax:persistence="persistStreamInit" r:id="rId1"/>
</file>

<file path=xl/activeX/activeX301.xml><?xml version="1.0" encoding="utf-8"?>
<ax:ocx xmlns:ax="http://schemas.microsoft.com/office/2006/activeX" xmlns:r="http://schemas.openxmlformats.org/officeDocument/2006/relationships" ax:classid="{8BD21D50-EC42-11CE-9E0D-00AA006002F3}" ax:persistence="persistStreamInit" r:id="rId1"/>
</file>

<file path=xl/activeX/activeX302.xml><?xml version="1.0" encoding="utf-8"?>
<ax:ocx xmlns:ax="http://schemas.microsoft.com/office/2006/activeX" xmlns:r="http://schemas.openxmlformats.org/officeDocument/2006/relationships" ax:classid="{8BD21D50-EC42-11CE-9E0D-00AA006002F3}" ax:persistence="persistStreamInit" r:id="rId1"/>
</file>

<file path=xl/activeX/activeX303.xml><?xml version="1.0" encoding="utf-8"?>
<ax:ocx xmlns:ax="http://schemas.microsoft.com/office/2006/activeX" xmlns:r="http://schemas.openxmlformats.org/officeDocument/2006/relationships" ax:classid="{8BD21D50-EC42-11CE-9E0D-00AA006002F3}" ax:persistence="persistStreamInit" r:id="rId1"/>
</file>

<file path=xl/activeX/activeX304.xml><?xml version="1.0" encoding="utf-8"?>
<ax:ocx xmlns:ax="http://schemas.microsoft.com/office/2006/activeX" xmlns:r="http://schemas.openxmlformats.org/officeDocument/2006/relationships" ax:classid="{8BD21D50-EC42-11CE-9E0D-00AA006002F3}" ax:persistence="persistStreamInit" r:id="rId1"/>
</file>

<file path=xl/activeX/activeX305.xml><?xml version="1.0" encoding="utf-8"?>
<ax:ocx xmlns:ax="http://schemas.microsoft.com/office/2006/activeX" xmlns:r="http://schemas.openxmlformats.org/officeDocument/2006/relationships" ax:classid="{8BD21D50-EC42-11CE-9E0D-00AA006002F3}" ax:persistence="persistStreamInit" r:id="rId1"/>
</file>

<file path=xl/activeX/activeX306.xml><?xml version="1.0" encoding="utf-8"?>
<ax:ocx xmlns:ax="http://schemas.microsoft.com/office/2006/activeX" xmlns:r="http://schemas.openxmlformats.org/officeDocument/2006/relationships" ax:classid="{8BD21D50-EC42-11CE-9E0D-00AA006002F3}" ax:persistence="persistStreamInit" r:id="rId1"/>
</file>

<file path=xl/activeX/activeX307.xml><?xml version="1.0" encoding="utf-8"?>
<ax:ocx xmlns:ax="http://schemas.microsoft.com/office/2006/activeX" xmlns:r="http://schemas.openxmlformats.org/officeDocument/2006/relationships" ax:classid="{8BD21D50-EC42-11CE-9E0D-00AA006002F3}" ax:persistence="persistStreamInit" r:id="rId1"/>
</file>

<file path=xl/activeX/activeX308.xml><?xml version="1.0" encoding="utf-8"?>
<ax:ocx xmlns:ax="http://schemas.microsoft.com/office/2006/activeX" xmlns:r="http://schemas.openxmlformats.org/officeDocument/2006/relationships" ax:classid="{8BD21D50-EC42-11CE-9E0D-00AA006002F3}" ax:persistence="persistStreamInit" r:id="rId1"/>
</file>

<file path=xl/activeX/activeX309.xml><?xml version="1.0" encoding="utf-8"?>
<ax:ocx xmlns:ax="http://schemas.microsoft.com/office/2006/activeX" xmlns:r="http://schemas.openxmlformats.org/officeDocument/2006/relationships" ax:classid="{D7053240-CE69-11CD-A777-00DD01143C57}" ax:persistence="persistStreamInit" r:id="rId1"/>
</file>

<file path=xl/activeX/activeX310.xml><?xml version="1.0" encoding="utf-8"?>
<ax:ocx xmlns:ax="http://schemas.microsoft.com/office/2006/activeX" xmlns:r="http://schemas.openxmlformats.org/officeDocument/2006/relationships" ax:classid="{8BD21D40-EC42-11CE-9E0D-00AA006002F3}" ax:persistence="persistStreamInit" r:id="rId1"/>
</file>

<file path=xl/activeX/activeX311.xml><?xml version="1.0" encoding="utf-8"?>
<ax:ocx xmlns:ax="http://schemas.microsoft.com/office/2006/activeX" xmlns:r="http://schemas.openxmlformats.org/officeDocument/2006/relationships" ax:classid="{8BD21D40-EC42-11CE-9E0D-00AA006002F3}" ax:persistence="persistStreamInit" r:id="rId1"/>
</file>

<file path=xl/activeX/activeX312.xml><?xml version="1.0" encoding="utf-8"?>
<ax:ocx xmlns:ax="http://schemas.microsoft.com/office/2006/activeX" xmlns:r="http://schemas.openxmlformats.org/officeDocument/2006/relationships" ax:classid="{8BD21D40-EC42-11CE-9E0D-00AA006002F3}" ax:persistence="persistStreamInit" r:id="rId1"/>
</file>

<file path=xl/activeX/activeX313.xml><?xml version="1.0" encoding="utf-8"?>
<ax:ocx xmlns:ax="http://schemas.microsoft.com/office/2006/activeX" xmlns:r="http://schemas.openxmlformats.org/officeDocument/2006/relationships" ax:classid="{8BD21D40-EC42-11CE-9E0D-00AA006002F3}" ax:persistence="persistStreamInit" r:id="rId1"/>
</file>

<file path=xl/activeX/activeX314.xml><?xml version="1.0" encoding="utf-8"?>
<ax:ocx xmlns:ax="http://schemas.microsoft.com/office/2006/activeX" xmlns:r="http://schemas.openxmlformats.org/officeDocument/2006/relationships" ax:classid="{8BD21D40-EC42-11CE-9E0D-00AA006002F3}" ax:persistence="persistStreamInit" r:id="rId1"/>
</file>

<file path=xl/activeX/activeX315.xml><?xml version="1.0" encoding="utf-8"?>
<ax:ocx xmlns:ax="http://schemas.microsoft.com/office/2006/activeX" xmlns:r="http://schemas.openxmlformats.org/officeDocument/2006/relationships" ax:classid="{8BD21D40-EC42-11CE-9E0D-00AA006002F3}" ax:persistence="persistStreamInit" r:id="rId1"/>
</file>

<file path=xl/activeX/activeX316.xml><?xml version="1.0" encoding="utf-8"?>
<ax:ocx xmlns:ax="http://schemas.microsoft.com/office/2006/activeX" xmlns:r="http://schemas.openxmlformats.org/officeDocument/2006/relationships" ax:classid="{8BD21D40-EC42-11CE-9E0D-00AA006002F3}" ax:persistence="persistStreamInit" r:id="rId1"/>
</file>

<file path=xl/activeX/activeX317.xml><?xml version="1.0" encoding="utf-8"?>
<ax:ocx xmlns:ax="http://schemas.microsoft.com/office/2006/activeX" xmlns:r="http://schemas.openxmlformats.org/officeDocument/2006/relationships" ax:classid="{8BD21D40-EC42-11CE-9E0D-00AA006002F3}" ax:persistence="persistStreamInit" r:id="rId1"/>
</file>

<file path=xl/activeX/activeX318.xml><?xml version="1.0" encoding="utf-8"?>
<ax:ocx xmlns:ax="http://schemas.microsoft.com/office/2006/activeX" xmlns:r="http://schemas.openxmlformats.org/officeDocument/2006/relationships" ax:classid="{8BD21D40-EC42-11CE-9E0D-00AA006002F3}" ax:persistence="persistStreamInit" r:id="rId1"/>
</file>

<file path=xl/activeX/activeX319.xml><?xml version="1.0" encoding="utf-8"?>
<ax:ocx xmlns:ax="http://schemas.microsoft.com/office/2006/activeX" xmlns:r="http://schemas.openxmlformats.org/officeDocument/2006/relationships" ax:classid="{8BD21D40-EC42-11CE-9E0D-00AA006002F3}" ax:persistence="persistStreamInit" r:id="rId1"/>
</file>

<file path=xl/activeX/activeX320.xml><?xml version="1.0" encoding="utf-8"?>
<ax:ocx xmlns:ax="http://schemas.microsoft.com/office/2006/activeX" xmlns:r="http://schemas.openxmlformats.org/officeDocument/2006/relationships" ax:classid="{8BD21D40-EC42-11CE-9E0D-00AA006002F3}" ax:persistence="persistStreamInit" r:id="rId1"/>
</file>

<file path=xl/activeX/activeX321.xml><?xml version="1.0" encoding="utf-8"?>
<ax:ocx xmlns:ax="http://schemas.microsoft.com/office/2006/activeX" xmlns:r="http://schemas.openxmlformats.org/officeDocument/2006/relationships" ax:classid="{8BD21D40-EC42-11CE-9E0D-00AA006002F3}" ax:persistence="persistStreamInit" r:id="rId1"/>
</file>

<file path=xl/activeX/activeX322.xml><?xml version="1.0" encoding="utf-8"?>
<ax:ocx xmlns:ax="http://schemas.microsoft.com/office/2006/activeX" xmlns:r="http://schemas.openxmlformats.org/officeDocument/2006/relationships" ax:classid="{8BD21D40-EC42-11CE-9E0D-00AA006002F3}" ax:persistence="persistStreamInit" r:id="rId1"/>
</file>

<file path=xl/activeX/activeX323.xml><?xml version="1.0" encoding="utf-8"?>
<ax:ocx xmlns:ax="http://schemas.microsoft.com/office/2006/activeX" xmlns:r="http://schemas.openxmlformats.org/officeDocument/2006/relationships" ax:classid="{8BD21D40-EC42-11CE-9E0D-00AA006002F3}" ax:persistence="persistStreamInit" r:id="rId1"/>
</file>

<file path=xl/activeX/activeX324.xml><?xml version="1.0" encoding="utf-8"?>
<ax:ocx xmlns:ax="http://schemas.microsoft.com/office/2006/activeX" xmlns:r="http://schemas.openxmlformats.org/officeDocument/2006/relationships" ax:classid="{8BD21D40-EC42-11CE-9E0D-00AA006002F3}" ax:persistence="persistStreamInit" r:id="rId1"/>
</file>

<file path=xl/activeX/activeX325.xml><?xml version="1.0" encoding="utf-8"?>
<ax:ocx xmlns:ax="http://schemas.microsoft.com/office/2006/activeX" xmlns:r="http://schemas.openxmlformats.org/officeDocument/2006/relationships" ax:classid="{8BD21D50-EC42-11CE-9E0D-00AA006002F3}" ax:persistence="persistStreamInit" r:id="rId1"/>
</file>

<file path=xl/activeX/activeX326.xml><?xml version="1.0" encoding="utf-8"?>
<ax:ocx xmlns:ax="http://schemas.microsoft.com/office/2006/activeX" xmlns:r="http://schemas.openxmlformats.org/officeDocument/2006/relationships" ax:classid="{8BD21D50-EC42-11CE-9E0D-00AA006002F3}" ax:persistence="persistStreamInit" r:id="rId1"/>
</file>

<file path=xl/activeX/activeX327.xml><?xml version="1.0" encoding="utf-8"?>
<ax:ocx xmlns:ax="http://schemas.microsoft.com/office/2006/activeX" xmlns:r="http://schemas.openxmlformats.org/officeDocument/2006/relationships" ax:classid="{8BD21D50-EC42-11CE-9E0D-00AA006002F3}" ax:persistence="persistStreamInit" r:id="rId1"/>
</file>

<file path=xl/activeX/activeX328.xml><?xml version="1.0" encoding="utf-8"?>
<ax:ocx xmlns:ax="http://schemas.microsoft.com/office/2006/activeX" xmlns:r="http://schemas.openxmlformats.org/officeDocument/2006/relationships" ax:classid="{8BD21D50-EC42-11CE-9E0D-00AA006002F3}" ax:persistence="persistStreamInit" r:id="rId1"/>
</file>

<file path=xl/activeX/activeX329.xml><?xml version="1.0" encoding="utf-8"?>
<ax:ocx xmlns:ax="http://schemas.microsoft.com/office/2006/activeX" xmlns:r="http://schemas.openxmlformats.org/officeDocument/2006/relationships" ax:classid="{8BD21D40-EC42-11CE-9E0D-00AA006002F3}" ax:persistence="persistStreamInit" r:id="rId1"/>
</file>

<file path=xl/activeX/activeX330.xml><?xml version="1.0" encoding="utf-8"?>
<ax:ocx xmlns:ax="http://schemas.microsoft.com/office/2006/activeX" xmlns:r="http://schemas.openxmlformats.org/officeDocument/2006/relationships" ax:classid="{8BD21D40-EC42-11CE-9E0D-00AA006002F3}" ax:persistence="persistStreamInit" r:id="rId1"/>
</file>

<file path=xl/activeX/activeX331.xml><?xml version="1.0" encoding="utf-8"?>
<ax:ocx xmlns:ax="http://schemas.microsoft.com/office/2006/activeX" xmlns:r="http://schemas.openxmlformats.org/officeDocument/2006/relationships" ax:classid="{8BD21D40-EC42-11CE-9E0D-00AA006002F3}" ax:persistence="persistStreamInit" r:id="rId1"/>
</file>

<file path=xl/activeX/activeX332.xml><?xml version="1.0" encoding="utf-8"?>
<ax:ocx xmlns:ax="http://schemas.microsoft.com/office/2006/activeX" xmlns:r="http://schemas.openxmlformats.org/officeDocument/2006/relationships" ax:classid="{8BD21D30-EC42-11CE-9E0D-00AA006002F3}" ax:persistence="persistStreamInit" r:id="rId1"/>
</file>

<file path=xl/activeX/activeX333.xml><?xml version="1.0" encoding="utf-8"?>
<ax:ocx xmlns:ax="http://schemas.microsoft.com/office/2006/activeX" xmlns:r="http://schemas.openxmlformats.org/officeDocument/2006/relationships" ax:classid="{8BD21D40-EC42-11CE-9E0D-00AA006002F3}" ax:persistence="persistStreamInit" r:id="rId1"/>
</file>

<file path=xl/activeX/activeX334.xml><?xml version="1.0" encoding="utf-8"?>
<ax:ocx xmlns:ax="http://schemas.microsoft.com/office/2006/activeX" xmlns:r="http://schemas.openxmlformats.org/officeDocument/2006/relationships" ax:classid="{8BD21D40-EC42-11CE-9E0D-00AA006002F3}" ax:persistence="persistStreamInit" r:id="rId1"/>
</file>

<file path=xl/activeX/activeX335.xml><?xml version="1.0" encoding="utf-8"?>
<ax:ocx xmlns:ax="http://schemas.microsoft.com/office/2006/activeX" xmlns:r="http://schemas.openxmlformats.org/officeDocument/2006/relationships" ax:classid="{8BD21D40-EC42-11CE-9E0D-00AA006002F3}" ax:persistence="persistStreamInit" r:id="rId1"/>
</file>

<file path=xl/activeX/activeX336.xml><?xml version="1.0" encoding="utf-8"?>
<ax:ocx xmlns:ax="http://schemas.microsoft.com/office/2006/activeX" xmlns:r="http://schemas.openxmlformats.org/officeDocument/2006/relationships" ax:classid="{8BD21D40-EC42-11CE-9E0D-00AA006002F3}" ax:persistence="persistStreamInit" r:id="rId1"/>
</file>

<file path=xl/activeX/activeX337.xml><?xml version="1.0" encoding="utf-8"?>
<ax:ocx xmlns:ax="http://schemas.microsoft.com/office/2006/activeX" xmlns:r="http://schemas.openxmlformats.org/officeDocument/2006/relationships" ax:classid="{8BD21D40-EC42-11CE-9E0D-00AA006002F3}" ax:persistence="persistStreamInit" r:id="rId1"/>
</file>

<file path=xl/activeX/activeX338.xml><?xml version="1.0" encoding="utf-8"?>
<ax:ocx xmlns:ax="http://schemas.microsoft.com/office/2006/activeX" xmlns:r="http://schemas.openxmlformats.org/officeDocument/2006/relationships" ax:classid="{8BD21D40-EC42-11CE-9E0D-00AA006002F3}" ax:persistence="persistStreamInit" r:id="rId1"/>
</file>

<file path=xl/activeX/activeX339.xml><?xml version="1.0" encoding="utf-8"?>
<ax:ocx xmlns:ax="http://schemas.microsoft.com/office/2006/activeX" xmlns:r="http://schemas.openxmlformats.org/officeDocument/2006/relationships" ax:classid="{8BD21D40-EC42-11CE-9E0D-00AA006002F3}" ax:persistence="persistStreamInit" r:id="rId1"/>
</file>

<file path=xl/activeX/activeX340.xml><?xml version="1.0" encoding="utf-8"?>
<ax:ocx xmlns:ax="http://schemas.microsoft.com/office/2006/activeX" xmlns:r="http://schemas.openxmlformats.org/officeDocument/2006/relationships" ax:classid="{8BD21D40-EC42-11CE-9E0D-00AA006002F3}" ax:persistence="persistStreamInit" r:id="rId1"/>
</file>

<file path=xl/activeX/activeX341.xml><?xml version="1.0" encoding="utf-8"?>
<ax:ocx xmlns:ax="http://schemas.microsoft.com/office/2006/activeX" xmlns:r="http://schemas.openxmlformats.org/officeDocument/2006/relationships" ax:classid="{8BD21D40-EC42-11CE-9E0D-00AA006002F3}" ax:persistence="persistStreamInit" r:id="rId1"/>
</file>

<file path=xl/activeX/activeX342.xml><?xml version="1.0" encoding="utf-8"?>
<ax:ocx xmlns:ax="http://schemas.microsoft.com/office/2006/activeX" xmlns:r="http://schemas.openxmlformats.org/officeDocument/2006/relationships" ax:classid="{8BD21D40-EC42-11CE-9E0D-00AA006002F3}" ax:persistence="persistStreamInit" r:id="rId1"/>
</file>

<file path=xl/activeX/activeX343.xml><?xml version="1.0" encoding="utf-8"?>
<ax:ocx xmlns:ax="http://schemas.microsoft.com/office/2006/activeX" xmlns:r="http://schemas.openxmlformats.org/officeDocument/2006/relationships" ax:classid="{8BD21D40-EC42-11CE-9E0D-00AA006002F3}" ax:persistence="persistStreamInit" r:id="rId1"/>
</file>

<file path=xl/activeX/activeX344.xml><?xml version="1.0" encoding="utf-8"?>
<ax:ocx xmlns:ax="http://schemas.microsoft.com/office/2006/activeX" xmlns:r="http://schemas.openxmlformats.org/officeDocument/2006/relationships" ax:classid="{8BD21D40-EC42-11CE-9E0D-00AA006002F3}" ax:persistence="persistStreamInit" r:id="rId1"/>
</file>

<file path=xl/activeX/activeX345.xml><?xml version="1.0" encoding="utf-8"?>
<ax:ocx xmlns:ax="http://schemas.microsoft.com/office/2006/activeX" xmlns:r="http://schemas.openxmlformats.org/officeDocument/2006/relationships" ax:classid="{D7053240-CE69-11CD-A777-00DD01143C57}" ax:persistence="persistStreamInit" r:id="rId1"/>
</file>

<file path=xl/activeX/activeX346.xml><?xml version="1.0" encoding="utf-8"?>
<ax:ocx xmlns:ax="http://schemas.microsoft.com/office/2006/activeX" xmlns:r="http://schemas.openxmlformats.org/officeDocument/2006/relationships" ax:classid="{8BD21D40-EC42-11CE-9E0D-00AA006002F3}" ax:persistence="persistStreamInit" r:id="rId1"/>
</file>

<file path=xl/activeX/activeX347.xml><?xml version="1.0" encoding="utf-8"?>
<ax:ocx xmlns:ax="http://schemas.microsoft.com/office/2006/activeX" xmlns:r="http://schemas.openxmlformats.org/officeDocument/2006/relationships" ax:classid="{8BD21D40-EC42-11CE-9E0D-00AA006002F3}" ax:persistence="persistStreamInit" r:id="rId1"/>
</file>

<file path=xl/activeX/activeX348.xml><?xml version="1.0" encoding="utf-8"?>
<ax:ocx xmlns:ax="http://schemas.microsoft.com/office/2006/activeX" xmlns:r="http://schemas.openxmlformats.org/officeDocument/2006/relationships" ax:classid="{8BD21D40-EC42-11CE-9E0D-00AA006002F3}" ax:persistence="persistStreamInit" r:id="rId1"/>
</file>

<file path=xl/activeX/activeX349.xml><?xml version="1.0" encoding="utf-8"?>
<ax:ocx xmlns:ax="http://schemas.microsoft.com/office/2006/activeX" xmlns:r="http://schemas.openxmlformats.org/officeDocument/2006/relationships" ax:classid="{8BD21D40-EC42-11CE-9E0D-00AA006002F3}" ax:persistence="persistStreamInit" r:id="rId1"/>
</file>

<file path=xl/activeX/activeX350.xml><?xml version="1.0" encoding="utf-8"?>
<ax:ocx xmlns:ax="http://schemas.microsoft.com/office/2006/activeX" xmlns:r="http://schemas.openxmlformats.org/officeDocument/2006/relationships" ax:classid="{8BD21D40-EC42-11CE-9E0D-00AA006002F3}" ax:persistence="persistStreamInit" r:id="rId1"/>
</file>

<file path=xl/activeX/activeX351.xml><?xml version="1.0" encoding="utf-8"?>
<ax:ocx xmlns:ax="http://schemas.microsoft.com/office/2006/activeX" xmlns:r="http://schemas.openxmlformats.org/officeDocument/2006/relationships" ax:classid="{8BD21D40-EC42-11CE-9E0D-00AA006002F3}" ax:persistence="persistStreamInit" r:id="rId1"/>
</file>

<file path=xl/activeX/activeX352.xml><?xml version="1.0" encoding="utf-8"?>
<ax:ocx xmlns:ax="http://schemas.microsoft.com/office/2006/activeX" xmlns:r="http://schemas.openxmlformats.org/officeDocument/2006/relationships" ax:classid="{8BD21D40-EC42-11CE-9E0D-00AA006002F3}" ax:persistence="persistStreamInit" r:id="rId1"/>
</file>

<file path=xl/activeX/activeX353.xml><?xml version="1.0" encoding="utf-8"?>
<ax:ocx xmlns:ax="http://schemas.microsoft.com/office/2006/activeX" xmlns:r="http://schemas.openxmlformats.org/officeDocument/2006/relationships" ax:classid="{8BD21D40-EC42-11CE-9E0D-00AA006002F3}" ax:persistence="persistStreamInit" r:id="rId1"/>
</file>

<file path=xl/activeX/activeX354.xml><?xml version="1.0" encoding="utf-8"?>
<ax:ocx xmlns:ax="http://schemas.microsoft.com/office/2006/activeX" xmlns:r="http://schemas.openxmlformats.org/officeDocument/2006/relationships" ax:classid="{8BD21D40-EC42-11CE-9E0D-00AA006002F3}" ax:persistence="persistStreamInit" r:id="rId1"/>
</file>

<file path=xl/activeX/activeX355.xml><?xml version="1.0" encoding="utf-8"?>
<ax:ocx xmlns:ax="http://schemas.microsoft.com/office/2006/activeX" xmlns:r="http://schemas.openxmlformats.org/officeDocument/2006/relationships" ax:classid="{8BD21D40-EC42-11CE-9E0D-00AA006002F3}" ax:persistence="persistStreamInit" r:id="rId1"/>
</file>

<file path=xl/activeX/activeX356.xml><?xml version="1.0" encoding="utf-8"?>
<ax:ocx xmlns:ax="http://schemas.microsoft.com/office/2006/activeX" xmlns:r="http://schemas.openxmlformats.org/officeDocument/2006/relationships" ax:classid="{8BD21D40-EC42-11CE-9E0D-00AA006002F3}" ax:persistence="persistStreamInit" r:id="rId1"/>
</file>

<file path=xl/activeX/activeX357.xml><?xml version="1.0" encoding="utf-8"?>
<ax:ocx xmlns:ax="http://schemas.microsoft.com/office/2006/activeX" xmlns:r="http://schemas.openxmlformats.org/officeDocument/2006/relationships" ax:classid="{8BD21D40-EC42-11CE-9E0D-00AA006002F3}" ax:persistence="persistStreamInit" r:id="rId1"/>
</file>

<file path=xl/activeX/activeX358.xml><?xml version="1.0" encoding="utf-8"?>
<ax:ocx xmlns:ax="http://schemas.microsoft.com/office/2006/activeX" xmlns:r="http://schemas.openxmlformats.org/officeDocument/2006/relationships" ax:classid="{8BD21D40-EC42-11CE-9E0D-00AA006002F3}" ax:persistence="persistStreamInit" r:id="rId1"/>
</file>

<file path=xl/activeX/activeX359.xml><?xml version="1.0" encoding="utf-8"?>
<ax:ocx xmlns:ax="http://schemas.microsoft.com/office/2006/activeX" xmlns:r="http://schemas.openxmlformats.org/officeDocument/2006/relationships" ax:classid="{8BD21D40-EC42-11CE-9E0D-00AA006002F3}" ax:persistence="persistStreamInit" r:id="rId1"/>
</file>

<file path=xl/activeX/activeX360.xml><?xml version="1.0" encoding="utf-8"?>
<ax:ocx xmlns:ax="http://schemas.microsoft.com/office/2006/activeX" xmlns:r="http://schemas.openxmlformats.org/officeDocument/2006/relationships" ax:classid="{8BD21D40-EC42-11CE-9E0D-00AA006002F3}" ax:persistence="persistStreamInit" r:id="rId1"/>
</file>

<file path=xl/activeX/activeX361.xml><?xml version="1.0" encoding="utf-8"?>
<ax:ocx xmlns:ax="http://schemas.microsoft.com/office/2006/activeX" xmlns:r="http://schemas.openxmlformats.org/officeDocument/2006/relationships" ax:classid="{8BD21D40-EC42-11CE-9E0D-00AA006002F3}" ax:persistence="persistStreamInit" r:id="rId1"/>
</file>

<file path=xl/activeX/activeX362.xml><?xml version="1.0" encoding="utf-8"?>
<ax:ocx xmlns:ax="http://schemas.microsoft.com/office/2006/activeX" xmlns:r="http://schemas.openxmlformats.org/officeDocument/2006/relationships" ax:classid="{8BD21D40-EC42-11CE-9E0D-00AA006002F3}" ax:persistence="persistStreamInit" r:id="rId1"/>
</file>

<file path=xl/activeX/activeX363.xml><?xml version="1.0" encoding="utf-8"?>
<ax:ocx xmlns:ax="http://schemas.microsoft.com/office/2006/activeX" xmlns:r="http://schemas.openxmlformats.org/officeDocument/2006/relationships" ax:classid="{8BD21D40-EC42-11CE-9E0D-00AA006002F3}" ax:persistence="persistStreamInit" r:id="rId1"/>
</file>

<file path=xl/activeX/activeX364.xml><?xml version="1.0" encoding="utf-8"?>
<ax:ocx xmlns:ax="http://schemas.microsoft.com/office/2006/activeX" xmlns:r="http://schemas.openxmlformats.org/officeDocument/2006/relationships" ax:classid="{8BD21D40-EC42-11CE-9E0D-00AA006002F3}" ax:persistence="persistStreamInit" r:id="rId1"/>
</file>

<file path=xl/activeX/activeX365.xml><?xml version="1.0" encoding="utf-8"?>
<ax:ocx xmlns:ax="http://schemas.microsoft.com/office/2006/activeX" xmlns:r="http://schemas.openxmlformats.org/officeDocument/2006/relationships" ax:classid="{8BD21D40-EC42-11CE-9E0D-00AA006002F3}" ax:persistence="persistStreamInit" r:id="rId1"/>
</file>

<file path=xl/activeX/activeX366.xml><?xml version="1.0" encoding="utf-8"?>
<ax:ocx xmlns:ax="http://schemas.microsoft.com/office/2006/activeX" xmlns:r="http://schemas.openxmlformats.org/officeDocument/2006/relationships" ax:classid="{8BD21D40-EC42-11CE-9E0D-00AA006002F3}" ax:persistence="persistStreamInit" r:id="rId1"/>
</file>

<file path=xl/activeX/activeX367.xml><?xml version="1.0" encoding="utf-8"?>
<ax:ocx xmlns:ax="http://schemas.microsoft.com/office/2006/activeX" xmlns:r="http://schemas.openxmlformats.org/officeDocument/2006/relationships" ax:classid="{8BD21D40-EC42-11CE-9E0D-00AA006002F3}" ax:persistence="persistStreamInit" r:id="rId1"/>
</file>

<file path=xl/activeX/activeX368.xml><?xml version="1.0" encoding="utf-8"?>
<ax:ocx xmlns:ax="http://schemas.microsoft.com/office/2006/activeX" xmlns:r="http://schemas.openxmlformats.org/officeDocument/2006/relationships" ax:classid="{8BD21D40-EC42-11CE-9E0D-00AA006002F3}" ax:persistence="persistStreamInit" r:id="rId1"/>
</file>

<file path=xl/activeX/activeX369.xml><?xml version="1.0" encoding="utf-8"?>
<ax:ocx xmlns:ax="http://schemas.microsoft.com/office/2006/activeX" xmlns:r="http://schemas.openxmlformats.org/officeDocument/2006/relationships" ax:classid="{8BD21D40-EC42-11CE-9E0D-00AA006002F3}" ax:persistence="persistStreamInit" r:id="rId1"/>
</file>

<file path=xl/activeX/activeX370.xml><?xml version="1.0" encoding="utf-8"?>
<ax:ocx xmlns:ax="http://schemas.microsoft.com/office/2006/activeX" xmlns:r="http://schemas.openxmlformats.org/officeDocument/2006/relationships" ax:classid="{8BD21D40-EC42-11CE-9E0D-00AA006002F3}" ax:persistence="persistStreamInit" r:id="rId1"/>
</file>

<file path=xl/activeX/activeX371.xml><?xml version="1.0" encoding="utf-8"?>
<ax:ocx xmlns:ax="http://schemas.microsoft.com/office/2006/activeX" xmlns:r="http://schemas.openxmlformats.org/officeDocument/2006/relationships" ax:classid="{8BD21D40-EC42-11CE-9E0D-00AA006002F3}" ax:persistence="persistStreamInit" r:id="rId1"/>
</file>

<file path=xl/activeX/activeX372.xml><?xml version="1.0" encoding="utf-8"?>
<ax:ocx xmlns:ax="http://schemas.microsoft.com/office/2006/activeX" xmlns:r="http://schemas.openxmlformats.org/officeDocument/2006/relationships" ax:classid="{8BD21D40-EC42-11CE-9E0D-00AA006002F3}" ax:persistence="persistStreamInit" r:id="rId1"/>
</file>

<file path=xl/activeX/activeX373.xml><?xml version="1.0" encoding="utf-8"?>
<ax:ocx xmlns:ax="http://schemas.microsoft.com/office/2006/activeX" xmlns:r="http://schemas.openxmlformats.org/officeDocument/2006/relationships" ax:classid="{8BD21D40-EC42-11CE-9E0D-00AA006002F3}" ax:persistence="persistStreamInit" r:id="rId1"/>
</file>

<file path=xl/activeX/activeX374.xml><?xml version="1.0" encoding="utf-8"?>
<ax:ocx xmlns:ax="http://schemas.microsoft.com/office/2006/activeX" xmlns:r="http://schemas.openxmlformats.org/officeDocument/2006/relationships" ax:classid="{8BD21D40-EC42-11CE-9E0D-00AA006002F3}" ax:persistence="persistStreamInit" r:id="rId1"/>
</file>

<file path=xl/activeX/activeX375.xml><?xml version="1.0" encoding="utf-8"?>
<ax:ocx xmlns:ax="http://schemas.microsoft.com/office/2006/activeX" xmlns:r="http://schemas.openxmlformats.org/officeDocument/2006/relationships" ax:classid="{8BD21D50-EC42-11CE-9E0D-00AA006002F3}" ax:persistence="persistStreamInit" r:id="rId1"/>
</file>

<file path=xl/activeX/activeX376.xml><?xml version="1.0" encoding="utf-8"?>
<ax:ocx xmlns:ax="http://schemas.microsoft.com/office/2006/activeX" xmlns:r="http://schemas.openxmlformats.org/officeDocument/2006/relationships" ax:classid="{8BD21D40-EC42-11CE-9E0D-00AA006002F3}" ax:persistence="persistStreamInit" r:id="rId1"/>
</file>

<file path=xl/activeX/activeX377.xml><?xml version="1.0" encoding="utf-8"?>
<ax:ocx xmlns:ax="http://schemas.microsoft.com/office/2006/activeX" xmlns:r="http://schemas.openxmlformats.org/officeDocument/2006/relationships" ax:classid="{8BD21D40-EC42-11CE-9E0D-00AA006002F3}" ax:persistence="persistStreamInit" r:id="rId1"/>
</file>

<file path=xl/activeX/activeX378.xml><?xml version="1.0" encoding="utf-8"?>
<ax:ocx xmlns:ax="http://schemas.microsoft.com/office/2006/activeX" xmlns:r="http://schemas.openxmlformats.org/officeDocument/2006/relationships" ax:classid="{8BD21D40-EC42-11CE-9E0D-00AA006002F3}" ax:persistence="persistStreamInit" r:id="rId1"/>
</file>

<file path=xl/activeX/activeX379.xml><?xml version="1.0" encoding="utf-8"?>
<ax:ocx xmlns:ax="http://schemas.microsoft.com/office/2006/activeX" xmlns:r="http://schemas.openxmlformats.org/officeDocument/2006/relationships" ax:classid="{8BD21D40-EC42-11CE-9E0D-00AA006002F3}" ax:persistence="persistStreamInit" r:id="rId1"/>
</file>

<file path=xl/activeX/activeX380.xml><?xml version="1.0" encoding="utf-8"?>
<ax:ocx xmlns:ax="http://schemas.microsoft.com/office/2006/activeX" xmlns:r="http://schemas.openxmlformats.org/officeDocument/2006/relationships" ax:classid="{8BD21D40-EC42-11CE-9E0D-00AA006002F3}" ax:persistence="persistStreamInit" r:id="rId1"/>
</file>

<file path=xl/activeX/activeX381.xml><?xml version="1.0" encoding="utf-8"?>
<ax:ocx xmlns:ax="http://schemas.microsoft.com/office/2006/activeX" xmlns:r="http://schemas.openxmlformats.org/officeDocument/2006/relationships" ax:classid="{8BD21D50-EC42-11CE-9E0D-00AA006002F3}" ax:persistence="persistStreamInit" r:id="rId1"/>
</file>

<file path=xl/activeX/activeX382.xml><?xml version="1.0" encoding="utf-8"?>
<ax:ocx xmlns:ax="http://schemas.microsoft.com/office/2006/activeX" xmlns:r="http://schemas.openxmlformats.org/officeDocument/2006/relationships" ax:classid="{8BD21D50-EC42-11CE-9E0D-00AA006002F3}" ax:persistence="persistStreamInit" r:id="rId1"/>
</file>

<file path=xl/activeX/activeX383.xml><?xml version="1.0" encoding="utf-8"?>
<ax:ocx xmlns:ax="http://schemas.microsoft.com/office/2006/activeX" xmlns:r="http://schemas.openxmlformats.org/officeDocument/2006/relationships" ax:classid="{8BD21D40-EC42-11CE-9E0D-00AA006002F3}" ax:persistence="persistStreamInit" r:id="rId1"/>
</file>

<file path=xl/activeX/activeX384.xml><?xml version="1.0" encoding="utf-8"?>
<ax:ocx xmlns:ax="http://schemas.microsoft.com/office/2006/activeX" xmlns:r="http://schemas.openxmlformats.org/officeDocument/2006/relationships" ax:classid="{8BD21D40-EC42-11CE-9E0D-00AA006002F3}" ax:persistence="persistStreamInit" r:id="rId1"/>
</file>

<file path=xl/activeX/activeX385.xml><?xml version="1.0" encoding="utf-8"?>
<ax:ocx xmlns:ax="http://schemas.microsoft.com/office/2006/activeX" xmlns:r="http://schemas.openxmlformats.org/officeDocument/2006/relationships" ax:classid="{8BD21D40-EC42-11CE-9E0D-00AA006002F3}" ax:persistence="persistStreamInit" r:id="rId1"/>
</file>

<file path=xl/activeX/activeX386.xml><?xml version="1.0" encoding="utf-8"?>
<ax:ocx xmlns:ax="http://schemas.microsoft.com/office/2006/activeX" xmlns:r="http://schemas.openxmlformats.org/officeDocument/2006/relationships" ax:classid="{8BD21D40-EC42-11CE-9E0D-00AA006002F3}" ax:persistence="persistStreamInit" r:id="rId1"/>
</file>

<file path=xl/activeX/activeX387.xml><?xml version="1.0" encoding="utf-8"?>
<ax:ocx xmlns:ax="http://schemas.microsoft.com/office/2006/activeX" xmlns:r="http://schemas.openxmlformats.org/officeDocument/2006/relationships" ax:classid="{8BD21D40-EC42-11CE-9E0D-00AA006002F3}" ax:persistence="persistStreamInit" r:id="rId1"/>
</file>

<file path=xl/activeX/activeX388.xml><?xml version="1.0" encoding="utf-8"?>
<ax:ocx xmlns:ax="http://schemas.microsoft.com/office/2006/activeX" xmlns:r="http://schemas.openxmlformats.org/officeDocument/2006/relationships" ax:classid="{8BD21D50-EC42-11CE-9E0D-00AA006002F3}" ax:persistence="persistStreamInit" r:id="rId1"/>
</file>

<file path=xl/activeX/activeX389.xml><?xml version="1.0" encoding="utf-8"?>
<ax:ocx xmlns:ax="http://schemas.microsoft.com/office/2006/activeX" xmlns:r="http://schemas.openxmlformats.org/officeDocument/2006/relationships" ax:classid="{8BD21D50-EC42-11CE-9E0D-00AA006002F3}" ax:persistence="persistStreamInit" r:id="rId1"/>
</file>

<file path=xl/activeX/activeX390.xml><?xml version="1.0" encoding="utf-8"?>
<ax:ocx xmlns:ax="http://schemas.microsoft.com/office/2006/activeX" xmlns:r="http://schemas.openxmlformats.org/officeDocument/2006/relationships" ax:classid="{8BD21D40-EC42-11CE-9E0D-00AA006002F3}" ax:persistence="persistStreamInit" r:id="rId1"/>
</file>

<file path=xl/activeX/activeX391.xml><?xml version="1.0" encoding="utf-8"?>
<ax:ocx xmlns:ax="http://schemas.microsoft.com/office/2006/activeX" xmlns:r="http://schemas.openxmlformats.org/officeDocument/2006/relationships" ax:classid="{8BD21D30-EC42-11CE-9E0D-00AA006002F3}" ax:persistence="persistStreamInit" r:id="rId1"/>
</file>

<file path=xl/activeX/activeX392.xml><?xml version="1.0" encoding="utf-8"?>
<ax:ocx xmlns:ax="http://schemas.microsoft.com/office/2006/activeX" xmlns:r="http://schemas.openxmlformats.org/officeDocument/2006/relationships" ax:classid="{8BD21D40-EC42-11CE-9E0D-00AA006002F3}" ax:persistence="persistStreamInit" r:id="rId1"/>
</file>

<file path=xl/activeX/activeX393.xml><?xml version="1.0" encoding="utf-8"?>
<ax:ocx xmlns:ax="http://schemas.microsoft.com/office/2006/activeX" xmlns:r="http://schemas.openxmlformats.org/officeDocument/2006/relationships" ax:classid="{8BD21D40-EC42-11CE-9E0D-00AA006002F3}" ax:persistence="persistStreamInit" r:id="rId1"/>
</file>

<file path=xl/activeX/activeX394.xml><?xml version="1.0" encoding="utf-8"?>
<ax:ocx xmlns:ax="http://schemas.microsoft.com/office/2006/activeX" xmlns:r="http://schemas.openxmlformats.org/officeDocument/2006/relationships" ax:classid="{8BD21D40-EC42-11CE-9E0D-00AA006002F3}" ax:persistence="persistStreamInit" r:id="rId1"/>
</file>

<file path=xl/activeX/activeX395.xml><?xml version="1.0" encoding="utf-8"?>
<ax:ocx xmlns:ax="http://schemas.microsoft.com/office/2006/activeX" xmlns:r="http://schemas.openxmlformats.org/officeDocument/2006/relationships" ax:classid="{8BD21D40-EC42-11CE-9E0D-00AA006002F3}" ax:persistence="persistStreamInit" r:id="rId1"/>
</file>

<file path=xl/activeX/activeX396.xml><?xml version="1.0" encoding="utf-8"?>
<ax:ocx xmlns:ax="http://schemas.microsoft.com/office/2006/activeX" xmlns:r="http://schemas.openxmlformats.org/officeDocument/2006/relationships" ax:classid="{8BD21D40-EC42-11CE-9E0D-00AA006002F3}" ax:persistence="persistStreamInit" r:id="rId1"/>
</file>

<file path=xl/activeX/activeX397.xml><?xml version="1.0" encoding="utf-8"?>
<ax:ocx xmlns:ax="http://schemas.microsoft.com/office/2006/activeX" xmlns:r="http://schemas.openxmlformats.org/officeDocument/2006/relationships" ax:classid="{8BD21D40-EC42-11CE-9E0D-00AA006002F3}" ax:persistence="persistStreamInit" r:id="rId1"/>
</file>

<file path=xl/activeX/activeX398.xml><?xml version="1.0" encoding="utf-8"?>
<ax:ocx xmlns:ax="http://schemas.microsoft.com/office/2006/activeX" xmlns:r="http://schemas.openxmlformats.org/officeDocument/2006/relationships" ax:classid="{8BD21D40-EC42-11CE-9E0D-00AA006002F3}" ax:persistence="persistStreamInit" r:id="rId1"/>
</file>

<file path=xl/activeX/activeX399.xml><?xml version="1.0" encoding="utf-8"?>
<ax:ocx xmlns:ax="http://schemas.microsoft.com/office/2006/activeX" xmlns:r="http://schemas.openxmlformats.org/officeDocument/2006/relationships" ax:classid="{8BD21D40-EC42-11CE-9E0D-00AA006002F3}" ax:persistence="persistStreamInit" r:id="rId1"/>
</file>

<file path=xl/activeX/activeX400.xml><?xml version="1.0" encoding="utf-8"?>
<ax:ocx xmlns:ax="http://schemas.microsoft.com/office/2006/activeX" xmlns:r="http://schemas.openxmlformats.org/officeDocument/2006/relationships" ax:classid="{8BD21D40-EC42-11CE-9E0D-00AA006002F3}" ax:persistence="persistStreamInit" r:id="rId1"/>
</file>

<file path=xl/activeX/activeX401.xml><?xml version="1.0" encoding="utf-8"?>
<ax:ocx xmlns:ax="http://schemas.microsoft.com/office/2006/activeX" xmlns:r="http://schemas.openxmlformats.org/officeDocument/2006/relationships" ax:classid="{8BD21D40-EC42-11CE-9E0D-00AA006002F3}" ax:persistence="persistStreamInit" r:id="rId1"/>
</file>

<file path=xl/activeX/activeX402.xml><?xml version="1.0" encoding="utf-8"?>
<ax:ocx xmlns:ax="http://schemas.microsoft.com/office/2006/activeX" xmlns:r="http://schemas.openxmlformats.org/officeDocument/2006/relationships" ax:classid="{8BD21D40-EC42-11CE-9E0D-00AA006002F3}" ax:persistence="persistStreamInit" r:id="rId1"/>
</file>

<file path=xl/activeX/activeX403.xml><?xml version="1.0" encoding="utf-8"?>
<ax:ocx xmlns:ax="http://schemas.microsoft.com/office/2006/activeX" xmlns:r="http://schemas.openxmlformats.org/officeDocument/2006/relationships" ax:classid="{8BD21D40-EC42-11CE-9E0D-00AA006002F3}" ax:persistence="persistStreamInit" r:id="rId1"/>
</file>

<file path=xl/activeX/activeX404.xml><?xml version="1.0" encoding="utf-8"?>
<ax:ocx xmlns:ax="http://schemas.microsoft.com/office/2006/activeX" xmlns:r="http://schemas.openxmlformats.org/officeDocument/2006/relationships" ax:classid="{8BD21D40-EC42-11CE-9E0D-00AA006002F3}" ax:persistence="persistStreamInit" r:id="rId1"/>
</file>

<file path=xl/activeX/activeX405.xml><?xml version="1.0" encoding="utf-8"?>
<ax:ocx xmlns:ax="http://schemas.microsoft.com/office/2006/activeX" xmlns:r="http://schemas.openxmlformats.org/officeDocument/2006/relationships" ax:classid="{8BD21D40-EC42-11CE-9E0D-00AA006002F3}" ax:persistence="persistStreamInit" r:id="rId1"/>
</file>

<file path=xl/activeX/activeX406.xml><?xml version="1.0" encoding="utf-8"?>
<ax:ocx xmlns:ax="http://schemas.microsoft.com/office/2006/activeX" xmlns:r="http://schemas.openxmlformats.org/officeDocument/2006/relationships" ax:classid="{8BD21D40-EC42-11CE-9E0D-00AA006002F3}" ax:persistence="persistStreamInit" r:id="rId1"/>
</file>

<file path=xl/activeX/activeX407.xml><?xml version="1.0" encoding="utf-8"?>
<ax:ocx xmlns:ax="http://schemas.microsoft.com/office/2006/activeX" xmlns:r="http://schemas.openxmlformats.org/officeDocument/2006/relationships" ax:classid="{8BD21D40-EC42-11CE-9E0D-00AA006002F3}" ax:persistence="persistStreamInit" r:id="rId1"/>
</file>

<file path=xl/activeX/activeX408.xml><?xml version="1.0" encoding="utf-8"?>
<ax:ocx xmlns:ax="http://schemas.microsoft.com/office/2006/activeX" xmlns:r="http://schemas.openxmlformats.org/officeDocument/2006/relationships" ax:classid="{8BD21D40-EC42-11CE-9E0D-00AA006002F3}" ax:persistence="persistStreamInit" r:id="rId1"/>
</file>

<file path=xl/activeX/activeX409.xml><?xml version="1.0" encoding="utf-8"?>
<ax:ocx xmlns:ax="http://schemas.microsoft.com/office/2006/activeX" xmlns:r="http://schemas.openxmlformats.org/officeDocument/2006/relationships" ax:classid="{8BD21D40-EC42-11CE-9E0D-00AA006002F3}" ax:persistence="persistStreamInit" r:id="rId1"/>
</file>

<file path=xl/activeX/activeX410.xml><?xml version="1.0" encoding="utf-8"?>
<ax:ocx xmlns:ax="http://schemas.microsoft.com/office/2006/activeX" xmlns:r="http://schemas.openxmlformats.org/officeDocument/2006/relationships" ax:classid="{8BD21D40-EC42-11CE-9E0D-00AA006002F3}" ax:persistence="persistStreamInit" r:id="rId1"/>
</file>

<file path=xl/activeX/activeX411.xml><?xml version="1.0" encoding="utf-8"?>
<ax:ocx xmlns:ax="http://schemas.microsoft.com/office/2006/activeX" xmlns:r="http://schemas.openxmlformats.org/officeDocument/2006/relationships" ax:classid="{8BD21D30-EC42-11CE-9E0D-00AA006002F3}" ax:persistence="persistStreamInit" r:id="rId1"/>
</file>

<file path=xl/activeX/activeX412.xml><?xml version="1.0" encoding="utf-8"?>
<ax:ocx xmlns:ax="http://schemas.microsoft.com/office/2006/activeX" xmlns:r="http://schemas.openxmlformats.org/officeDocument/2006/relationships" ax:classid="{8BD21D50-EC42-11CE-9E0D-00AA006002F3}" ax:persistence="persistStreamInit" r:id="rId1"/>
</file>

<file path=xl/activeX/activeX413.xml><?xml version="1.0" encoding="utf-8"?>
<ax:ocx xmlns:ax="http://schemas.microsoft.com/office/2006/activeX" xmlns:r="http://schemas.openxmlformats.org/officeDocument/2006/relationships" ax:classid="{8BD21D50-EC42-11CE-9E0D-00AA006002F3}" ax:persistence="persistStreamInit" r:id="rId1"/>
</file>

<file path=xl/activeX/activeX414.xml><?xml version="1.0" encoding="utf-8"?>
<ax:ocx xmlns:ax="http://schemas.microsoft.com/office/2006/activeX" xmlns:r="http://schemas.openxmlformats.org/officeDocument/2006/relationships" ax:classid="{8BD21D50-EC42-11CE-9E0D-00AA006002F3}" ax:persistence="persistStreamInit" r:id="rId1"/>
</file>

<file path=xl/activeX/activeX415.xml><?xml version="1.0" encoding="utf-8"?>
<ax:ocx xmlns:ax="http://schemas.microsoft.com/office/2006/activeX" xmlns:r="http://schemas.openxmlformats.org/officeDocument/2006/relationships" ax:classid="{8BD21D40-EC42-11CE-9E0D-00AA006002F3}" ax:persistence="persistStreamInit" r:id="rId1"/>
</file>

<file path=xl/activeX/activeX416.xml><?xml version="1.0" encoding="utf-8"?>
<ax:ocx xmlns:ax="http://schemas.microsoft.com/office/2006/activeX" xmlns:r="http://schemas.openxmlformats.org/officeDocument/2006/relationships" ax:classid="{8BD21D40-EC42-11CE-9E0D-00AA006002F3}" ax:persistence="persistStreamInit" r:id="rId1"/>
</file>

<file path=xl/activeX/activeX417.xml><?xml version="1.0" encoding="utf-8"?>
<ax:ocx xmlns:ax="http://schemas.microsoft.com/office/2006/activeX" xmlns:r="http://schemas.openxmlformats.org/officeDocument/2006/relationships" ax:classid="{8BD21D40-EC42-11CE-9E0D-00AA006002F3}" ax:persistence="persistStreamInit" r:id="rId1"/>
</file>

<file path=xl/activeX/activeX418.xml><?xml version="1.0" encoding="utf-8"?>
<ax:ocx xmlns:ax="http://schemas.microsoft.com/office/2006/activeX" xmlns:r="http://schemas.openxmlformats.org/officeDocument/2006/relationships" ax:classid="{8BD21D40-EC42-11CE-9E0D-00AA006002F3}" ax:persistence="persistStreamInit" r:id="rId1"/>
</file>

<file path=xl/activeX/activeX419.xml><?xml version="1.0" encoding="utf-8"?>
<ax:ocx xmlns:ax="http://schemas.microsoft.com/office/2006/activeX" xmlns:r="http://schemas.openxmlformats.org/officeDocument/2006/relationships" ax:classid="{8BD21D40-EC42-11CE-9E0D-00AA006002F3}" ax:persistence="persistStreamInit" r:id="rId1"/>
</file>

<file path=xl/activeX/activeX420.xml><?xml version="1.0" encoding="utf-8"?>
<ax:ocx xmlns:ax="http://schemas.microsoft.com/office/2006/activeX" xmlns:r="http://schemas.openxmlformats.org/officeDocument/2006/relationships" ax:classid="{8BD21D40-EC42-11CE-9E0D-00AA006002F3}" ax:persistence="persistStreamInit" r:id="rId1"/>
</file>

<file path=xl/activeX/activeX421.xml><?xml version="1.0" encoding="utf-8"?>
<ax:ocx xmlns:ax="http://schemas.microsoft.com/office/2006/activeX" xmlns:r="http://schemas.openxmlformats.org/officeDocument/2006/relationships" ax:classid="{8BD21D40-EC42-11CE-9E0D-00AA006002F3}" ax:persistence="persistStreamInit" r:id="rId1"/>
</file>

<file path=xl/activeX/activeX422.xml><?xml version="1.0" encoding="utf-8"?>
<ax:ocx xmlns:ax="http://schemas.microsoft.com/office/2006/activeX" xmlns:r="http://schemas.openxmlformats.org/officeDocument/2006/relationships" ax:classid="{8BD21D40-EC42-11CE-9E0D-00AA006002F3}" ax:persistence="persistStreamInit" r:id="rId1"/>
</file>

<file path=xl/activeX/activeX423.xml><?xml version="1.0" encoding="utf-8"?>
<ax:ocx xmlns:ax="http://schemas.microsoft.com/office/2006/activeX" xmlns:r="http://schemas.openxmlformats.org/officeDocument/2006/relationships" ax:classid="{8BD21D40-EC42-11CE-9E0D-00AA006002F3}" ax:persistence="persistStreamInit" r:id="rId1"/>
</file>

<file path=xl/activeX/activeX424.xml><?xml version="1.0" encoding="utf-8"?>
<ax:ocx xmlns:ax="http://schemas.microsoft.com/office/2006/activeX" xmlns:r="http://schemas.openxmlformats.org/officeDocument/2006/relationships" ax:classid="{8BD21D40-EC42-11CE-9E0D-00AA006002F3}" ax:persistence="persistStreamInit" r:id="rId1"/>
</file>

<file path=xl/activeX/activeX425.xml><?xml version="1.0" encoding="utf-8"?>
<ax:ocx xmlns:ax="http://schemas.microsoft.com/office/2006/activeX" xmlns:r="http://schemas.openxmlformats.org/officeDocument/2006/relationships" ax:classid="{8BD21D40-EC42-11CE-9E0D-00AA006002F3}" ax:persistence="persistStreamInit" r:id="rId1"/>
</file>

<file path=xl/activeX/activeX426.xml><?xml version="1.0" encoding="utf-8"?>
<ax:ocx xmlns:ax="http://schemas.microsoft.com/office/2006/activeX" xmlns:r="http://schemas.openxmlformats.org/officeDocument/2006/relationships" ax:classid="{8BD21D40-EC42-11CE-9E0D-00AA006002F3}" ax:persistence="persistStreamInit" r:id="rId1"/>
</file>

<file path=xl/activeX/activeX427.xml><?xml version="1.0" encoding="utf-8"?>
<ax:ocx xmlns:ax="http://schemas.microsoft.com/office/2006/activeX" xmlns:r="http://schemas.openxmlformats.org/officeDocument/2006/relationships" ax:classid="{8BD21D40-EC42-11CE-9E0D-00AA006002F3}" ax:persistence="persistStreamInit" r:id="rId1"/>
</file>

<file path=xl/activeX/activeX428.xml><?xml version="1.0" encoding="utf-8"?>
<ax:ocx xmlns:ax="http://schemas.microsoft.com/office/2006/activeX" xmlns:r="http://schemas.openxmlformats.org/officeDocument/2006/relationships" ax:classid="{8BD21D40-EC42-11CE-9E0D-00AA006002F3}" ax:persistence="persistStreamInit" r:id="rId1"/>
</file>

<file path=xl/activeX/activeX429.xml><?xml version="1.0" encoding="utf-8"?>
<ax:ocx xmlns:ax="http://schemas.microsoft.com/office/2006/activeX" xmlns:r="http://schemas.openxmlformats.org/officeDocument/2006/relationships" ax:classid="{8BD21D40-EC42-11CE-9E0D-00AA006002F3}" ax:persistence="persistStreamInit" r:id="rId1"/>
</file>

<file path=xl/activeX/activeX430.xml><?xml version="1.0" encoding="utf-8"?>
<ax:ocx xmlns:ax="http://schemas.microsoft.com/office/2006/activeX" xmlns:r="http://schemas.openxmlformats.org/officeDocument/2006/relationships" ax:classid="{8BD21D40-EC42-11CE-9E0D-00AA006002F3}" ax:persistence="persistStreamInit" r:id="rId1"/>
</file>

<file path=xl/activeX/activeX431.xml><?xml version="1.0" encoding="utf-8"?>
<ax:ocx xmlns:ax="http://schemas.microsoft.com/office/2006/activeX" xmlns:r="http://schemas.openxmlformats.org/officeDocument/2006/relationships" ax:classid="{8BD21D40-EC42-11CE-9E0D-00AA006002F3}" ax:persistence="persistStreamInit" r:id="rId1"/>
</file>

<file path=xl/activeX/activeX432.xml><?xml version="1.0" encoding="utf-8"?>
<ax:ocx xmlns:ax="http://schemas.microsoft.com/office/2006/activeX" xmlns:r="http://schemas.openxmlformats.org/officeDocument/2006/relationships" ax:classid="{8BD21D40-EC42-11CE-9E0D-00AA006002F3}" ax:persistence="persistStreamInit" r:id="rId1"/>
</file>

<file path=xl/activeX/activeX433.xml><?xml version="1.0" encoding="utf-8"?>
<ax:ocx xmlns:ax="http://schemas.microsoft.com/office/2006/activeX" xmlns:r="http://schemas.openxmlformats.org/officeDocument/2006/relationships" ax:classid="{8BD21D40-EC42-11CE-9E0D-00AA006002F3}" ax:persistence="persistStreamInit" r:id="rId1"/>
</file>

<file path=xl/activeX/activeX434.xml><?xml version="1.0" encoding="utf-8"?>
<ax:ocx xmlns:ax="http://schemas.microsoft.com/office/2006/activeX" xmlns:r="http://schemas.openxmlformats.org/officeDocument/2006/relationships" ax:classid="{8BD21D40-EC42-11CE-9E0D-00AA006002F3}" ax:persistence="persistStreamInit" r:id="rId1"/>
</file>

<file path=xl/activeX/activeX435.xml><?xml version="1.0" encoding="utf-8"?>
<ax:ocx xmlns:ax="http://schemas.microsoft.com/office/2006/activeX" xmlns:r="http://schemas.openxmlformats.org/officeDocument/2006/relationships" ax:classid="{8BD21D40-EC42-11CE-9E0D-00AA006002F3}" ax:persistence="persistStreamInit" r:id="rId1"/>
</file>

<file path=xl/activeX/activeX436.xml><?xml version="1.0" encoding="utf-8"?>
<ax:ocx xmlns:ax="http://schemas.microsoft.com/office/2006/activeX" xmlns:r="http://schemas.openxmlformats.org/officeDocument/2006/relationships" ax:classid="{8BD21D40-EC42-11CE-9E0D-00AA006002F3}" ax:persistence="persistStreamInit" r:id="rId1"/>
</file>

<file path=xl/activeX/activeX437.xml><?xml version="1.0" encoding="utf-8"?>
<ax:ocx xmlns:ax="http://schemas.microsoft.com/office/2006/activeX" xmlns:r="http://schemas.openxmlformats.org/officeDocument/2006/relationships" ax:classid="{8BD21D40-EC42-11CE-9E0D-00AA006002F3}" ax:persistence="persistStreamInit" r:id="rId1"/>
</file>

<file path=xl/activeX/activeX438.xml><?xml version="1.0" encoding="utf-8"?>
<ax:ocx xmlns:ax="http://schemas.microsoft.com/office/2006/activeX" xmlns:r="http://schemas.openxmlformats.org/officeDocument/2006/relationships" ax:classid="{8BD21D40-EC42-11CE-9E0D-00AA006002F3}" ax:persistence="persistStreamInit" r:id="rId1"/>
</file>

<file path=xl/activeX/activeX439.xml><?xml version="1.0" encoding="utf-8"?>
<ax:ocx xmlns:ax="http://schemas.microsoft.com/office/2006/activeX" xmlns:r="http://schemas.openxmlformats.org/officeDocument/2006/relationships" ax:classid="{8BD21D40-EC42-11CE-9E0D-00AA006002F3}" ax:persistence="persistStreamInit" r:id="rId1"/>
</file>

<file path=xl/activeX/activeX440.xml><?xml version="1.0" encoding="utf-8"?>
<ax:ocx xmlns:ax="http://schemas.microsoft.com/office/2006/activeX" xmlns:r="http://schemas.openxmlformats.org/officeDocument/2006/relationships" ax:classid="{8BD21D40-EC42-11CE-9E0D-00AA006002F3}" ax:persistence="persistStreamInit" r:id="rId1"/>
</file>

<file path=xl/activeX/activeX441.xml><?xml version="1.0" encoding="utf-8"?>
<ax:ocx xmlns:ax="http://schemas.microsoft.com/office/2006/activeX" xmlns:r="http://schemas.openxmlformats.org/officeDocument/2006/relationships" ax:classid="{8BD21D40-EC42-11CE-9E0D-00AA006002F3}" ax:persistence="persistStreamInit" r:id="rId1"/>
</file>

<file path=xl/activeX/activeX442.xml><?xml version="1.0" encoding="utf-8"?>
<ax:ocx xmlns:ax="http://schemas.microsoft.com/office/2006/activeX" xmlns:r="http://schemas.openxmlformats.org/officeDocument/2006/relationships" ax:classid="{8BD21D40-EC42-11CE-9E0D-00AA006002F3}" ax:persistence="persistStreamInit" r:id="rId1"/>
</file>

<file path=xl/activeX/activeX443.xml><?xml version="1.0" encoding="utf-8"?>
<ax:ocx xmlns:ax="http://schemas.microsoft.com/office/2006/activeX" xmlns:r="http://schemas.openxmlformats.org/officeDocument/2006/relationships" ax:classid="{8BD21D40-EC42-11CE-9E0D-00AA006002F3}" ax:persistence="persistStreamInit" r:id="rId1"/>
</file>

<file path=xl/activeX/activeX444.xml><?xml version="1.0" encoding="utf-8"?>
<ax:ocx xmlns:ax="http://schemas.microsoft.com/office/2006/activeX" xmlns:r="http://schemas.openxmlformats.org/officeDocument/2006/relationships" ax:classid="{8BD21D40-EC42-11CE-9E0D-00AA006002F3}" ax:persistence="persistStreamInit" r:id="rId1"/>
</file>

<file path=xl/activeX/activeX445.xml><?xml version="1.0" encoding="utf-8"?>
<ax:ocx xmlns:ax="http://schemas.microsoft.com/office/2006/activeX" xmlns:r="http://schemas.openxmlformats.org/officeDocument/2006/relationships" ax:classid="{8BD21D40-EC42-11CE-9E0D-00AA006002F3}" ax:persistence="persistStreamInit" r:id="rId1"/>
</file>

<file path=xl/activeX/activeX446.xml><?xml version="1.0" encoding="utf-8"?>
<ax:ocx xmlns:ax="http://schemas.microsoft.com/office/2006/activeX" xmlns:r="http://schemas.openxmlformats.org/officeDocument/2006/relationships" ax:classid="{D7053240-CE69-11CD-A777-00DD01143C57}" ax:persistence="persistStreamInit" r:id="rId1"/>
</file>

<file path=xl/activeX/activeX447.xml><?xml version="1.0" encoding="utf-8"?>
<ax:ocx xmlns:ax="http://schemas.microsoft.com/office/2006/activeX" xmlns:r="http://schemas.openxmlformats.org/officeDocument/2006/relationships" ax:classid="{8BD21D30-EC42-11CE-9E0D-00AA006002F3}" ax:persistence="persistStreamInit" r:id="rId1"/>
</file>

<file path=xl/activeX/activeX448.xml><?xml version="1.0" encoding="utf-8"?>
<ax:ocx xmlns:ax="http://schemas.microsoft.com/office/2006/activeX" xmlns:r="http://schemas.openxmlformats.org/officeDocument/2006/relationships" ax:classid="{8BD21D40-EC42-11CE-9E0D-00AA006002F3}" ax:persistence="persistStreamInit" r:id="rId1"/>
</file>

<file path=xl/activeX/activeX449.xml><?xml version="1.0" encoding="utf-8"?>
<ax:ocx xmlns:ax="http://schemas.microsoft.com/office/2006/activeX" xmlns:r="http://schemas.openxmlformats.org/officeDocument/2006/relationships" ax:classid="{8BD21D40-EC42-11CE-9E0D-00AA006002F3}" ax:persistence="persistStreamInit" r:id="rId1"/>
</file>

<file path=xl/activeX/activeX450.xml><?xml version="1.0" encoding="utf-8"?>
<ax:ocx xmlns:ax="http://schemas.microsoft.com/office/2006/activeX" xmlns:r="http://schemas.openxmlformats.org/officeDocument/2006/relationships" ax:classid="{8BD21D40-EC42-11CE-9E0D-00AA006002F3}" ax:persistence="persistStreamInit" r:id="rId1"/>
</file>

<file path=xl/activeX/activeX451.xml><?xml version="1.0" encoding="utf-8"?>
<ax:ocx xmlns:ax="http://schemas.microsoft.com/office/2006/activeX" xmlns:r="http://schemas.openxmlformats.org/officeDocument/2006/relationships" ax:classid="{8BD21D40-EC42-11CE-9E0D-00AA006002F3}" ax:persistence="persistStreamInit" r:id="rId1"/>
</file>

<file path=xl/activeX/activeX452.xml><?xml version="1.0" encoding="utf-8"?>
<ax:ocx xmlns:ax="http://schemas.microsoft.com/office/2006/activeX" xmlns:r="http://schemas.openxmlformats.org/officeDocument/2006/relationships" ax:classid="{8BD21D40-EC42-11CE-9E0D-00AA006002F3}" ax:persistence="persistStreamInit" r:id="rId1"/>
</file>

<file path=xl/activeX/activeX453.xml><?xml version="1.0" encoding="utf-8"?>
<ax:ocx xmlns:ax="http://schemas.microsoft.com/office/2006/activeX" xmlns:r="http://schemas.openxmlformats.org/officeDocument/2006/relationships" ax:classid="{8BD21D40-EC42-11CE-9E0D-00AA006002F3}" ax:persistence="persistStreamInit" r:id="rId1"/>
</file>

<file path=xl/activeX/activeX454.xml><?xml version="1.0" encoding="utf-8"?>
<ax:ocx xmlns:ax="http://schemas.microsoft.com/office/2006/activeX" xmlns:r="http://schemas.openxmlformats.org/officeDocument/2006/relationships" ax:classid="{8BD21D40-EC42-11CE-9E0D-00AA006002F3}" ax:persistence="persistStreamInit" r:id="rId1"/>
</file>

<file path=xl/activeX/activeX455.xml><?xml version="1.0" encoding="utf-8"?>
<ax:ocx xmlns:ax="http://schemas.microsoft.com/office/2006/activeX" xmlns:r="http://schemas.openxmlformats.org/officeDocument/2006/relationships" ax:classid="{8BD21D40-EC42-11CE-9E0D-00AA006002F3}" ax:persistence="persistStreamInit" r:id="rId1"/>
</file>

<file path=xl/activeX/activeX456.xml><?xml version="1.0" encoding="utf-8"?>
<ax:ocx xmlns:ax="http://schemas.microsoft.com/office/2006/activeX" xmlns:r="http://schemas.openxmlformats.org/officeDocument/2006/relationships" ax:classid="{8BD21D40-EC42-11CE-9E0D-00AA006002F3}" ax:persistence="persistStreamInit" r:id="rId1"/>
</file>

<file path=xl/activeX/activeX457.xml><?xml version="1.0" encoding="utf-8"?>
<ax:ocx xmlns:ax="http://schemas.microsoft.com/office/2006/activeX" xmlns:r="http://schemas.openxmlformats.org/officeDocument/2006/relationships" ax:classid="{8BD21D40-EC42-11CE-9E0D-00AA006002F3}" ax:persistence="persistStreamInit" r:id="rId1"/>
</file>

<file path=xl/activeX/activeX458.xml><?xml version="1.0" encoding="utf-8"?>
<ax:ocx xmlns:ax="http://schemas.microsoft.com/office/2006/activeX" xmlns:r="http://schemas.openxmlformats.org/officeDocument/2006/relationships" ax:classid="{8BD21D40-EC42-11CE-9E0D-00AA006002F3}" ax:persistence="persistStreamInit" r:id="rId1"/>
</file>

<file path=xl/activeX/activeX459.xml><?xml version="1.0" encoding="utf-8"?>
<ax:ocx xmlns:ax="http://schemas.microsoft.com/office/2006/activeX" xmlns:r="http://schemas.openxmlformats.org/officeDocument/2006/relationships" ax:classid="{8BD21D40-EC42-11CE-9E0D-00AA006002F3}" ax:persistence="persistStreamInit" r:id="rId1"/>
</file>

<file path=xl/activeX/activeX460.xml><?xml version="1.0" encoding="utf-8"?>
<ax:ocx xmlns:ax="http://schemas.microsoft.com/office/2006/activeX" xmlns:r="http://schemas.openxmlformats.org/officeDocument/2006/relationships" ax:classid="{8BD21D40-EC42-11CE-9E0D-00AA006002F3}" ax:persistence="persistStreamInit" r:id="rId1"/>
</file>

<file path=xl/activeX/activeX461.xml><?xml version="1.0" encoding="utf-8"?>
<ax:ocx xmlns:ax="http://schemas.microsoft.com/office/2006/activeX" xmlns:r="http://schemas.openxmlformats.org/officeDocument/2006/relationships" ax:classid="{8BD21D40-EC42-11CE-9E0D-00AA006002F3}" ax:persistence="persistStreamInit" r:id="rId1"/>
</file>

<file path=xl/activeX/activeX462.xml><?xml version="1.0" encoding="utf-8"?>
<ax:ocx xmlns:ax="http://schemas.microsoft.com/office/2006/activeX" xmlns:r="http://schemas.openxmlformats.org/officeDocument/2006/relationships" ax:classid="{8BD21D40-EC42-11CE-9E0D-00AA006002F3}" ax:persistence="persistStreamInit" r:id="rId1"/>
</file>

<file path=xl/activeX/activeX463.xml><?xml version="1.0" encoding="utf-8"?>
<ax:ocx xmlns:ax="http://schemas.microsoft.com/office/2006/activeX" xmlns:r="http://schemas.openxmlformats.org/officeDocument/2006/relationships" ax:classid="{8BD21D40-EC42-11CE-9E0D-00AA006002F3}" ax:persistence="persistStreamInit" r:id="rId1"/>
</file>

<file path=xl/activeX/activeX464.xml><?xml version="1.0" encoding="utf-8"?>
<ax:ocx xmlns:ax="http://schemas.microsoft.com/office/2006/activeX" xmlns:r="http://schemas.openxmlformats.org/officeDocument/2006/relationships" ax:classid="{8BD21D50-EC42-11CE-9E0D-00AA006002F3}" ax:persistence="persistStreamInit" r:id="rId1"/>
</file>

<file path=xl/activeX/activeX465.xml><?xml version="1.0" encoding="utf-8"?>
<ax:ocx xmlns:ax="http://schemas.microsoft.com/office/2006/activeX" xmlns:r="http://schemas.openxmlformats.org/officeDocument/2006/relationships" ax:classid="{8BD21D50-EC42-11CE-9E0D-00AA006002F3}" ax:persistence="persistStreamInit" r:id="rId1"/>
</file>

<file path=xl/activeX/activeX466.xml><?xml version="1.0" encoding="utf-8"?>
<ax:ocx xmlns:ax="http://schemas.microsoft.com/office/2006/activeX" xmlns:r="http://schemas.openxmlformats.org/officeDocument/2006/relationships" ax:classid="{8BD21D50-EC42-11CE-9E0D-00AA006002F3}" ax:persistence="persistStreamInit" r:id="rId1"/>
</file>

<file path=xl/activeX/activeX467.xml><?xml version="1.0" encoding="utf-8"?>
<ax:ocx xmlns:ax="http://schemas.microsoft.com/office/2006/activeX" xmlns:r="http://schemas.openxmlformats.org/officeDocument/2006/relationships" ax:classid="{8BD21D50-EC42-11CE-9E0D-00AA006002F3}" ax:persistence="persistStreamInit" r:id="rId1"/>
</file>

<file path=xl/activeX/activeX468.xml><?xml version="1.0" encoding="utf-8"?>
<ax:ocx xmlns:ax="http://schemas.microsoft.com/office/2006/activeX" xmlns:r="http://schemas.openxmlformats.org/officeDocument/2006/relationships" ax:classid="{8BD21D50-EC42-11CE-9E0D-00AA006002F3}" ax:persistence="persistStreamInit" r:id="rId1"/>
</file>

<file path=xl/activeX/activeX469.xml><?xml version="1.0" encoding="utf-8"?>
<ax:ocx xmlns:ax="http://schemas.microsoft.com/office/2006/activeX" xmlns:r="http://schemas.openxmlformats.org/officeDocument/2006/relationships" ax:classid="{8BD21D50-EC42-11CE-9E0D-00AA006002F3}" ax:persistence="persistStreamInit" r:id="rId1"/>
</file>

<file path=xl/activeX/activeX470.xml><?xml version="1.0" encoding="utf-8"?>
<ax:ocx xmlns:ax="http://schemas.microsoft.com/office/2006/activeX" xmlns:r="http://schemas.openxmlformats.org/officeDocument/2006/relationships" ax:classid="{8BD21D50-EC42-11CE-9E0D-00AA006002F3}" ax:persistence="persistStreamInit" r:id="rId1"/>
</file>

<file path=xl/activeX/activeX471.xml><?xml version="1.0" encoding="utf-8"?>
<ax:ocx xmlns:ax="http://schemas.microsoft.com/office/2006/activeX" xmlns:r="http://schemas.openxmlformats.org/officeDocument/2006/relationships" ax:classid="{8BD21D50-EC42-11CE-9E0D-00AA006002F3}" ax:persistence="persistStreamInit" r:id="rId1"/>
</file>

<file path=xl/activeX/activeX472.xml><?xml version="1.0" encoding="utf-8"?>
<ax:ocx xmlns:ax="http://schemas.microsoft.com/office/2006/activeX" xmlns:r="http://schemas.openxmlformats.org/officeDocument/2006/relationships" ax:classid="{8BD21D50-EC42-11CE-9E0D-00AA006002F3}" ax:persistence="persistStreamInit" r:id="rId1"/>
</file>

<file path=xl/activeX/activeX473.xml><?xml version="1.0" encoding="utf-8"?>
<ax:ocx xmlns:ax="http://schemas.microsoft.com/office/2006/activeX" xmlns:r="http://schemas.openxmlformats.org/officeDocument/2006/relationships" ax:classid="{8BD21D50-EC42-11CE-9E0D-00AA006002F3}" ax:persistence="persistStreamInit" r:id="rId1"/>
</file>

<file path=xl/activeX/activeX474.xml><?xml version="1.0" encoding="utf-8"?>
<ax:ocx xmlns:ax="http://schemas.microsoft.com/office/2006/activeX" xmlns:r="http://schemas.openxmlformats.org/officeDocument/2006/relationships" ax:classid="{8BD21D50-EC42-11CE-9E0D-00AA006002F3}" ax:persistence="persistStreamInit" r:id="rId1"/>
</file>

<file path=xl/activeX/activeX475.xml><?xml version="1.0" encoding="utf-8"?>
<ax:ocx xmlns:ax="http://schemas.microsoft.com/office/2006/activeX" xmlns:r="http://schemas.openxmlformats.org/officeDocument/2006/relationships" ax:classid="{8BD21D50-EC42-11CE-9E0D-00AA006002F3}" ax:persistence="persistStreamInit" r:id="rId1"/>
</file>

<file path=xl/activeX/activeX476.xml><?xml version="1.0" encoding="utf-8"?>
<ax:ocx xmlns:ax="http://schemas.microsoft.com/office/2006/activeX" xmlns:r="http://schemas.openxmlformats.org/officeDocument/2006/relationships" ax:classid="{8BD21D50-EC42-11CE-9E0D-00AA006002F3}" ax:persistence="persistStreamInit" r:id="rId1"/>
</file>

<file path=xl/activeX/activeX477.xml><?xml version="1.0" encoding="utf-8"?>
<ax:ocx xmlns:ax="http://schemas.microsoft.com/office/2006/activeX" xmlns:r="http://schemas.openxmlformats.org/officeDocument/2006/relationships" ax:classid="{8BD21D50-EC42-11CE-9E0D-00AA006002F3}" ax:persistence="persistStreamInit" r:id="rId1"/>
</file>

<file path=xl/activeX/activeX478.xml><?xml version="1.0" encoding="utf-8"?>
<ax:ocx xmlns:ax="http://schemas.microsoft.com/office/2006/activeX" xmlns:r="http://schemas.openxmlformats.org/officeDocument/2006/relationships" ax:classid="{8BD21D60-EC42-11CE-9E0D-00AA006002F3}" ax:persistence="persistStreamInit" r:id="rId1"/>
</file>

<file path=xl/activeX/activeX479.xml><?xml version="1.0" encoding="utf-8"?>
<ax:ocx xmlns:ax="http://schemas.microsoft.com/office/2006/activeX" xmlns:r="http://schemas.openxmlformats.org/officeDocument/2006/relationships" ax:classid="{8BD21D50-EC42-11CE-9E0D-00AA006002F3}" ax:persistence="persistStreamInit" r:id="rId1"/>
</file>

<file path=xl/activeX/activeX480.xml><?xml version="1.0" encoding="utf-8"?>
<ax:ocx xmlns:ax="http://schemas.microsoft.com/office/2006/activeX" xmlns:r="http://schemas.openxmlformats.org/officeDocument/2006/relationships" ax:classid="{8BD21D50-EC42-11CE-9E0D-00AA006002F3}" ax:persistence="persistStreamInit" r:id="rId1"/>
</file>

<file path=xl/activeX/activeX481.xml><?xml version="1.0" encoding="utf-8"?>
<ax:ocx xmlns:ax="http://schemas.microsoft.com/office/2006/activeX" xmlns:r="http://schemas.openxmlformats.org/officeDocument/2006/relationships" ax:classid="{8BD21D50-EC42-11CE-9E0D-00AA006002F3}" ax:persistence="persistStreamInit" r:id="rId1"/>
</file>

<file path=xl/activeX/activeX482.xml><?xml version="1.0" encoding="utf-8"?>
<ax:ocx xmlns:ax="http://schemas.microsoft.com/office/2006/activeX" xmlns:r="http://schemas.openxmlformats.org/officeDocument/2006/relationships" ax:classid="{8BD21D40-EC42-11CE-9E0D-00AA006002F3}" ax:persistence="persistStreamInit" r:id="rId1"/>
</file>

<file path=xl/activeX/activeX483.xml><?xml version="1.0" encoding="utf-8"?>
<ax:ocx xmlns:ax="http://schemas.microsoft.com/office/2006/activeX" xmlns:r="http://schemas.openxmlformats.org/officeDocument/2006/relationships" ax:classid="{8BD21D40-EC42-11CE-9E0D-00AA006002F3}" ax:persistence="persistStreamInit" r:id="rId1"/>
</file>

<file path=xl/activeX/activeX484.xml><?xml version="1.0" encoding="utf-8"?>
<ax:ocx xmlns:ax="http://schemas.microsoft.com/office/2006/activeX" xmlns:r="http://schemas.openxmlformats.org/officeDocument/2006/relationships" ax:classid="{8BD21D40-EC42-11CE-9E0D-00AA006002F3}" ax:persistence="persistStreamInit" r:id="rId1"/>
</file>

<file path=xl/activeX/activeX485.xml><?xml version="1.0" encoding="utf-8"?>
<ax:ocx xmlns:ax="http://schemas.microsoft.com/office/2006/activeX" xmlns:r="http://schemas.openxmlformats.org/officeDocument/2006/relationships" ax:classid="{8BD21D40-EC42-11CE-9E0D-00AA006002F3}" ax:persistence="persistStreamInit" r:id="rId1"/>
</file>

<file path=xl/activeX/activeX486.xml><?xml version="1.0" encoding="utf-8"?>
<ax:ocx xmlns:ax="http://schemas.microsoft.com/office/2006/activeX" xmlns:r="http://schemas.openxmlformats.org/officeDocument/2006/relationships" ax:classid="{8BD21D40-EC42-11CE-9E0D-00AA006002F3}" ax:persistence="persistStreamInit" r:id="rId1"/>
</file>

<file path=xl/activeX/activeX487.xml><?xml version="1.0" encoding="utf-8"?>
<ax:ocx xmlns:ax="http://schemas.microsoft.com/office/2006/activeX" xmlns:r="http://schemas.openxmlformats.org/officeDocument/2006/relationships" ax:classid="{8BD21D40-EC42-11CE-9E0D-00AA006002F3}" ax:persistence="persistStreamInit" r:id="rId1"/>
</file>

<file path=xl/activeX/activeX488.xml><?xml version="1.0" encoding="utf-8"?>
<ax:ocx xmlns:ax="http://schemas.microsoft.com/office/2006/activeX" xmlns:r="http://schemas.openxmlformats.org/officeDocument/2006/relationships" ax:classid="{8BD21D40-EC42-11CE-9E0D-00AA006002F3}" ax:persistence="persistStreamInit" r:id="rId1"/>
</file>

<file path=xl/activeX/activeX489.xml><?xml version="1.0" encoding="utf-8"?>
<ax:ocx xmlns:ax="http://schemas.microsoft.com/office/2006/activeX" xmlns:r="http://schemas.openxmlformats.org/officeDocument/2006/relationships" ax:classid="{8BD21D50-EC42-11CE-9E0D-00AA006002F3}" ax:persistence="persistStreamInit" r:id="rId1"/>
</file>

<file path=xl/activeX/activeX490.xml><?xml version="1.0" encoding="utf-8"?>
<ax:ocx xmlns:ax="http://schemas.microsoft.com/office/2006/activeX" xmlns:r="http://schemas.openxmlformats.org/officeDocument/2006/relationships" ax:classid="{8BD21D50-EC42-11CE-9E0D-00AA006002F3}" ax:persistence="persistStreamInit" r:id="rId1"/>
</file>

<file path=xl/activeX/activeX491.xml><?xml version="1.0" encoding="utf-8"?>
<ax:ocx xmlns:ax="http://schemas.microsoft.com/office/2006/activeX" xmlns:r="http://schemas.openxmlformats.org/officeDocument/2006/relationships" ax:classid="{8BD21D50-EC42-11CE-9E0D-00AA006002F3}" ax:persistence="persistStreamInit" r:id="rId1"/>
</file>

<file path=xl/activeX/activeX492.xml><?xml version="1.0" encoding="utf-8"?>
<ax:ocx xmlns:ax="http://schemas.microsoft.com/office/2006/activeX" xmlns:r="http://schemas.openxmlformats.org/officeDocument/2006/relationships" ax:classid="{8BD21D50-EC42-11CE-9E0D-00AA006002F3}" ax:persistence="persistStreamInit" r:id="rId1"/>
</file>

<file path=xl/activeX/activeX493.xml><?xml version="1.0" encoding="utf-8"?>
<ax:ocx xmlns:ax="http://schemas.microsoft.com/office/2006/activeX" xmlns:r="http://schemas.openxmlformats.org/officeDocument/2006/relationships" ax:classid="{8BD21D50-EC42-11CE-9E0D-00AA006002F3}" ax:persistence="persistStreamInit" r:id="rId1"/>
</file>

<file path=xl/activeX/activeX494.xml><?xml version="1.0" encoding="utf-8"?>
<ax:ocx xmlns:ax="http://schemas.microsoft.com/office/2006/activeX" xmlns:r="http://schemas.openxmlformats.org/officeDocument/2006/relationships" ax:classid="{8BD21D40-EC42-11CE-9E0D-00AA006002F3}" ax:persistence="persistStreamInit" r:id="rId1"/>
</file>

<file path=xl/activeX/activeX495.xml><?xml version="1.0" encoding="utf-8"?>
<ax:ocx xmlns:ax="http://schemas.microsoft.com/office/2006/activeX" xmlns:r="http://schemas.openxmlformats.org/officeDocument/2006/relationships" ax:classid="{8BD21D40-EC42-11CE-9E0D-00AA006002F3}" ax:persistence="persistStreamInit" r:id="rId1"/>
</file>

<file path=xl/activeX/activeX496.xml><?xml version="1.0" encoding="utf-8"?>
<ax:ocx xmlns:ax="http://schemas.microsoft.com/office/2006/activeX" xmlns:r="http://schemas.openxmlformats.org/officeDocument/2006/relationships" ax:classid="{8BD21D40-EC42-11CE-9E0D-00AA006002F3}" ax:persistence="persistStreamInit" r:id="rId1"/>
</file>

<file path=xl/activeX/activeX497.xml><?xml version="1.0" encoding="utf-8"?>
<ax:ocx xmlns:ax="http://schemas.microsoft.com/office/2006/activeX" xmlns:r="http://schemas.openxmlformats.org/officeDocument/2006/relationships" ax:classid="{8BD21D40-EC42-11CE-9E0D-00AA006002F3}" ax:persistence="persistStreamInit" r:id="rId1"/>
</file>

<file path=xl/activeX/activeX498.xml><?xml version="1.0" encoding="utf-8"?>
<ax:ocx xmlns:ax="http://schemas.microsoft.com/office/2006/activeX" xmlns:r="http://schemas.openxmlformats.org/officeDocument/2006/relationships" ax:classid="{8BD21D40-EC42-11CE-9E0D-00AA006002F3}" ax:persistence="persistStreamInit" r:id="rId1"/>
</file>

<file path=xl/activeX/activeX499.xml><?xml version="1.0" encoding="utf-8"?>
<ax:ocx xmlns:ax="http://schemas.microsoft.com/office/2006/activeX" xmlns:r="http://schemas.openxmlformats.org/officeDocument/2006/relationships" ax:classid="{8BD21D40-EC42-11CE-9E0D-00AA006002F3}" ax:persistence="persistStreamInit" r:id="rId1"/>
</file>

<file path=xl/activeX/activeX500.xml><?xml version="1.0" encoding="utf-8"?>
<ax:ocx xmlns:ax="http://schemas.microsoft.com/office/2006/activeX" xmlns:r="http://schemas.openxmlformats.org/officeDocument/2006/relationships" ax:classid="{8BD21D40-EC42-11CE-9E0D-00AA006002F3}" ax:persistence="persistStreamInit" r:id="rId1"/>
</file>

<file path=xl/activeX/activeX501.xml><?xml version="1.0" encoding="utf-8"?>
<ax:ocx xmlns:ax="http://schemas.microsoft.com/office/2006/activeX" xmlns:r="http://schemas.openxmlformats.org/officeDocument/2006/relationships" ax:classid="{8BD21D40-EC42-11CE-9E0D-00AA006002F3}" ax:persistence="persistStreamInit" r:id="rId1"/>
</file>

<file path=xl/activeX/activeX502.xml><?xml version="1.0" encoding="utf-8"?>
<ax:ocx xmlns:ax="http://schemas.microsoft.com/office/2006/activeX" xmlns:r="http://schemas.openxmlformats.org/officeDocument/2006/relationships" ax:classid="{8BD21D50-EC42-11CE-9E0D-00AA006002F3}" ax:persistence="persistStreamInit" r:id="rId1"/>
</file>

<file path=xl/activeX/activeX503.xml><?xml version="1.0" encoding="utf-8"?>
<ax:ocx xmlns:ax="http://schemas.microsoft.com/office/2006/activeX" xmlns:r="http://schemas.openxmlformats.org/officeDocument/2006/relationships" ax:classid="{8BD21D50-EC42-11CE-9E0D-00AA006002F3}" ax:persistence="persistStreamInit" r:id="rId1"/>
</file>

<file path=xl/activeX/activeX504.xml><?xml version="1.0" encoding="utf-8"?>
<ax:ocx xmlns:ax="http://schemas.microsoft.com/office/2006/activeX" xmlns:r="http://schemas.openxmlformats.org/officeDocument/2006/relationships" ax:classid="{8BD21D50-EC42-11CE-9E0D-00AA006002F3}" ax:persistence="persistStreamInit" r:id="rId1"/>
</file>

<file path=xl/activeX/activeX505.xml><?xml version="1.0" encoding="utf-8"?>
<ax:ocx xmlns:ax="http://schemas.microsoft.com/office/2006/activeX" xmlns:r="http://schemas.openxmlformats.org/officeDocument/2006/relationships" ax:classid="{8BD21D40-EC42-11CE-9E0D-00AA006002F3}" ax:persistence="persistStreamInit" r:id="rId1"/>
</file>

<file path=xl/activeX/activeX506.xml><?xml version="1.0" encoding="utf-8"?>
<ax:ocx xmlns:ax="http://schemas.microsoft.com/office/2006/activeX" xmlns:r="http://schemas.openxmlformats.org/officeDocument/2006/relationships" ax:classid="{8BD21D40-EC42-11CE-9E0D-00AA006002F3}" ax:persistence="persistStreamInit" r:id="rId1"/>
</file>

<file path=xl/activeX/activeX507.xml><?xml version="1.0" encoding="utf-8"?>
<ax:ocx xmlns:ax="http://schemas.microsoft.com/office/2006/activeX" xmlns:r="http://schemas.openxmlformats.org/officeDocument/2006/relationships" ax:classid="{8BD21D40-EC42-11CE-9E0D-00AA006002F3}" ax:persistence="persistStreamInit" r:id="rId1"/>
</file>

<file path=xl/activeX/activeX508.xml><?xml version="1.0" encoding="utf-8"?>
<ax:ocx xmlns:ax="http://schemas.microsoft.com/office/2006/activeX" xmlns:r="http://schemas.openxmlformats.org/officeDocument/2006/relationships" ax:classid="{8BD21D40-EC42-11CE-9E0D-00AA006002F3}" ax:persistence="persistStreamInit" r:id="rId1"/>
</file>

<file path=xl/activeX/activeX509.xml><?xml version="1.0" encoding="utf-8"?>
<ax:ocx xmlns:ax="http://schemas.microsoft.com/office/2006/activeX" xmlns:r="http://schemas.openxmlformats.org/officeDocument/2006/relationships" ax:classid="{8BD21D40-EC42-11CE-9E0D-00AA006002F3}" ax:persistence="persistStreamInit" r:id="rId1"/>
</file>

<file path=xl/activeX/activeX510.xml><?xml version="1.0" encoding="utf-8"?>
<ax:ocx xmlns:ax="http://schemas.microsoft.com/office/2006/activeX" xmlns:r="http://schemas.openxmlformats.org/officeDocument/2006/relationships" ax:classid="{8BD21D40-EC42-11CE-9E0D-00AA006002F3}" ax:persistence="persistStreamInit" r:id="rId1"/>
</file>

<file path=xl/activeX/activeX511.xml><?xml version="1.0" encoding="utf-8"?>
<ax:ocx xmlns:ax="http://schemas.microsoft.com/office/2006/activeX" xmlns:r="http://schemas.openxmlformats.org/officeDocument/2006/relationships" ax:classid="{8BD21D40-EC42-11CE-9E0D-00AA006002F3}" ax:persistence="persistStreamInit" r:id="rId1"/>
</file>

<file path=xl/activeX/activeX512.xml><?xml version="1.0" encoding="utf-8"?>
<ax:ocx xmlns:ax="http://schemas.microsoft.com/office/2006/activeX" xmlns:r="http://schemas.openxmlformats.org/officeDocument/2006/relationships" ax:classid="{8BD21D40-EC42-11CE-9E0D-00AA006002F3}" ax:persistence="persistStreamInit" r:id="rId1"/>
</file>

<file path=xl/activeX/activeX513.xml><?xml version="1.0" encoding="utf-8"?>
<ax:ocx xmlns:ax="http://schemas.microsoft.com/office/2006/activeX" xmlns:r="http://schemas.openxmlformats.org/officeDocument/2006/relationships" ax:classid="{8BD21D40-EC42-11CE-9E0D-00AA006002F3}" ax:persistence="persistStreamInit" r:id="rId1"/>
</file>

<file path=xl/activeX/activeX514.xml><?xml version="1.0" encoding="utf-8"?>
<ax:ocx xmlns:ax="http://schemas.microsoft.com/office/2006/activeX" xmlns:r="http://schemas.openxmlformats.org/officeDocument/2006/relationships" ax:classid="{8BD21D40-EC42-11CE-9E0D-00AA006002F3}" ax:persistence="persistStreamInit" r:id="rId1"/>
</file>

<file path=xl/activeX/activeX515.xml><?xml version="1.0" encoding="utf-8"?>
<ax:ocx xmlns:ax="http://schemas.microsoft.com/office/2006/activeX" xmlns:r="http://schemas.openxmlformats.org/officeDocument/2006/relationships" ax:classid="{8BD21D40-EC42-11CE-9E0D-00AA006002F3}" ax:persistence="persistStreamInit" r:id="rId1"/>
</file>

<file path=xl/activeX/activeX516.xml><?xml version="1.0" encoding="utf-8"?>
<ax:ocx xmlns:ax="http://schemas.microsoft.com/office/2006/activeX" xmlns:r="http://schemas.openxmlformats.org/officeDocument/2006/relationships" ax:classid="{8BD21D40-EC42-11CE-9E0D-00AA006002F3}" ax:persistence="persistStreamInit" r:id="rId1"/>
</file>

<file path=xl/activeX/activeX517.xml><?xml version="1.0" encoding="utf-8"?>
<ax:ocx xmlns:ax="http://schemas.microsoft.com/office/2006/activeX" xmlns:r="http://schemas.openxmlformats.org/officeDocument/2006/relationships" ax:classid="{D7053240-CE69-11CD-A777-00DD01143C57}" ax:persistence="persistStreamInit" r:id="rId1"/>
</file>

<file path=xl/activeX/activeX518.xml><?xml version="1.0" encoding="utf-8"?>
<ax:ocx xmlns:ax="http://schemas.microsoft.com/office/2006/activeX" xmlns:r="http://schemas.openxmlformats.org/officeDocument/2006/relationships" ax:classid="{8BD21D50-EC42-11CE-9E0D-00AA006002F3}" ax:persistence="persistStreamInit" r:id="rId1"/>
</file>

<file path=xl/activeX/activeX519.xml><?xml version="1.0" encoding="utf-8"?>
<ax:ocx xmlns:ax="http://schemas.microsoft.com/office/2006/activeX" xmlns:r="http://schemas.openxmlformats.org/officeDocument/2006/relationships" ax:classid="{8BD21D40-EC42-11CE-9E0D-00AA006002F3}" ax:persistence="persistStreamInit" r:id="rId1"/>
</file>

<file path=xl/activeX/activeX520.xml><?xml version="1.0" encoding="utf-8"?>
<ax:ocx xmlns:ax="http://schemas.microsoft.com/office/2006/activeX" xmlns:r="http://schemas.openxmlformats.org/officeDocument/2006/relationships" ax:classid="{8BD21D40-EC42-11CE-9E0D-00AA006002F3}" ax:persistence="persistStreamInit" r:id="rId1"/>
</file>

<file path=xl/activeX/activeX521.xml><?xml version="1.0" encoding="utf-8"?>
<ax:ocx xmlns:ax="http://schemas.microsoft.com/office/2006/activeX" xmlns:r="http://schemas.openxmlformats.org/officeDocument/2006/relationships" ax:classid="{8BD21D40-EC42-11CE-9E0D-00AA006002F3}" ax:persistence="persistStreamInit" r:id="rId1"/>
</file>

<file path=xl/activeX/activeX522.xml><?xml version="1.0" encoding="utf-8"?>
<ax:ocx xmlns:ax="http://schemas.microsoft.com/office/2006/activeX" xmlns:r="http://schemas.openxmlformats.org/officeDocument/2006/relationships" ax:classid="{8BD21D50-EC42-11CE-9E0D-00AA006002F3}" ax:persistence="persistStreamInit" r:id="rId1"/>
</file>

<file path=xl/activeX/activeX523.xml><?xml version="1.0" encoding="utf-8"?>
<ax:ocx xmlns:ax="http://schemas.microsoft.com/office/2006/activeX" xmlns:r="http://schemas.openxmlformats.org/officeDocument/2006/relationships" ax:classid="{8BD21D50-EC42-11CE-9E0D-00AA006002F3}" ax:persistence="persistStreamInit" r:id="rId1"/>
</file>

<file path=xl/activeX/activeX524.xml><?xml version="1.0" encoding="utf-8"?>
<ax:ocx xmlns:ax="http://schemas.microsoft.com/office/2006/activeX" xmlns:r="http://schemas.openxmlformats.org/officeDocument/2006/relationships" ax:classid="{8BD21D40-EC42-11CE-9E0D-00AA006002F3}" ax:persistence="persistStreamInit" r:id="rId1"/>
</file>

<file path=xl/activeX/activeX525.xml><?xml version="1.0" encoding="utf-8"?>
<ax:ocx xmlns:ax="http://schemas.microsoft.com/office/2006/activeX" xmlns:r="http://schemas.openxmlformats.org/officeDocument/2006/relationships" ax:classid="{8BD21D40-EC42-11CE-9E0D-00AA006002F3}" ax:persistence="persistStreamInit" r:id="rId1"/>
</file>

<file path=xl/activeX/activeX526.xml><?xml version="1.0" encoding="utf-8"?>
<ax:ocx xmlns:ax="http://schemas.microsoft.com/office/2006/activeX" xmlns:r="http://schemas.openxmlformats.org/officeDocument/2006/relationships" ax:classid="{8BD21D40-EC42-11CE-9E0D-00AA006002F3}" ax:persistence="persistStreamInit" r:id="rId1"/>
</file>

<file path=xl/activeX/activeX527.xml><?xml version="1.0" encoding="utf-8"?>
<ax:ocx xmlns:ax="http://schemas.microsoft.com/office/2006/activeX" xmlns:r="http://schemas.openxmlformats.org/officeDocument/2006/relationships" ax:classid="{8BD21D40-EC42-11CE-9E0D-00AA006002F3}" ax:persistence="persistStreamInit" r:id="rId1"/>
</file>

<file path=xl/activeX/activeX528.xml><?xml version="1.0" encoding="utf-8"?>
<ax:ocx xmlns:ax="http://schemas.microsoft.com/office/2006/activeX" xmlns:r="http://schemas.openxmlformats.org/officeDocument/2006/relationships" ax:classid="{8BD21D40-EC42-11CE-9E0D-00AA006002F3}" ax:persistence="persistStreamInit" r:id="rId1"/>
</file>

<file path=xl/activeX/activeX529.xml><?xml version="1.0" encoding="utf-8"?>
<ax:ocx xmlns:ax="http://schemas.microsoft.com/office/2006/activeX" xmlns:r="http://schemas.openxmlformats.org/officeDocument/2006/relationships" ax:classid="{8BD21D50-EC42-11CE-9E0D-00AA006002F3}" ax:persistence="persistStreamInit" r:id="rId1"/>
</file>

<file path=xl/activeX/activeX530.xml><?xml version="1.0" encoding="utf-8"?>
<ax:ocx xmlns:ax="http://schemas.microsoft.com/office/2006/activeX" xmlns:r="http://schemas.openxmlformats.org/officeDocument/2006/relationships" ax:classid="{8BD21D40-EC42-11CE-9E0D-00AA006002F3}" ax:persistence="persistStreamInit" r:id="rId1"/>
</file>

<file path=xl/activeX/activeX531.xml><?xml version="1.0" encoding="utf-8"?>
<ax:ocx xmlns:ax="http://schemas.microsoft.com/office/2006/activeX" xmlns:r="http://schemas.openxmlformats.org/officeDocument/2006/relationships" ax:classid="{8BD21D30-EC42-11CE-9E0D-00AA006002F3}" ax:persistence="persistStreamInit" r:id="rId1"/>
</file>

<file path=xl/activeX/activeX532.xml><?xml version="1.0" encoding="utf-8"?>
<ax:ocx xmlns:ax="http://schemas.microsoft.com/office/2006/activeX" xmlns:r="http://schemas.openxmlformats.org/officeDocument/2006/relationships" ax:classid="{8BD21D40-EC42-11CE-9E0D-00AA006002F3}" ax:persistence="persistStreamInit" r:id="rId1"/>
</file>

<file path=xl/activeX/activeX533.xml><?xml version="1.0" encoding="utf-8"?>
<ax:ocx xmlns:ax="http://schemas.microsoft.com/office/2006/activeX" xmlns:r="http://schemas.openxmlformats.org/officeDocument/2006/relationships" ax:classid="{8BD21D40-EC42-11CE-9E0D-00AA006002F3}" ax:persistence="persistStreamInit" r:id="rId1"/>
</file>

<file path=xl/activeX/activeX534.xml><?xml version="1.0" encoding="utf-8"?>
<ax:ocx xmlns:ax="http://schemas.microsoft.com/office/2006/activeX" xmlns:r="http://schemas.openxmlformats.org/officeDocument/2006/relationships" ax:classid="{8BD21D40-EC42-11CE-9E0D-00AA006002F3}" ax:persistence="persistStreamInit" r:id="rId1"/>
</file>

<file path=xl/activeX/activeX535.xml><?xml version="1.0" encoding="utf-8"?>
<ax:ocx xmlns:ax="http://schemas.microsoft.com/office/2006/activeX" xmlns:r="http://schemas.openxmlformats.org/officeDocument/2006/relationships" ax:classid="{8BD21D40-EC42-11CE-9E0D-00AA006002F3}" ax:persistence="persistStreamInit" r:id="rId1"/>
</file>

<file path=xl/activeX/activeX536.xml><?xml version="1.0" encoding="utf-8"?>
<ax:ocx xmlns:ax="http://schemas.microsoft.com/office/2006/activeX" xmlns:r="http://schemas.openxmlformats.org/officeDocument/2006/relationships" ax:classid="{8BD21D40-EC42-11CE-9E0D-00AA006002F3}" ax:persistence="persistStreamInit" r:id="rId1"/>
</file>

<file path=xl/activeX/activeX537.xml><?xml version="1.0" encoding="utf-8"?>
<ax:ocx xmlns:ax="http://schemas.microsoft.com/office/2006/activeX" xmlns:r="http://schemas.openxmlformats.org/officeDocument/2006/relationships" ax:classid="{8BD21D40-EC42-11CE-9E0D-00AA006002F3}" ax:persistence="persistStreamInit" r:id="rId1"/>
</file>

<file path=xl/activeX/activeX538.xml><?xml version="1.0" encoding="utf-8"?>
<ax:ocx xmlns:ax="http://schemas.microsoft.com/office/2006/activeX" xmlns:r="http://schemas.openxmlformats.org/officeDocument/2006/relationships" ax:classid="{8BD21D30-EC42-11CE-9E0D-00AA006002F3}" ax:persistence="persistStreamInit" r:id="rId1"/>
</file>

<file path=xl/activeX/activeX539.xml><?xml version="1.0" encoding="utf-8"?>
<ax:ocx xmlns:ax="http://schemas.microsoft.com/office/2006/activeX" xmlns:r="http://schemas.openxmlformats.org/officeDocument/2006/relationships" ax:classid="{8BD21D50-EC42-11CE-9E0D-00AA006002F3}" ax:persistence="persistStreamInit" r:id="rId1"/>
</file>

<file path=xl/activeX/activeX540.xml><?xml version="1.0" encoding="utf-8"?>
<ax:ocx xmlns:ax="http://schemas.microsoft.com/office/2006/activeX" xmlns:r="http://schemas.openxmlformats.org/officeDocument/2006/relationships" ax:classid="{8BD21D50-EC42-11CE-9E0D-00AA006002F3}" ax:persistence="persistStreamInit" r:id="rId1"/>
</file>

<file path=xl/activeX/activeX541.xml><?xml version="1.0" encoding="utf-8"?>
<ax:ocx xmlns:ax="http://schemas.microsoft.com/office/2006/activeX" xmlns:r="http://schemas.openxmlformats.org/officeDocument/2006/relationships" ax:classid="{8BD21D50-EC42-11CE-9E0D-00AA006002F3}" ax:persistence="persistStreamInit" r:id="rId1"/>
</file>

<file path=xl/activeX/activeX542.xml><?xml version="1.0" encoding="utf-8"?>
<ax:ocx xmlns:ax="http://schemas.microsoft.com/office/2006/activeX" xmlns:r="http://schemas.openxmlformats.org/officeDocument/2006/relationships" ax:classid="{8BD21D40-EC42-11CE-9E0D-00AA006002F3}" ax:persistence="persistStreamInit" r:id="rId1"/>
</file>

<file path=xl/activeX/activeX543.xml><?xml version="1.0" encoding="utf-8"?>
<ax:ocx xmlns:ax="http://schemas.microsoft.com/office/2006/activeX" xmlns:r="http://schemas.openxmlformats.org/officeDocument/2006/relationships" ax:classid="{8BD21D40-EC42-11CE-9E0D-00AA006002F3}" ax:persistence="persistStreamInit" r:id="rId1"/>
</file>

<file path=xl/activeX/activeX544.xml><?xml version="1.0" encoding="utf-8"?>
<ax:ocx xmlns:ax="http://schemas.microsoft.com/office/2006/activeX" xmlns:r="http://schemas.openxmlformats.org/officeDocument/2006/relationships" ax:classid="{8BD21D40-EC42-11CE-9E0D-00AA006002F3}" ax:persistence="persistStreamInit" r:id="rId1"/>
</file>

<file path=xl/activeX/activeX545.xml><?xml version="1.0" encoding="utf-8"?>
<ax:ocx xmlns:ax="http://schemas.microsoft.com/office/2006/activeX" xmlns:r="http://schemas.openxmlformats.org/officeDocument/2006/relationships" ax:classid="{8BD21D40-EC42-11CE-9E0D-00AA006002F3}" ax:persistence="persistStreamInit" r:id="rId1"/>
</file>

<file path=xl/activeX/activeX546.xml><?xml version="1.0" encoding="utf-8"?>
<ax:ocx xmlns:ax="http://schemas.microsoft.com/office/2006/activeX" xmlns:r="http://schemas.openxmlformats.org/officeDocument/2006/relationships" ax:classid="{8BD21D40-EC42-11CE-9E0D-00AA006002F3}" ax:persistence="persistStreamInit" r:id="rId1"/>
</file>

<file path=xl/activeX/activeX547.xml><?xml version="1.0" encoding="utf-8"?>
<ax:ocx xmlns:ax="http://schemas.microsoft.com/office/2006/activeX" xmlns:r="http://schemas.openxmlformats.org/officeDocument/2006/relationships" ax:classid="{8BD21D40-EC42-11CE-9E0D-00AA006002F3}" ax:persistence="persistStreamInit" r:id="rId1"/>
</file>

<file path=xl/activeX/activeX548.xml><?xml version="1.0" encoding="utf-8"?>
<ax:ocx xmlns:ax="http://schemas.microsoft.com/office/2006/activeX" xmlns:r="http://schemas.openxmlformats.org/officeDocument/2006/relationships" ax:classid="{8BD21D40-EC42-11CE-9E0D-00AA006002F3}" ax:persistence="persistStreamInit" r:id="rId1"/>
</file>

<file path=xl/activeX/activeX549.xml><?xml version="1.0" encoding="utf-8"?>
<ax:ocx xmlns:ax="http://schemas.microsoft.com/office/2006/activeX" xmlns:r="http://schemas.openxmlformats.org/officeDocument/2006/relationships" ax:classid="{8BD21D40-EC42-11CE-9E0D-00AA006002F3}" ax:persistence="persistStreamInit" r:id="rId1"/>
</file>

<file path=xl/activeX/activeX550.xml><?xml version="1.0" encoding="utf-8"?>
<ax:ocx xmlns:ax="http://schemas.microsoft.com/office/2006/activeX" xmlns:r="http://schemas.openxmlformats.org/officeDocument/2006/relationships" ax:classid="{8BD21D40-EC42-11CE-9E0D-00AA006002F3}" ax:persistence="persistStreamInit" r:id="rId1"/>
</file>

<file path=xl/activeX/activeX551.xml><?xml version="1.0" encoding="utf-8"?>
<ax:ocx xmlns:ax="http://schemas.microsoft.com/office/2006/activeX" xmlns:r="http://schemas.openxmlformats.org/officeDocument/2006/relationships" ax:classid="{8BD21D40-EC42-11CE-9E0D-00AA006002F3}" ax:persistence="persistStreamInit" r:id="rId1"/>
</file>

<file path=xl/activeX/activeX552.xml><?xml version="1.0" encoding="utf-8"?>
<ax:ocx xmlns:ax="http://schemas.microsoft.com/office/2006/activeX" xmlns:r="http://schemas.openxmlformats.org/officeDocument/2006/relationships" ax:classid="{8BD21D40-EC42-11CE-9E0D-00AA006002F3}" ax:persistence="persistStreamInit" r:id="rId1"/>
</file>

<file path=xl/activeX/activeX553.xml><?xml version="1.0" encoding="utf-8"?>
<ax:ocx xmlns:ax="http://schemas.microsoft.com/office/2006/activeX" xmlns:r="http://schemas.openxmlformats.org/officeDocument/2006/relationships" ax:classid="{8BD21D40-EC42-11CE-9E0D-00AA006002F3}" ax:persistence="persistStreamInit" r:id="rId1"/>
</file>

<file path=xl/activeX/activeX554.xml><?xml version="1.0" encoding="utf-8"?>
<ax:ocx xmlns:ax="http://schemas.microsoft.com/office/2006/activeX" xmlns:r="http://schemas.openxmlformats.org/officeDocument/2006/relationships" ax:classid="{8BD21D40-EC42-11CE-9E0D-00AA006002F3}" ax:persistence="persistStreamInit" r:id="rId1"/>
</file>

<file path=xl/activeX/activeX555.xml><?xml version="1.0" encoding="utf-8"?>
<ax:ocx xmlns:ax="http://schemas.microsoft.com/office/2006/activeX" xmlns:r="http://schemas.openxmlformats.org/officeDocument/2006/relationships" ax:classid="{8BD21D40-EC42-11CE-9E0D-00AA006002F3}" ax:persistence="persistStreamInit" r:id="rId1"/>
</file>

<file path=xl/activeX/activeX556.xml><?xml version="1.0" encoding="utf-8"?>
<ax:ocx xmlns:ax="http://schemas.microsoft.com/office/2006/activeX" xmlns:r="http://schemas.openxmlformats.org/officeDocument/2006/relationships" ax:classid="{8BD21D40-EC42-11CE-9E0D-00AA006002F3}" ax:persistence="persistStreamInit" r:id="rId1"/>
</file>

<file path=xl/activeX/activeX557.xml><?xml version="1.0" encoding="utf-8"?>
<ax:ocx xmlns:ax="http://schemas.microsoft.com/office/2006/activeX" xmlns:r="http://schemas.openxmlformats.org/officeDocument/2006/relationships" ax:classid="{8BD21D40-EC42-11CE-9E0D-00AA006002F3}" ax:persistence="persistStreamInit" r:id="rId1"/>
</file>

<file path=xl/activeX/activeX558.xml><?xml version="1.0" encoding="utf-8"?>
<ax:ocx xmlns:ax="http://schemas.microsoft.com/office/2006/activeX" xmlns:r="http://schemas.openxmlformats.org/officeDocument/2006/relationships" ax:classid="{8BD21D40-EC42-11CE-9E0D-00AA006002F3}" ax:persistence="persistStreamInit" r:id="rId1"/>
</file>

<file path=xl/activeX/activeX559.xml><?xml version="1.0" encoding="utf-8"?>
<ax:ocx xmlns:ax="http://schemas.microsoft.com/office/2006/activeX" xmlns:r="http://schemas.openxmlformats.org/officeDocument/2006/relationships" ax:classid="{8BD21D40-EC42-11CE-9E0D-00AA006002F3}" ax:persistence="persistStreamInit" r:id="rId1"/>
</file>

<file path=xl/activeX/activeX560.xml><?xml version="1.0" encoding="utf-8"?>
<ax:ocx xmlns:ax="http://schemas.microsoft.com/office/2006/activeX" xmlns:r="http://schemas.openxmlformats.org/officeDocument/2006/relationships" ax:classid="{D7053240-CE69-11CD-A777-00DD01143C57}" ax:persistence="persistStreamInit" r:id="rId1"/>
</file>

<file path=xl/activeX/activeX561.xml><?xml version="1.0" encoding="utf-8"?>
<ax:ocx xmlns:ax="http://schemas.microsoft.com/office/2006/activeX" xmlns:r="http://schemas.openxmlformats.org/officeDocument/2006/relationships" ax:classid="{8BD21D40-EC42-11CE-9E0D-00AA006002F3}" ax:persistence="persistStreamInit" r:id="rId1"/>
</file>

<file path=xl/activeX/activeX562.xml><?xml version="1.0" encoding="utf-8"?>
<ax:ocx xmlns:ax="http://schemas.microsoft.com/office/2006/activeX" xmlns:r="http://schemas.openxmlformats.org/officeDocument/2006/relationships" ax:classid="{8BD21D50-EC42-11CE-9E0D-00AA006002F3}" ax:persistence="persistStreamInit" r:id="rId1"/>
</file>

<file path=xl/activeX/activeX563.xml><?xml version="1.0" encoding="utf-8"?>
<ax:ocx xmlns:ax="http://schemas.microsoft.com/office/2006/activeX" xmlns:r="http://schemas.openxmlformats.org/officeDocument/2006/relationships" ax:classid="{8BD21D50-EC42-11CE-9E0D-00AA006002F3}" ax:persistence="persistStreamInit" r:id="rId1"/>
</file>

<file path=xl/activeX/activeX564.xml><?xml version="1.0" encoding="utf-8"?>
<ax:ocx xmlns:ax="http://schemas.microsoft.com/office/2006/activeX" xmlns:r="http://schemas.openxmlformats.org/officeDocument/2006/relationships" ax:classid="{8BD21D50-EC42-11CE-9E0D-00AA006002F3}" ax:persistence="persistStreamInit" r:id="rId1"/>
</file>

<file path=xl/activeX/activeX565.xml><?xml version="1.0" encoding="utf-8"?>
<ax:ocx xmlns:ax="http://schemas.microsoft.com/office/2006/activeX" xmlns:r="http://schemas.openxmlformats.org/officeDocument/2006/relationships" ax:classid="{8BD21D50-EC42-11CE-9E0D-00AA006002F3}" ax:persistence="persistStreamInit" r:id="rId1"/>
</file>

<file path=xl/activeX/activeX566.xml><?xml version="1.0" encoding="utf-8"?>
<ax:ocx xmlns:ax="http://schemas.microsoft.com/office/2006/activeX" xmlns:r="http://schemas.openxmlformats.org/officeDocument/2006/relationships" ax:classid="{8BD21D50-EC42-11CE-9E0D-00AA006002F3}" ax:persistence="persistStreamInit" r:id="rId1"/>
</file>

<file path=xl/activeX/activeX567.xml><?xml version="1.0" encoding="utf-8"?>
<ax:ocx xmlns:ax="http://schemas.microsoft.com/office/2006/activeX" xmlns:r="http://schemas.openxmlformats.org/officeDocument/2006/relationships" ax:classid="{8BD21D40-EC42-11CE-9E0D-00AA006002F3}" ax:persistence="persistStreamInit" r:id="rId1"/>
</file>

<file path=xl/activeX/activeX568.xml><?xml version="1.0" encoding="utf-8"?>
<ax:ocx xmlns:ax="http://schemas.microsoft.com/office/2006/activeX" xmlns:r="http://schemas.openxmlformats.org/officeDocument/2006/relationships" ax:classid="{8BD21D40-EC42-11CE-9E0D-00AA006002F3}" ax:persistence="persistStreamInit" r:id="rId1"/>
</file>

<file path=xl/activeX/activeX569.xml><?xml version="1.0" encoding="utf-8"?>
<ax:ocx xmlns:ax="http://schemas.microsoft.com/office/2006/activeX" xmlns:r="http://schemas.openxmlformats.org/officeDocument/2006/relationships" ax:classid="{8BD21D40-EC42-11CE-9E0D-00AA006002F3}" ax:persistence="persistStreamInit" r:id="rId1"/>
</file>

<file path=xl/activeX/activeX570.xml><?xml version="1.0" encoding="utf-8"?>
<ax:ocx xmlns:ax="http://schemas.microsoft.com/office/2006/activeX" xmlns:r="http://schemas.openxmlformats.org/officeDocument/2006/relationships" ax:classid="{8BD21D40-EC42-11CE-9E0D-00AA006002F3}" ax:persistence="persistStreamInit" r:id="rId1"/>
</file>

<file path=xl/activeX/activeX571.xml><?xml version="1.0" encoding="utf-8"?>
<ax:ocx xmlns:ax="http://schemas.microsoft.com/office/2006/activeX" xmlns:r="http://schemas.openxmlformats.org/officeDocument/2006/relationships" ax:classid="{8BD21D40-EC42-11CE-9E0D-00AA006002F3}" ax:persistence="persistStreamInit" r:id="rId1"/>
</file>

<file path=xl/activeX/activeX572.xml><?xml version="1.0" encoding="utf-8"?>
<ax:ocx xmlns:ax="http://schemas.microsoft.com/office/2006/activeX" xmlns:r="http://schemas.openxmlformats.org/officeDocument/2006/relationships" ax:classid="{8BD21D40-EC42-11CE-9E0D-00AA006002F3}" ax:persistence="persistStreamInit" r:id="rId1"/>
</file>

<file path=xl/activeX/activeX573.xml><?xml version="1.0" encoding="utf-8"?>
<ax:ocx xmlns:ax="http://schemas.microsoft.com/office/2006/activeX" xmlns:r="http://schemas.openxmlformats.org/officeDocument/2006/relationships" ax:classid="{8BD21D40-EC42-11CE-9E0D-00AA006002F3}" ax:persistence="persistStreamInit" r:id="rId1"/>
</file>

<file path=xl/activeX/activeX574.xml><?xml version="1.0" encoding="utf-8"?>
<ax:ocx xmlns:ax="http://schemas.microsoft.com/office/2006/activeX" xmlns:r="http://schemas.openxmlformats.org/officeDocument/2006/relationships" ax:classid="{8BD21D40-EC42-11CE-9E0D-00AA006002F3}" ax:persistence="persistStreamInit" r:id="rId1"/>
</file>

<file path=xl/activeX/activeX575.xml><?xml version="1.0" encoding="utf-8"?>
<ax:ocx xmlns:ax="http://schemas.microsoft.com/office/2006/activeX" xmlns:r="http://schemas.openxmlformats.org/officeDocument/2006/relationships" ax:classid="{8BD21D40-EC42-11CE-9E0D-00AA006002F3}" ax:persistence="persistStreamInit" r:id="rId1"/>
</file>

<file path=xl/activeX/activeX576.xml><?xml version="1.0" encoding="utf-8"?>
<ax:ocx xmlns:ax="http://schemas.microsoft.com/office/2006/activeX" xmlns:r="http://schemas.openxmlformats.org/officeDocument/2006/relationships" ax:classid="{8BD21D40-EC42-11CE-9E0D-00AA006002F3}" ax:persistence="persistStreamInit" r:id="rId1"/>
</file>

<file path=xl/activeX/activeX577.xml><?xml version="1.0" encoding="utf-8"?>
<ax:ocx xmlns:ax="http://schemas.microsoft.com/office/2006/activeX" xmlns:r="http://schemas.openxmlformats.org/officeDocument/2006/relationships" ax:classid="{8BD21D40-EC42-11CE-9E0D-00AA006002F3}" ax:persistence="persistStreamInit" r:id="rId1"/>
</file>

<file path=xl/activeX/activeX578.xml><?xml version="1.0" encoding="utf-8"?>
<ax:ocx xmlns:ax="http://schemas.microsoft.com/office/2006/activeX" xmlns:r="http://schemas.openxmlformats.org/officeDocument/2006/relationships" ax:classid="{8BD21D40-EC42-11CE-9E0D-00AA006002F3}" ax:persistence="persistStreamInit" r:id="rId1"/>
</file>

<file path=xl/activeX/activeX579.xml><?xml version="1.0" encoding="utf-8"?>
<ax:ocx xmlns:ax="http://schemas.microsoft.com/office/2006/activeX" xmlns:r="http://schemas.openxmlformats.org/officeDocument/2006/relationships" ax:classid="{8BD21D50-EC42-11CE-9E0D-00AA006002F3}" ax:persistence="persistStreamInit" r:id="rId1"/>
</file>

<file path=xl/activeX/activeX580.xml><?xml version="1.0" encoding="utf-8"?>
<ax:ocx xmlns:ax="http://schemas.microsoft.com/office/2006/activeX" xmlns:r="http://schemas.openxmlformats.org/officeDocument/2006/relationships" ax:classid="{8BD21D50-EC42-11CE-9E0D-00AA006002F3}" ax:persistence="persistStreamInit" r:id="rId1"/>
</file>

<file path=xl/activeX/activeX581.xml><?xml version="1.0" encoding="utf-8"?>
<ax:ocx xmlns:ax="http://schemas.microsoft.com/office/2006/activeX" xmlns:r="http://schemas.openxmlformats.org/officeDocument/2006/relationships" ax:classid="{8BD21D50-EC42-11CE-9E0D-00AA006002F3}" ax:persistence="persistStreamInit" r:id="rId1"/>
</file>

<file path=xl/activeX/activeX582.xml><?xml version="1.0" encoding="utf-8"?>
<ax:ocx xmlns:ax="http://schemas.microsoft.com/office/2006/activeX" xmlns:r="http://schemas.openxmlformats.org/officeDocument/2006/relationships" ax:classid="{D7053240-CE69-11CD-A777-00DD01143C57}" ax:persistence="persistStreamInit" r:id="rId1"/>
</file>

<file path=xl/activeX/activeX583.xml><?xml version="1.0" encoding="utf-8"?>
<ax:ocx xmlns:ax="http://schemas.microsoft.com/office/2006/activeX" xmlns:r="http://schemas.openxmlformats.org/officeDocument/2006/relationships" ax:classid="{D7053240-CE69-11CD-A777-00DD01143C57}" ax:persistence="persistStreamInit" r:id="rId1"/>
</file>

<file path=xl/drawings/_rels/drawing4.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jpeg"/></Relationships>
</file>

<file path=xl/drawings/_rels/drawing31.xml.rels><?xml version="1.0" encoding="UTF-8" standalone="yes"?>
<Relationships xmlns="http://schemas.openxmlformats.org/package/2006/relationships"><Relationship Id="rId2" Type="http://schemas.openxmlformats.org/officeDocument/2006/relationships/image" Target="../media/image88.png"/><Relationship Id="rId1" Type="http://schemas.openxmlformats.org/officeDocument/2006/relationships/image" Target="../media/image87.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26" Type="http://schemas.openxmlformats.org/officeDocument/2006/relationships/image" Target="../media/image3.emf"/><Relationship Id="rId3" Type="http://schemas.openxmlformats.org/officeDocument/2006/relationships/image" Target="../media/image8.emf"/><Relationship Id="rId21" Type="http://schemas.openxmlformats.org/officeDocument/2006/relationships/image" Target="../media/image26.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5" Type="http://schemas.openxmlformats.org/officeDocument/2006/relationships/image" Target="../media/image4.emf"/><Relationship Id="rId2" Type="http://schemas.openxmlformats.org/officeDocument/2006/relationships/image" Target="../media/image7.emf"/><Relationship Id="rId16" Type="http://schemas.openxmlformats.org/officeDocument/2006/relationships/image" Target="../media/image21.emf"/><Relationship Id="rId20" Type="http://schemas.openxmlformats.org/officeDocument/2006/relationships/image" Target="../media/image25.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24" Type="http://schemas.openxmlformats.org/officeDocument/2006/relationships/image" Target="../media/image5.emf"/><Relationship Id="rId5" Type="http://schemas.openxmlformats.org/officeDocument/2006/relationships/image" Target="../media/image10.emf"/><Relationship Id="rId15" Type="http://schemas.openxmlformats.org/officeDocument/2006/relationships/image" Target="../media/image20.emf"/><Relationship Id="rId23" Type="http://schemas.openxmlformats.org/officeDocument/2006/relationships/image" Target="../media/image28.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 Id="rId22" Type="http://schemas.openxmlformats.org/officeDocument/2006/relationships/image" Target="../media/image2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3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3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 Id="rId5" Type="http://schemas.openxmlformats.org/officeDocument/2006/relationships/image" Target="../media/image38.emf"/><Relationship Id="rId4" Type="http://schemas.openxmlformats.org/officeDocument/2006/relationships/image" Target="../media/image39.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7.emf"/><Relationship Id="rId5" Type="http://schemas.openxmlformats.org/officeDocument/2006/relationships/image" Target="../media/image45.emf"/><Relationship Id="rId4"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51.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52.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33.emf"/><Relationship Id="rId1" Type="http://schemas.openxmlformats.org/officeDocument/2006/relationships/image" Target="../media/image53.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56.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33.emf"/><Relationship Id="rId1" Type="http://schemas.openxmlformats.org/officeDocument/2006/relationships/image" Target="../media/image56.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57.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58.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59.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59.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60.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 Id="rId4" Type="http://schemas.openxmlformats.org/officeDocument/2006/relationships/image" Target="../media/image64.emf"/></Relationships>
</file>

<file path=xl/drawings/_rels/vmlDrawing28.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3.emf"/><Relationship Id="rId18" Type="http://schemas.openxmlformats.org/officeDocument/2006/relationships/image" Target="../media/image68.emf"/><Relationship Id="rId3" Type="http://schemas.openxmlformats.org/officeDocument/2006/relationships/image" Target="../media/image80.emf"/><Relationship Id="rId21" Type="http://schemas.openxmlformats.org/officeDocument/2006/relationships/image" Target="../media/image83.emf"/><Relationship Id="rId7" Type="http://schemas.openxmlformats.org/officeDocument/2006/relationships/image" Target="../media/image77.emf"/><Relationship Id="rId12" Type="http://schemas.openxmlformats.org/officeDocument/2006/relationships/image" Target="../media/image74.emf"/><Relationship Id="rId17" Type="http://schemas.openxmlformats.org/officeDocument/2006/relationships/image" Target="../media/image69.emf"/><Relationship Id="rId25" Type="http://schemas.openxmlformats.org/officeDocument/2006/relationships/image" Target="../media/image86.emf"/><Relationship Id="rId2" Type="http://schemas.openxmlformats.org/officeDocument/2006/relationships/image" Target="../media/image81.emf"/><Relationship Id="rId16" Type="http://schemas.openxmlformats.org/officeDocument/2006/relationships/image" Target="../media/image70.emf"/><Relationship Id="rId20" Type="http://schemas.openxmlformats.org/officeDocument/2006/relationships/image" Target="../media/image66.emf"/><Relationship Id="rId1" Type="http://schemas.openxmlformats.org/officeDocument/2006/relationships/image" Target="../media/image82.emf"/><Relationship Id="rId6" Type="http://schemas.openxmlformats.org/officeDocument/2006/relationships/image" Target="../media/image10.emf"/><Relationship Id="rId11" Type="http://schemas.openxmlformats.org/officeDocument/2006/relationships/image" Target="../media/image75.emf"/><Relationship Id="rId24" Type="http://schemas.openxmlformats.org/officeDocument/2006/relationships/image" Target="../media/image65.emf"/><Relationship Id="rId5" Type="http://schemas.openxmlformats.org/officeDocument/2006/relationships/image" Target="../media/image78.emf"/><Relationship Id="rId15" Type="http://schemas.openxmlformats.org/officeDocument/2006/relationships/image" Target="../media/image71.emf"/><Relationship Id="rId23" Type="http://schemas.openxmlformats.org/officeDocument/2006/relationships/image" Target="../media/image85.emf"/><Relationship Id="rId10" Type="http://schemas.openxmlformats.org/officeDocument/2006/relationships/image" Target="../media/image76.emf"/><Relationship Id="rId19" Type="http://schemas.openxmlformats.org/officeDocument/2006/relationships/image" Target="../media/image67.emf"/><Relationship Id="rId4" Type="http://schemas.openxmlformats.org/officeDocument/2006/relationships/image" Target="../media/image79.emf"/><Relationship Id="rId9" Type="http://schemas.openxmlformats.org/officeDocument/2006/relationships/image" Target="../media/image13.emf"/><Relationship Id="rId14" Type="http://schemas.openxmlformats.org/officeDocument/2006/relationships/image" Target="../media/image72.emf"/><Relationship Id="rId22" Type="http://schemas.openxmlformats.org/officeDocument/2006/relationships/image" Target="../media/image84.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89.emf"/></Relationships>
</file>

<file path=xl/drawings/_rels/vmlDrawing30.vml.rels><?xml version="1.0" encoding="UTF-8" standalone="yes"?>
<Relationships xmlns="http://schemas.openxmlformats.org/package/2006/relationships"><Relationship Id="rId8" Type="http://schemas.openxmlformats.org/officeDocument/2006/relationships/image" Target="../media/image97.emf"/><Relationship Id="rId13" Type="http://schemas.openxmlformats.org/officeDocument/2006/relationships/image" Target="../media/image102.emf"/><Relationship Id="rId18" Type="http://schemas.openxmlformats.org/officeDocument/2006/relationships/image" Target="../media/image107.emf"/><Relationship Id="rId3" Type="http://schemas.openxmlformats.org/officeDocument/2006/relationships/image" Target="../media/image92.emf"/><Relationship Id="rId21" Type="http://schemas.openxmlformats.org/officeDocument/2006/relationships/image" Target="../media/image110.emf"/><Relationship Id="rId7" Type="http://schemas.openxmlformats.org/officeDocument/2006/relationships/image" Target="../media/image96.emf"/><Relationship Id="rId12" Type="http://schemas.openxmlformats.org/officeDocument/2006/relationships/image" Target="../media/image101.emf"/><Relationship Id="rId17" Type="http://schemas.openxmlformats.org/officeDocument/2006/relationships/image" Target="../media/image106.emf"/><Relationship Id="rId2" Type="http://schemas.openxmlformats.org/officeDocument/2006/relationships/image" Target="../media/image91.emf"/><Relationship Id="rId16" Type="http://schemas.openxmlformats.org/officeDocument/2006/relationships/image" Target="../media/image105.emf"/><Relationship Id="rId20" Type="http://schemas.openxmlformats.org/officeDocument/2006/relationships/image" Target="../media/image109.emf"/><Relationship Id="rId1" Type="http://schemas.openxmlformats.org/officeDocument/2006/relationships/image" Target="../media/image90.emf"/><Relationship Id="rId6" Type="http://schemas.openxmlformats.org/officeDocument/2006/relationships/image" Target="../media/image95.emf"/><Relationship Id="rId11" Type="http://schemas.openxmlformats.org/officeDocument/2006/relationships/image" Target="../media/image100.emf"/><Relationship Id="rId5" Type="http://schemas.openxmlformats.org/officeDocument/2006/relationships/image" Target="../media/image94.emf"/><Relationship Id="rId15" Type="http://schemas.openxmlformats.org/officeDocument/2006/relationships/image" Target="../media/image104.emf"/><Relationship Id="rId10" Type="http://schemas.openxmlformats.org/officeDocument/2006/relationships/image" Target="../media/image99.emf"/><Relationship Id="rId19" Type="http://schemas.openxmlformats.org/officeDocument/2006/relationships/image" Target="../media/image108.emf"/><Relationship Id="rId4" Type="http://schemas.openxmlformats.org/officeDocument/2006/relationships/image" Target="../media/image93.emf"/><Relationship Id="rId9" Type="http://schemas.openxmlformats.org/officeDocument/2006/relationships/image" Target="../media/image98.emf"/><Relationship Id="rId14" Type="http://schemas.openxmlformats.org/officeDocument/2006/relationships/image" Target="../media/image103.emf"/></Relationships>
</file>

<file path=xl/drawings/_rels/vmlDrawing31.vml.rels><?xml version="1.0" encoding="UTF-8" standalone="yes"?>
<Relationships xmlns="http://schemas.openxmlformats.org/package/2006/relationships"><Relationship Id="rId2" Type="http://schemas.openxmlformats.org/officeDocument/2006/relationships/image" Target="../media/image112.png"/><Relationship Id="rId1" Type="http://schemas.openxmlformats.org/officeDocument/2006/relationships/image" Target="../media/image111.png"/></Relationships>
</file>

<file path=xl/drawings/_rels/vmlDrawing32.vml.rels><?xml version="1.0" encoding="UTF-8" standalone="yes"?>
<Relationships xmlns="http://schemas.openxmlformats.org/package/2006/relationships"><Relationship Id="rId8" Type="http://schemas.openxmlformats.org/officeDocument/2006/relationships/image" Target="../media/image121.emf"/><Relationship Id="rId13" Type="http://schemas.openxmlformats.org/officeDocument/2006/relationships/image" Target="../media/image126.emf"/><Relationship Id="rId18" Type="http://schemas.openxmlformats.org/officeDocument/2006/relationships/image" Target="../media/image130.emf"/><Relationship Id="rId3" Type="http://schemas.openxmlformats.org/officeDocument/2006/relationships/image" Target="../media/image116.emf"/><Relationship Id="rId21" Type="http://schemas.openxmlformats.org/officeDocument/2006/relationships/image" Target="../media/image133.emf"/><Relationship Id="rId7" Type="http://schemas.openxmlformats.org/officeDocument/2006/relationships/image" Target="../media/image120.emf"/><Relationship Id="rId12" Type="http://schemas.openxmlformats.org/officeDocument/2006/relationships/image" Target="../media/image125.emf"/><Relationship Id="rId17" Type="http://schemas.openxmlformats.org/officeDocument/2006/relationships/image" Target="../media/image129.emf"/><Relationship Id="rId2" Type="http://schemas.openxmlformats.org/officeDocument/2006/relationships/image" Target="../media/image115.emf"/><Relationship Id="rId16" Type="http://schemas.openxmlformats.org/officeDocument/2006/relationships/image" Target="../media/image128.emf"/><Relationship Id="rId20" Type="http://schemas.openxmlformats.org/officeDocument/2006/relationships/image" Target="../media/image132.emf"/><Relationship Id="rId1" Type="http://schemas.openxmlformats.org/officeDocument/2006/relationships/image" Target="../media/image114.emf"/><Relationship Id="rId6" Type="http://schemas.openxmlformats.org/officeDocument/2006/relationships/image" Target="../media/image119.emf"/><Relationship Id="rId11" Type="http://schemas.openxmlformats.org/officeDocument/2006/relationships/image" Target="../media/image124.emf"/><Relationship Id="rId5" Type="http://schemas.openxmlformats.org/officeDocument/2006/relationships/image" Target="../media/image118.emf"/><Relationship Id="rId15" Type="http://schemas.openxmlformats.org/officeDocument/2006/relationships/image" Target="../media/image113.emf"/><Relationship Id="rId10" Type="http://schemas.openxmlformats.org/officeDocument/2006/relationships/image" Target="../media/image123.emf"/><Relationship Id="rId19" Type="http://schemas.openxmlformats.org/officeDocument/2006/relationships/image" Target="../media/image131.emf"/><Relationship Id="rId4" Type="http://schemas.openxmlformats.org/officeDocument/2006/relationships/image" Target="../media/image117.emf"/><Relationship Id="rId9" Type="http://schemas.openxmlformats.org/officeDocument/2006/relationships/image" Target="../media/image122.emf"/><Relationship Id="rId14" Type="http://schemas.openxmlformats.org/officeDocument/2006/relationships/image" Target="../media/image127.emf"/><Relationship Id="rId22" Type="http://schemas.openxmlformats.org/officeDocument/2006/relationships/image" Target="../media/image134.emf"/></Relationships>
</file>

<file path=xl/drawings/_rels/vmlDrawing33.vml.rels><?xml version="1.0" encoding="UTF-8" standalone="yes"?>
<Relationships xmlns="http://schemas.openxmlformats.org/package/2006/relationships"><Relationship Id="rId26" Type="http://schemas.openxmlformats.org/officeDocument/2006/relationships/image" Target="../media/image217.emf"/><Relationship Id="rId21" Type="http://schemas.openxmlformats.org/officeDocument/2006/relationships/image" Target="../media/image222.emf"/><Relationship Id="rId42" Type="http://schemas.openxmlformats.org/officeDocument/2006/relationships/image" Target="../media/image203.emf"/><Relationship Id="rId47" Type="http://schemas.openxmlformats.org/officeDocument/2006/relationships/image" Target="../media/image198.emf"/><Relationship Id="rId63" Type="http://schemas.openxmlformats.org/officeDocument/2006/relationships/image" Target="../media/image179.emf"/><Relationship Id="rId68" Type="http://schemas.openxmlformats.org/officeDocument/2006/relationships/image" Target="../media/image180.emf"/><Relationship Id="rId84" Type="http://schemas.openxmlformats.org/officeDocument/2006/relationships/image" Target="../media/image161.emf"/><Relationship Id="rId89" Type="http://schemas.openxmlformats.org/officeDocument/2006/relationships/image" Target="../media/image154.emf"/><Relationship Id="rId16" Type="http://schemas.openxmlformats.org/officeDocument/2006/relationships/image" Target="../media/image227.emf"/><Relationship Id="rId107" Type="http://schemas.openxmlformats.org/officeDocument/2006/relationships/image" Target="../media/image136.emf"/><Relationship Id="rId11" Type="http://schemas.openxmlformats.org/officeDocument/2006/relationships/image" Target="../media/image232.emf"/><Relationship Id="rId32" Type="http://schemas.openxmlformats.org/officeDocument/2006/relationships/image" Target="../media/image213.emf"/><Relationship Id="rId37" Type="http://schemas.openxmlformats.org/officeDocument/2006/relationships/image" Target="../media/image208.emf"/><Relationship Id="rId53" Type="http://schemas.openxmlformats.org/officeDocument/2006/relationships/image" Target="../media/image192.emf"/><Relationship Id="rId58" Type="http://schemas.openxmlformats.org/officeDocument/2006/relationships/image" Target="../media/image187.emf"/><Relationship Id="rId74" Type="http://schemas.openxmlformats.org/officeDocument/2006/relationships/image" Target="../media/image171.emf"/><Relationship Id="rId79" Type="http://schemas.openxmlformats.org/officeDocument/2006/relationships/image" Target="../media/image166.emf"/><Relationship Id="rId102" Type="http://schemas.openxmlformats.org/officeDocument/2006/relationships/image" Target="../media/image141.emf"/><Relationship Id="rId5" Type="http://schemas.openxmlformats.org/officeDocument/2006/relationships/image" Target="../media/image238.emf"/><Relationship Id="rId90" Type="http://schemas.openxmlformats.org/officeDocument/2006/relationships/image" Target="../media/image153.emf"/><Relationship Id="rId95" Type="http://schemas.openxmlformats.org/officeDocument/2006/relationships/image" Target="../media/image148.emf"/><Relationship Id="rId22" Type="http://schemas.openxmlformats.org/officeDocument/2006/relationships/image" Target="../media/image221.emf"/><Relationship Id="rId27" Type="http://schemas.openxmlformats.org/officeDocument/2006/relationships/image" Target="../media/image157.emf"/><Relationship Id="rId43" Type="http://schemas.openxmlformats.org/officeDocument/2006/relationships/image" Target="../media/image202.emf"/><Relationship Id="rId48" Type="http://schemas.openxmlformats.org/officeDocument/2006/relationships/image" Target="../media/image197.emf"/><Relationship Id="rId64" Type="http://schemas.openxmlformats.org/officeDocument/2006/relationships/image" Target="../media/image184.emf"/><Relationship Id="rId69" Type="http://schemas.openxmlformats.org/officeDocument/2006/relationships/image" Target="../media/image178.emf"/><Relationship Id="rId80" Type="http://schemas.openxmlformats.org/officeDocument/2006/relationships/image" Target="../media/image165.emf"/><Relationship Id="rId85" Type="http://schemas.openxmlformats.org/officeDocument/2006/relationships/image" Target="../media/image160.emf"/><Relationship Id="rId12" Type="http://schemas.openxmlformats.org/officeDocument/2006/relationships/image" Target="../media/image231.emf"/><Relationship Id="rId17" Type="http://schemas.openxmlformats.org/officeDocument/2006/relationships/image" Target="../media/image226.emf"/><Relationship Id="rId33" Type="http://schemas.openxmlformats.org/officeDocument/2006/relationships/image" Target="../media/image212.emf"/><Relationship Id="rId38" Type="http://schemas.openxmlformats.org/officeDocument/2006/relationships/image" Target="../media/image207.emf"/><Relationship Id="rId59" Type="http://schemas.openxmlformats.org/officeDocument/2006/relationships/image" Target="../media/image186.emf"/><Relationship Id="rId103" Type="http://schemas.openxmlformats.org/officeDocument/2006/relationships/image" Target="../media/image140.emf"/><Relationship Id="rId108" Type="http://schemas.openxmlformats.org/officeDocument/2006/relationships/image" Target="../media/image135.emf"/><Relationship Id="rId20" Type="http://schemas.openxmlformats.org/officeDocument/2006/relationships/image" Target="../media/image223.emf"/><Relationship Id="rId41" Type="http://schemas.openxmlformats.org/officeDocument/2006/relationships/image" Target="../media/image204.emf"/><Relationship Id="rId54" Type="http://schemas.openxmlformats.org/officeDocument/2006/relationships/image" Target="../media/image191.emf"/><Relationship Id="rId62" Type="http://schemas.openxmlformats.org/officeDocument/2006/relationships/image" Target="../media/image185.emf"/><Relationship Id="rId70" Type="http://schemas.openxmlformats.org/officeDocument/2006/relationships/image" Target="../media/image177.emf"/><Relationship Id="rId75" Type="http://schemas.openxmlformats.org/officeDocument/2006/relationships/image" Target="../media/image170.emf"/><Relationship Id="rId83" Type="http://schemas.openxmlformats.org/officeDocument/2006/relationships/image" Target="../media/image162.emf"/><Relationship Id="rId88" Type="http://schemas.openxmlformats.org/officeDocument/2006/relationships/image" Target="../media/image155.emf"/><Relationship Id="rId91" Type="http://schemas.openxmlformats.org/officeDocument/2006/relationships/image" Target="../media/image152.emf"/><Relationship Id="rId96" Type="http://schemas.openxmlformats.org/officeDocument/2006/relationships/image" Target="../media/image147.emf"/><Relationship Id="rId1" Type="http://schemas.openxmlformats.org/officeDocument/2006/relationships/image" Target="../media/image242.emf"/><Relationship Id="rId6" Type="http://schemas.openxmlformats.org/officeDocument/2006/relationships/image" Target="../media/image237.emf"/><Relationship Id="rId15" Type="http://schemas.openxmlformats.org/officeDocument/2006/relationships/image" Target="../media/image228.emf"/><Relationship Id="rId23" Type="http://schemas.openxmlformats.org/officeDocument/2006/relationships/image" Target="../media/image220.emf"/><Relationship Id="rId28" Type="http://schemas.openxmlformats.org/officeDocument/2006/relationships/image" Target="../media/image156.emf"/><Relationship Id="rId36" Type="http://schemas.openxmlformats.org/officeDocument/2006/relationships/image" Target="../media/image209.emf"/><Relationship Id="rId49" Type="http://schemas.openxmlformats.org/officeDocument/2006/relationships/image" Target="../media/image196.emf"/><Relationship Id="rId57" Type="http://schemas.openxmlformats.org/officeDocument/2006/relationships/image" Target="../media/image188.emf"/><Relationship Id="rId106" Type="http://schemas.openxmlformats.org/officeDocument/2006/relationships/image" Target="../media/image137.emf"/><Relationship Id="rId10" Type="http://schemas.openxmlformats.org/officeDocument/2006/relationships/image" Target="../media/image233.emf"/><Relationship Id="rId31" Type="http://schemas.openxmlformats.org/officeDocument/2006/relationships/image" Target="../media/image214.emf"/><Relationship Id="rId44" Type="http://schemas.openxmlformats.org/officeDocument/2006/relationships/image" Target="../media/image201.emf"/><Relationship Id="rId52" Type="http://schemas.openxmlformats.org/officeDocument/2006/relationships/image" Target="../media/image193.emf"/><Relationship Id="rId60" Type="http://schemas.openxmlformats.org/officeDocument/2006/relationships/image" Target="../media/image183.emf"/><Relationship Id="rId65" Type="http://schemas.openxmlformats.org/officeDocument/2006/relationships/image" Target="../media/image182.emf"/><Relationship Id="rId73" Type="http://schemas.openxmlformats.org/officeDocument/2006/relationships/image" Target="../media/image172.emf"/><Relationship Id="rId78" Type="http://schemas.openxmlformats.org/officeDocument/2006/relationships/image" Target="../media/image167.emf"/><Relationship Id="rId81" Type="http://schemas.openxmlformats.org/officeDocument/2006/relationships/image" Target="../media/image164.emf"/><Relationship Id="rId86" Type="http://schemas.openxmlformats.org/officeDocument/2006/relationships/image" Target="../media/image159.emf"/><Relationship Id="rId94" Type="http://schemas.openxmlformats.org/officeDocument/2006/relationships/image" Target="../media/image149.emf"/><Relationship Id="rId99" Type="http://schemas.openxmlformats.org/officeDocument/2006/relationships/image" Target="../media/image144.emf"/><Relationship Id="rId101" Type="http://schemas.openxmlformats.org/officeDocument/2006/relationships/image" Target="../media/image142.emf"/><Relationship Id="rId4" Type="http://schemas.openxmlformats.org/officeDocument/2006/relationships/image" Target="../media/image239.emf"/><Relationship Id="rId9" Type="http://schemas.openxmlformats.org/officeDocument/2006/relationships/image" Target="../media/image234.emf"/><Relationship Id="rId13" Type="http://schemas.openxmlformats.org/officeDocument/2006/relationships/image" Target="../media/image230.emf"/><Relationship Id="rId18" Type="http://schemas.openxmlformats.org/officeDocument/2006/relationships/image" Target="../media/image225.emf"/><Relationship Id="rId39" Type="http://schemas.openxmlformats.org/officeDocument/2006/relationships/image" Target="../media/image206.emf"/><Relationship Id="rId34" Type="http://schemas.openxmlformats.org/officeDocument/2006/relationships/image" Target="../media/image211.emf"/><Relationship Id="rId50" Type="http://schemas.openxmlformats.org/officeDocument/2006/relationships/image" Target="../media/image195.emf"/><Relationship Id="rId55" Type="http://schemas.openxmlformats.org/officeDocument/2006/relationships/image" Target="../media/image190.emf"/><Relationship Id="rId76" Type="http://schemas.openxmlformats.org/officeDocument/2006/relationships/image" Target="../media/image169.emf"/><Relationship Id="rId97" Type="http://schemas.openxmlformats.org/officeDocument/2006/relationships/image" Target="../media/image146.emf"/><Relationship Id="rId104" Type="http://schemas.openxmlformats.org/officeDocument/2006/relationships/image" Target="../media/image139.emf"/><Relationship Id="rId7" Type="http://schemas.openxmlformats.org/officeDocument/2006/relationships/image" Target="../media/image236.emf"/><Relationship Id="rId71" Type="http://schemas.openxmlformats.org/officeDocument/2006/relationships/image" Target="../media/image176.emf"/><Relationship Id="rId92" Type="http://schemas.openxmlformats.org/officeDocument/2006/relationships/image" Target="../media/image151.emf"/><Relationship Id="rId2" Type="http://schemas.openxmlformats.org/officeDocument/2006/relationships/image" Target="../media/image241.emf"/><Relationship Id="rId29" Type="http://schemas.openxmlformats.org/officeDocument/2006/relationships/image" Target="../media/image216.emf"/><Relationship Id="rId24" Type="http://schemas.openxmlformats.org/officeDocument/2006/relationships/image" Target="../media/image219.emf"/><Relationship Id="rId40" Type="http://schemas.openxmlformats.org/officeDocument/2006/relationships/image" Target="../media/image205.emf"/><Relationship Id="rId45" Type="http://schemas.openxmlformats.org/officeDocument/2006/relationships/image" Target="../media/image200.emf"/><Relationship Id="rId66" Type="http://schemas.openxmlformats.org/officeDocument/2006/relationships/image" Target="../media/image175.emf"/><Relationship Id="rId87" Type="http://schemas.openxmlformats.org/officeDocument/2006/relationships/image" Target="../media/image158.emf"/><Relationship Id="rId61" Type="http://schemas.openxmlformats.org/officeDocument/2006/relationships/image" Target="../media/image181.emf"/><Relationship Id="rId82" Type="http://schemas.openxmlformats.org/officeDocument/2006/relationships/image" Target="../media/image163.emf"/><Relationship Id="rId19" Type="http://schemas.openxmlformats.org/officeDocument/2006/relationships/image" Target="../media/image224.emf"/><Relationship Id="rId14" Type="http://schemas.openxmlformats.org/officeDocument/2006/relationships/image" Target="../media/image229.emf"/><Relationship Id="rId30" Type="http://schemas.openxmlformats.org/officeDocument/2006/relationships/image" Target="../media/image215.emf"/><Relationship Id="rId35" Type="http://schemas.openxmlformats.org/officeDocument/2006/relationships/image" Target="../media/image210.emf"/><Relationship Id="rId56" Type="http://schemas.openxmlformats.org/officeDocument/2006/relationships/image" Target="../media/image189.emf"/><Relationship Id="rId77" Type="http://schemas.openxmlformats.org/officeDocument/2006/relationships/image" Target="../media/image168.emf"/><Relationship Id="rId100" Type="http://schemas.openxmlformats.org/officeDocument/2006/relationships/image" Target="../media/image143.emf"/><Relationship Id="rId105" Type="http://schemas.openxmlformats.org/officeDocument/2006/relationships/image" Target="../media/image138.emf"/><Relationship Id="rId8" Type="http://schemas.openxmlformats.org/officeDocument/2006/relationships/image" Target="../media/image235.emf"/><Relationship Id="rId51" Type="http://schemas.openxmlformats.org/officeDocument/2006/relationships/image" Target="../media/image194.emf"/><Relationship Id="rId72" Type="http://schemas.openxmlformats.org/officeDocument/2006/relationships/image" Target="../media/image173.emf"/><Relationship Id="rId93" Type="http://schemas.openxmlformats.org/officeDocument/2006/relationships/image" Target="../media/image150.emf"/><Relationship Id="rId98" Type="http://schemas.openxmlformats.org/officeDocument/2006/relationships/image" Target="../media/image145.emf"/><Relationship Id="rId3" Type="http://schemas.openxmlformats.org/officeDocument/2006/relationships/image" Target="../media/image240.emf"/><Relationship Id="rId25" Type="http://schemas.openxmlformats.org/officeDocument/2006/relationships/image" Target="../media/image218.emf"/><Relationship Id="rId46" Type="http://schemas.openxmlformats.org/officeDocument/2006/relationships/image" Target="../media/image199.emf"/><Relationship Id="rId67" Type="http://schemas.openxmlformats.org/officeDocument/2006/relationships/image" Target="../media/image174.emf"/></Relationships>
</file>

<file path=xl/drawings/_rels/vmlDrawing34.vml.rels><?xml version="1.0" encoding="UTF-8" standalone="yes"?>
<Relationships xmlns="http://schemas.openxmlformats.org/package/2006/relationships"><Relationship Id="rId13" Type="http://schemas.openxmlformats.org/officeDocument/2006/relationships/image" Target="../media/image257.emf"/><Relationship Id="rId18" Type="http://schemas.openxmlformats.org/officeDocument/2006/relationships/image" Target="../media/image262.emf"/><Relationship Id="rId26" Type="http://schemas.openxmlformats.org/officeDocument/2006/relationships/image" Target="../media/image270.emf"/><Relationship Id="rId39" Type="http://schemas.openxmlformats.org/officeDocument/2006/relationships/image" Target="../media/image244.emf"/><Relationship Id="rId21" Type="http://schemas.openxmlformats.org/officeDocument/2006/relationships/image" Target="../media/image265.emf"/><Relationship Id="rId34" Type="http://schemas.openxmlformats.org/officeDocument/2006/relationships/image" Target="../media/image278.emf"/><Relationship Id="rId7" Type="http://schemas.openxmlformats.org/officeDocument/2006/relationships/image" Target="../media/image251.emf"/><Relationship Id="rId12" Type="http://schemas.openxmlformats.org/officeDocument/2006/relationships/image" Target="../media/image256.emf"/><Relationship Id="rId17" Type="http://schemas.openxmlformats.org/officeDocument/2006/relationships/image" Target="../media/image261.emf"/><Relationship Id="rId25" Type="http://schemas.openxmlformats.org/officeDocument/2006/relationships/image" Target="../media/image269.emf"/><Relationship Id="rId33" Type="http://schemas.openxmlformats.org/officeDocument/2006/relationships/image" Target="../media/image277.emf"/><Relationship Id="rId38" Type="http://schemas.openxmlformats.org/officeDocument/2006/relationships/image" Target="../media/image282.emf"/><Relationship Id="rId2" Type="http://schemas.openxmlformats.org/officeDocument/2006/relationships/image" Target="../media/image246.emf"/><Relationship Id="rId16" Type="http://schemas.openxmlformats.org/officeDocument/2006/relationships/image" Target="../media/image260.emf"/><Relationship Id="rId20" Type="http://schemas.openxmlformats.org/officeDocument/2006/relationships/image" Target="../media/image264.emf"/><Relationship Id="rId29" Type="http://schemas.openxmlformats.org/officeDocument/2006/relationships/image" Target="../media/image273.emf"/><Relationship Id="rId1" Type="http://schemas.openxmlformats.org/officeDocument/2006/relationships/image" Target="../media/image245.emf"/><Relationship Id="rId6" Type="http://schemas.openxmlformats.org/officeDocument/2006/relationships/image" Target="../media/image250.emf"/><Relationship Id="rId11" Type="http://schemas.openxmlformats.org/officeDocument/2006/relationships/image" Target="../media/image255.emf"/><Relationship Id="rId24" Type="http://schemas.openxmlformats.org/officeDocument/2006/relationships/image" Target="../media/image268.emf"/><Relationship Id="rId32" Type="http://schemas.openxmlformats.org/officeDocument/2006/relationships/image" Target="../media/image276.emf"/><Relationship Id="rId37" Type="http://schemas.openxmlformats.org/officeDocument/2006/relationships/image" Target="../media/image281.emf"/><Relationship Id="rId40" Type="http://schemas.openxmlformats.org/officeDocument/2006/relationships/image" Target="../media/image243.emf"/><Relationship Id="rId5" Type="http://schemas.openxmlformats.org/officeDocument/2006/relationships/image" Target="../media/image249.emf"/><Relationship Id="rId15" Type="http://schemas.openxmlformats.org/officeDocument/2006/relationships/image" Target="../media/image259.emf"/><Relationship Id="rId23" Type="http://schemas.openxmlformats.org/officeDocument/2006/relationships/image" Target="../media/image267.emf"/><Relationship Id="rId28" Type="http://schemas.openxmlformats.org/officeDocument/2006/relationships/image" Target="../media/image272.emf"/><Relationship Id="rId36" Type="http://schemas.openxmlformats.org/officeDocument/2006/relationships/image" Target="../media/image280.emf"/><Relationship Id="rId10" Type="http://schemas.openxmlformats.org/officeDocument/2006/relationships/image" Target="../media/image254.emf"/><Relationship Id="rId19" Type="http://schemas.openxmlformats.org/officeDocument/2006/relationships/image" Target="../media/image263.emf"/><Relationship Id="rId31" Type="http://schemas.openxmlformats.org/officeDocument/2006/relationships/image" Target="../media/image275.emf"/><Relationship Id="rId4" Type="http://schemas.openxmlformats.org/officeDocument/2006/relationships/image" Target="../media/image248.emf"/><Relationship Id="rId9" Type="http://schemas.openxmlformats.org/officeDocument/2006/relationships/image" Target="../media/image253.emf"/><Relationship Id="rId14" Type="http://schemas.openxmlformats.org/officeDocument/2006/relationships/image" Target="../media/image258.emf"/><Relationship Id="rId22" Type="http://schemas.openxmlformats.org/officeDocument/2006/relationships/image" Target="../media/image266.emf"/><Relationship Id="rId27" Type="http://schemas.openxmlformats.org/officeDocument/2006/relationships/image" Target="../media/image271.emf"/><Relationship Id="rId30" Type="http://schemas.openxmlformats.org/officeDocument/2006/relationships/image" Target="../media/image274.emf"/><Relationship Id="rId35" Type="http://schemas.openxmlformats.org/officeDocument/2006/relationships/image" Target="../media/image279.emf"/><Relationship Id="rId8" Type="http://schemas.openxmlformats.org/officeDocument/2006/relationships/image" Target="../media/image252.emf"/><Relationship Id="rId3" Type="http://schemas.openxmlformats.org/officeDocument/2006/relationships/image" Target="../media/image247.emf"/></Relationships>
</file>

<file path=xl/drawings/_rels/vmlDrawing35.vml.rels><?xml version="1.0" encoding="UTF-8" standalone="yes"?>
<Relationships xmlns="http://schemas.openxmlformats.org/package/2006/relationships"><Relationship Id="rId117" Type="http://schemas.openxmlformats.org/officeDocument/2006/relationships/image" Target="../media/image310.emf"/><Relationship Id="rId21" Type="http://schemas.openxmlformats.org/officeDocument/2006/relationships/image" Target="../media/image406.emf"/><Relationship Id="rId42" Type="http://schemas.openxmlformats.org/officeDocument/2006/relationships/image" Target="../media/image385.emf"/><Relationship Id="rId63" Type="http://schemas.openxmlformats.org/officeDocument/2006/relationships/image" Target="../media/image364.emf"/><Relationship Id="rId84" Type="http://schemas.openxmlformats.org/officeDocument/2006/relationships/image" Target="../media/image343.emf"/><Relationship Id="rId138" Type="http://schemas.openxmlformats.org/officeDocument/2006/relationships/image" Target="../media/image290.emf"/><Relationship Id="rId107" Type="http://schemas.openxmlformats.org/officeDocument/2006/relationships/image" Target="../media/image320.emf"/><Relationship Id="rId11" Type="http://schemas.openxmlformats.org/officeDocument/2006/relationships/image" Target="../media/image416.emf"/><Relationship Id="rId32" Type="http://schemas.openxmlformats.org/officeDocument/2006/relationships/image" Target="../media/image395.emf"/><Relationship Id="rId53" Type="http://schemas.openxmlformats.org/officeDocument/2006/relationships/image" Target="../media/image374.emf"/><Relationship Id="rId74" Type="http://schemas.openxmlformats.org/officeDocument/2006/relationships/image" Target="../media/image353.emf"/><Relationship Id="rId128" Type="http://schemas.openxmlformats.org/officeDocument/2006/relationships/image" Target="../media/image299.emf"/><Relationship Id="rId149" Type="http://schemas.openxmlformats.org/officeDocument/2006/relationships/image" Target="../media/image430.emf"/><Relationship Id="rId5" Type="http://schemas.openxmlformats.org/officeDocument/2006/relationships/image" Target="../media/image421.emf"/><Relationship Id="rId95" Type="http://schemas.openxmlformats.org/officeDocument/2006/relationships/image" Target="../media/image332.emf"/><Relationship Id="rId22" Type="http://schemas.openxmlformats.org/officeDocument/2006/relationships/image" Target="../media/image405.emf"/><Relationship Id="rId27" Type="http://schemas.openxmlformats.org/officeDocument/2006/relationships/image" Target="../media/image400.emf"/><Relationship Id="rId43" Type="http://schemas.openxmlformats.org/officeDocument/2006/relationships/image" Target="../media/image384.emf"/><Relationship Id="rId48" Type="http://schemas.openxmlformats.org/officeDocument/2006/relationships/image" Target="../media/image379.emf"/><Relationship Id="rId64" Type="http://schemas.openxmlformats.org/officeDocument/2006/relationships/image" Target="../media/image363.emf"/><Relationship Id="rId69" Type="http://schemas.openxmlformats.org/officeDocument/2006/relationships/image" Target="../media/image358.emf"/><Relationship Id="rId113" Type="http://schemas.openxmlformats.org/officeDocument/2006/relationships/image" Target="../media/image314.emf"/><Relationship Id="rId118" Type="http://schemas.openxmlformats.org/officeDocument/2006/relationships/image" Target="../media/image309.emf"/><Relationship Id="rId134" Type="http://schemas.openxmlformats.org/officeDocument/2006/relationships/image" Target="../media/image294.emf"/><Relationship Id="rId139" Type="http://schemas.openxmlformats.org/officeDocument/2006/relationships/image" Target="../media/image289.emf"/><Relationship Id="rId80" Type="http://schemas.openxmlformats.org/officeDocument/2006/relationships/image" Target="../media/image347.emf"/><Relationship Id="rId85" Type="http://schemas.openxmlformats.org/officeDocument/2006/relationships/image" Target="../media/image342.emf"/><Relationship Id="rId150" Type="http://schemas.openxmlformats.org/officeDocument/2006/relationships/image" Target="../media/image431.emf"/><Relationship Id="rId12" Type="http://schemas.openxmlformats.org/officeDocument/2006/relationships/image" Target="../media/image415.emf"/><Relationship Id="rId17" Type="http://schemas.openxmlformats.org/officeDocument/2006/relationships/image" Target="../media/image410.emf"/><Relationship Id="rId33" Type="http://schemas.openxmlformats.org/officeDocument/2006/relationships/image" Target="../media/image394.emf"/><Relationship Id="rId38" Type="http://schemas.openxmlformats.org/officeDocument/2006/relationships/image" Target="../media/image389.emf"/><Relationship Id="rId59" Type="http://schemas.openxmlformats.org/officeDocument/2006/relationships/image" Target="../media/image368.emf"/><Relationship Id="rId103" Type="http://schemas.openxmlformats.org/officeDocument/2006/relationships/image" Target="../media/image324.emf"/><Relationship Id="rId108" Type="http://schemas.openxmlformats.org/officeDocument/2006/relationships/image" Target="../media/image319.emf"/><Relationship Id="rId124" Type="http://schemas.openxmlformats.org/officeDocument/2006/relationships/image" Target="../media/image303.emf"/><Relationship Id="rId129" Type="http://schemas.openxmlformats.org/officeDocument/2006/relationships/image" Target="../media/image298.emf"/><Relationship Id="rId54" Type="http://schemas.openxmlformats.org/officeDocument/2006/relationships/image" Target="../media/image373.emf"/><Relationship Id="rId70" Type="http://schemas.openxmlformats.org/officeDocument/2006/relationships/image" Target="../media/image357.emf"/><Relationship Id="rId75" Type="http://schemas.openxmlformats.org/officeDocument/2006/relationships/image" Target="../media/image352.emf"/><Relationship Id="rId91" Type="http://schemas.openxmlformats.org/officeDocument/2006/relationships/image" Target="../media/image336.emf"/><Relationship Id="rId96" Type="http://schemas.openxmlformats.org/officeDocument/2006/relationships/image" Target="../media/image331.emf"/><Relationship Id="rId140" Type="http://schemas.openxmlformats.org/officeDocument/2006/relationships/image" Target="../media/image288.emf"/><Relationship Id="rId145" Type="http://schemas.openxmlformats.org/officeDocument/2006/relationships/image" Target="../media/image283.emf"/><Relationship Id="rId1" Type="http://schemas.openxmlformats.org/officeDocument/2006/relationships/image" Target="../media/image425.emf"/><Relationship Id="rId6" Type="http://schemas.openxmlformats.org/officeDocument/2006/relationships/image" Target="../media/image420.emf"/><Relationship Id="rId23" Type="http://schemas.openxmlformats.org/officeDocument/2006/relationships/image" Target="../media/image404.emf"/><Relationship Id="rId28" Type="http://schemas.openxmlformats.org/officeDocument/2006/relationships/image" Target="../media/image399.emf"/><Relationship Id="rId49" Type="http://schemas.openxmlformats.org/officeDocument/2006/relationships/image" Target="../media/image378.emf"/><Relationship Id="rId114" Type="http://schemas.openxmlformats.org/officeDocument/2006/relationships/image" Target="../media/image313.emf"/><Relationship Id="rId119" Type="http://schemas.openxmlformats.org/officeDocument/2006/relationships/image" Target="../media/image308.emf"/><Relationship Id="rId44" Type="http://schemas.openxmlformats.org/officeDocument/2006/relationships/image" Target="../media/image383.emf"/><Relationship Id="rId60" Type="http://schemas.openxmlformats.org/officeDocument/2006/relationships/image" Target="../media/image367.emf"/><Relationship Id="rId65" Type="http://schemas.openxmlformats.org/officeDocument/2006/relationships/image" Target="../media/image362.emf"/><Relationship Id="rId81" Type="http://schemas.openxmlformats.org/officeDocument/2006/relationships/image" Target="../media/image346.emf"/><Relationship Id="rId86" Type="http://schemas.openxmlformats.org/officeDocument/2006/relationships/image" Target="../media/image341.emf"/><Relationship Id="rId130" Type="http://schemas.openxmlformats.org/officeDocument/2006/relationships/image" Target="../media/image297.emf"/><Relationship Id="rId135" Type="http://schemas.openxmlformats.org/officeDocument/2006/relationships/image" Target="../media/image293.emf"/><Relationship Id="rId151" Type="http://schemas.openxmlformats.org/officeDocument/2006/relationships/image" Target="../media/image432.emf"/><Relationship Id="rId13" Type="http://schemas.openxmlformats.org/officeDocument/2006/relationships/image" Target="../media/image414.emf"/><Relationship Id="rId18" Type="http://schemas.openxmlformats.org/officeDocument/2006/relationships/image" Target="../media/image409.emf"/><Relationship Id="rId39" Type="http://schemas.openxmlformats.org/officeDocument/2006/relationships/image" Target="../media/image388.emf"/><Relationship Id="rId109" Type="http://schemas.openxmlformats.org/officeDocument/2006/relationships/image" Target="../media/image318.emf"/><Relationship Id="rId34" Type="http://schemas.openxmlformats.org/officeDocument/2006/relationships/image" Target="../media/image393.emf"/><Relationship Id="rId50" Type="http://schemas.openxmlformats.org/officeDocument/2006/relationships/image" Target="../media/image377.emf"/><Relationship Id="rId55" Type="http://schemas.openxmlformats.org/officeDocument/2006/relationships/image" Target="../media/image372.emf"/><Relationship Id="rId76" Type="http://schemas.openxmlformats.org/officeDocument/2006/relationships/image" Target="../media/image351.emf"/><Relationship Id="rId97" Type="http://schemas.openxmlformats.org/officeDocument/2006/relationships/image" Target="../media/image330.emf"/><Relationship Id="rId104" Type="http://schemas.openxmlformats.org/officeDocument/2006/relationships/image" Target="../media/image323.emf"/><Relationship Id="rId120" Type="http://schemas.openxmlformats.org/officeDocument/2006/relationships/image" Target="../media/image307.emf"/><Relationship Id="rId125" Type="http://schemas.openxmlformats.org/officeDocument/2006/relationships/image" Target="../media/image302.emf"/><Relationship Id="rId141" Type="http://schemas.openxmlformats.org/officeDocument/2006/relationships/image" Target="../media/image287.emf"/><Relationship Id="rId146" Type="http://schemas.openxmlformats.org/officeDocument/2006/relationships/image" Target="../media/image427.emf"/><Relationship Id="rId7" Type="http://schemas.openxmlformats.org/officeDocument/2006/relationships/image" Target="../media/image419.emf"/><Relationship Id="rId71" Type="http://schemas.openxmlformats.org/officeDocument/2006/relationships/image" Target="../media/image356.emf"/><Relationship Id="rId92" Type="http://schemas.openxmlformats.org/officeDocument/2006/relationships/image" Target="../media/image335.emf"/><Relationship Id="rId2" Type="http://schemas.openxmlformats.org/officeDocument/2006/relationships/image" Target="../media/image424.emf"/><Relationship Id="rId29" Type="http://schemas.openxmlformats.org/officeDocument/2006/relationships/image" Target="../media/image398.emf"/><Relationship Id="rId24" Type="http://schemas.openxmlformats.org/officeDocument/2006/relationships/image" Target="../media/image403.emf"/><Relationship Id="rId40" Type="http://schemas.openxmlformats.org/officeDocument/2006/relationships/image" Target="../media/image387.emf"/><Relationship Id="rId45" Type="http://schemas.openxmlformats.org/officeDocument/2006/relationships/image" Target="../media/image382.emf"/><Relationship Id="rId66" Type="http://schemas.openxmlformats.org/officeDocument/2006/relationships/image" Target="../media/image361.emf"/><Relationship Id="rId87" Type="http://schemas.openxmlformats.org/officeDocument/2006/relationships/image" Target="../media/image340.emf"/><Relationship Id="rId110" Type="http://schemas.openxmlformats.org/officeDocument/2006/relationships/image" Target="../media/image317.emf"/><Relationship Id="rId115" Type="http://schemas.openxmlformats.org/officeDocument/2006/relationships/image" Target="../media/image312.emf"/><Relationship Id="rId131" Type="http://schemas.openxmlformats.org/officeDocument/2006/relationships/image" Target="../media/image296.emf"/><Relationship Id="rId136" Type="http://schemas.openxmlformats.org/officeDocument/2006/relationships/image" Target="../media/image292.emf"/><Relationship Id="rId61" Type="http://schemas.openxmlformats.org/officeDocument/2006/relationships/image" Target="../media/image366.emf"/><Relationship Id="rId82" Type="http://schemas.openxmlformats.org/officeDocument/2006/relationships/image" Target="../media/image345.emf"/><Relationship Id="rId152" Type="http://schemas.openxmlformats.org/officeDocument/2006/relationships/image" Target="../media/image433.emf"/><Relationship Id="rId19" Type="http://schemas.openxmlformats.org/officeDocument/2006/relationships/image" Target="../media/image408.emf"/><Relationship Id="rId14" Type="http://schemas.openxmlformats.org/officeDocument/2006/relationships/image" Target="../media/image413.emf"/><Relationship Id="rId30" Type="http://schemas.openxmlformats.org/officeDocument/2006/relationships/image" Target="../media/image397.emf"/><Relationship Id="rId35" Type="http://schemas.openxmlformats.org/officeDocument/2006/relationships/image" Target="../media/image392.emf"/><Relationship Id="rId56" Type="http://schemas.openxmlformats.org/officeDocument/2006/relationships/image" Target="../media/image371.emf"/><Relationship Id="rId77" Type="http://schemas.openxmlformats.org/officeDocument/2006/relationships/image" Target="../media/image350.emf"/><Relationship Id="rId100" Type="http://schemas.openxmlformats.org/officeDocument/2006/relationships/image" Target="../media/image327.emf"/><Relationship Id="rId105" Type="http://schemas.openxmlformats.org/officeDocument/2006/relationships/image" Target="../media/image322.emf"/><Relationship Id="rId126" Type="http://schemas.openxmlformats.org/officeDocument/2006/relationships/image" Target="../media/image301.emf"/><Relationship Id="rId147" Type="http://schemas.openxmlformats.org/officeDocument/2006/relationships/image" Target="../media/image428.emf"/><Relationship Id="rId8" Type="http://schemas.openxmlformats.org/officeDocument/2006/relationships/image" Target="../media/image418.emf"/><Relationship Id="rId51" Type="http://schemas.openxmlformats.org/officeDocument/2006/relationships/image" Target="../media/image376.emf"/><Relationship Id="rId72" Type="http://schemas.openxmlformats.org/officeDocument/2006/relationships/image" Target="../media/image355.emf"/><Relationship Id="rId93" Type="http://schemas.openxmlformats.org/officeDocument/2006/relationships/image" Target="../media/image334.emf"/><Relationship Id="rId98" Type="http://schemas.openxmlformats.org/officeDocument/2006/relationships/image" Target="../media/image329.emf"/><Relationship Id="rId121" Type="http://schemas.openxmlformats.org/officeDocument/2006/relationships/image" Target="../media/image306.emf"/><Relationship Id="rId142" Type="http://schemas.openxmlformats.org/officeDocument/2006/relationships/image" Target="../media/image286.emf"/><Relationship Id="rId3" Type="http://schemas.openxmlformats.org/officeDocument/2006/relationships/image" Target="../media/image423.emf"/><Relationship Id="rId25" Type="http://schemas.openxmlformats.org/officeDocument/2006/relationships/image" Target="../media/image402.emf"/><Relationship Id="rId46" Type="http://schemas.openxmlformats.org/officeDocument/2006/relationships/image" Target="../media/image381.emf"/><Relationship Id="rId67" Type="http://schemas.openxmlformats.org/officeDocument/2006/relationships/image" Target="../media/image360.emf"/><Relationship Id="rId116" Type="http://schemas.openxmlformats.org/officeDocument/2006/relationships/image" Target="../media/image311.emf"/><Relationship Id="rId137" Type="http://schemas.openxmlformats.org/officeDocument/2006/relationships/image" Target="../media/image291.emf"/><Relationship Id="rId20" Type="http://schemas.openxmlformats.org/officeDocument/2006/relationships/image" Target="../media/image407.emf"/><Relationship Id="rId41" Type="http://schemas.openxmlformats.org/officeDocument/2006/relationships/image" Target="../media/image386.emf"/><Relationship Id="rId62" Type="http://schemas.openxmlformats.org/officeDocument/2006/relationships/image" Target="../media/image365.emf"/><Relationship Id="rId83" Type="http://schemas.openxmlformats.org/officeDocument/2006/relationships/image" Target="../media/image344.emf"/><Relationship Id="rId88" Type="http://schemas.openxmlformats.org/officeDocument/2006/relationships/image" Target="../media/image339.emf"/><Relationship Id="rId111" Type="http://schemas.openxmlformats.org/officeDocument/2006/relationships/image" Target="../media/image316.emf"/><Relationship Id="rId132" Type="http://schemas.openxmlformats.org/officeDocument/2006/relationships/image" Target="../media/image295.emf"/><Relationship Id="rId153" Type="http://schemas.openxmlformats.org/officeDocument/2006/relationships/image" Target="../media/image434.emf"/><Relationship Id="rId15" Type="http://schemas.openxmlformats.org/officeDocument/2006/relationships/image" Target="../media/image412.emf"/><Relationship Id="rId36" Type="http://schemas.openxmlformats.org/officeDocument/2006/relationships/image" Target="../media/image391.emf"/><Relationship Id="rId57" Type="http://schemas.openxmlformats.org/officeDocument/2006/relationships/image" Target="../media/image370.emf"/><Relationship Id="rId106" Type="http://schemas.openxmlformats.org/officeDocument/2006/relationships/image" Target="../media/image321.emf"/><Relationship Id="rId127" Type="http://schemas.openxmlformats.org/officeDocument/2006/relationships/image" Target="../media/image300.emf"/><Relationship Id="rId10" Type="http://schemas.openxmlformats.org/officeDocument/2006/relationships/image" Target="../media/image417.emf"/><Relationship Id="rId31" Type="http://schemas.openxmlformats.org/officeDocument/2006/relationships/image" Target="../media/image396.emf"/><Relationship Id="rId52" Type="http://schemas.openxmlformats.org/officeDocument/2006/relationships/image" Target="../media/image375.emf"/><Relationship Id="rId73" Type="http://schemas.openxmlformats.org/officeDocument/2006/relationships/image" Target="../media/image354.emf"/><Relationship Id="rId78" Type="http://schemas.openxmlformats.org/officeDocument/2006/relationships/image" Target="../media/image349.emf"/><Relationship Id="rId94" Type="http://schemas.openxmlformats.org/officeDocument/2006/relationships/image" Target="../media/image333.emf"/><Relationship Id="rId99" Type="http://schemas.openxmlformats.org/officeDocument/2006/relationships/image" Target="../media/image328.emf"/><Relationship Id="rId101" Type="http://schemas.openxmlformats.org/officeDocument/2006/relationships/image" Target="../media/image326.emf"/><Relationship Id="rId122" Type="http://schemas.openxmlformats.org/officeDocument/2006/relationships/image" Target="../media/image305.emf"/><Relationship Id="rId143" Type="http://schemas.openxmlformats.org/officeDocument/2006/relationships/image" Target="../media/image285.emf"/><Relationship Id="rId148" Type="http://schemas.openxmlformats.org/officeDocument/2006/relationships/image" Target="../media/image429.emf"/><Relationship Id="rId4" Type="http://schemas.openxmlformats.org/officeDocument/2006/relationships/image" Target="../media/image422.emf"/><Relationship Id="rId9" Type="http://schemas.openxmlformats.org/officeDocument/2006/relationships/image" Target="../media/image256.emf"/><Relationship Id="rId26" Type="http://schemas.openxmlformats.org/officeDocument/2006/relationships/image" Target="../media/image401.emf"/><Relationship Id="rId47" Type="http://schemas.openxmlformats.org/officeDocument/2006/relationships/image" Target="../media/image380.emf"/><Relationship Id="rId68" Type="http://schemas.openxmlformats.org/officeDocument/2006/relationships/image" Target="../media/image359.emf"/><Relationship Id="rId89" Type="http://schemas.openxmlformats.org/officeDocument/2006/relationships/image" Target="../media/image338.emf"/><Relationship Id="rId112" Type="http://schemas.openxmlformats.org/officeDocument/2006/relationships/image" Target="../media/image315.emf"/><Relationship Id="rId133" Type="http://schemas.openxmlformats.org/officeDocument/2006/relationships/image" Target="../media/image426.emf"/><Relationship Id="rId16" Type="http://schemas.openxmlformats.org/officeDocument/2006/relationships/image" Target="../media/image411.emf"/><Relationship Id="rId37" Type="http://schemas.openxmlformats.org/officeDocument/2006/relationships/image" Target="../media/image390.emf"/><Relationship Id="rId58" Type="http://schemas.openxmlformats.org/officeDocument/2006/relationships/image" Target="../media/image369.emf"/><Relationship Id="rId79" Type="http://schemas.openxmlformats.org/officeDocument/2006/relationships/image" Target="../media/image348.emf"/><Relationship Id="rId102" Type="http://schemas.openxmlformats.org/officeDocument/2006/relationships/image" Target="../media/image325.emf"/><Relationship Id="rId123" Type="http://schemas.openxmlformats.org/officeDocument/2006/relationships/image" Target="../media/image304.emf"/><Relationship Id="rId144" Type="http://schemas.openxmlformats.org/officeDocument/2006/relationships/image" Target="../media/image284.emf"/><Relationship Id="rId90" Type="http://schemas.openxmlformats.org/officeDocument/2006/relationships/image" Target="../media/image337.emf"/></Relationships>
</file>

<file path=xl/drawings/_rels/vmlDrawing36.vml.rels><?xml version="1.0" encoding="UTF-8" standalone="yes"?>
<Relationships xmlns="http://schemas.openxmlformats.org/package/2006/relationships"><Relationship Id="rId26" Type="http://schemas.openxmlformats.org/officeDocument/2006/relationships/image" Target="../media/image488.emf"/><Relationship Id="rId21" Type="http://schemas.openxmlformats.org/officeDocument/2006/relationships/image" Target="../media/image493.emf"/><Relationship Id="rId42" Type="http://schemas.openxmlformats.org/officeDocument/2006/relationships/image" Target="../media/image473.emf"/><Relationship Id="rId47" Type="http://schemas.openxmlformats.org/officeDocument/2006/relationships/image" Target="../media/image468.emf"/><Relationship Id="rId63" Type="http://schemas.openxmlformats.org/officeDocument/2006/relationships/image" Target="../media/image452.emf"/><Relationship Id="rId68" Type="http://schemas.openxmlformats.org/officeDocument/2006/relationships/image" Target="../media/image447.emf"/><Relationship Id="rId16" Type="http://schemas.openxmlformats.org/officeDocument/2006/relationships/image" Target="../media/image498.emf"/><Relationship Id="rId11" Type="http://schemas.openxmlformats.org/officeDocument/2006/relationships/image" Target="../media/image503.emf"/><Relationship Id="rId24" Type="http://schemas.openxmlformats.org/officeDocument/2006/relationships/image" Target="../media/image490.emf"/><Relationship Id="rId32" Type="http://schemas.openxmlformats.org/officeDocument/2006/relationships/image" Target="../media/image483.emf"/><Relationship Id="rId37" Type="http://schemas.openxmlformats.org/officeDocument/2006/relationships/image" Target="../media/image478.emf"/><Relationship Id="rId40" Type="http://schemas.openxmlformats.org/officeDocument/2006/relationships/image" Target="../media/image475.emf"/><Relationship Id="rId45" Type="http://schemas.openxmlformats.org/officeDocument/2006/relationships/image" Target="../media/image470.emf"/><Relationship Id="rId53" Type="http://schemas.openxmlformats.org/officeDocument/2006/relationships/image" Target="../media/image462.emf"/><Relationship Id="rId58" Type="http://schemas.openxmlformats.org/officeDocument/2006/relationships/image" Target="../media/image457.emf"/><Relationship Id="rId66" Type="http://schemas.openxmlformats.org/officeDocument/2006/relationships/image" Target="../media/image449.emf"/><Relationship Id="rId74" Type="http://schemas.openxmlformats.org/officeDocument/2006/relationships/image" Target="../media/image441.emf"/><Relationship Id="rId79" Type="http://schemas.openxmlformats.org/officeDocument/2006/relationships/image" Target="../media/image436.emf"/><Relationship Id="rId5" Type="http://schemas.openxmlformats.org/officeDocument/2006/relationships/image" Target="../media/image509.emf"/><Relationship Id="rId61" Type="http://schemas.openxmlformats.org/officeDocument/2006/relationships/image" Target="../media/image454.emf"/><Relationship Id="rId19" Type="http://schemas.openxmlformats.org/officeDocument/2006/relationships/image" Target="../media/image495.emf"/><Relationship Id="rId14" Type="http://schemas.openxmlformats.org/officeDocument/2006/relationships/image" Target="../media/image500.emf"/><Relationship Id="rId22" Type="http://schemas.openxmlformats.org/officeDocument/2006/relationships/image" Target="../media/image492.emf"/><Relationship Id="rId27" Type="http://schemas.openxmlformats.org/officeDocument/2006/relationships/image" Target="../media/image276.emf"/><Relationship Id="rId30" Type="http://schemas.openxmlformats.org/officeDocument/2006/relationships/image" Target="../media/image485.emf"/><Relationship Id="rId35" Type="http://schemas.openxmlformats.org/officeDocument/2006/relationships/image" Target="../media/image480.emf"/><Relationship Id="rId43" Type="http://schemas.openxmlformats.org/officeDocument/2006/relationships/image" Target="../media/image472.emf"/><Relationship Id="rId48" Type="http://schemas.openxmlformats.org/officeDocument/2006/relationships/image" Target="../media/image467.emf"/><Relationship Id="rId56" Type="http://schemas.openxmlformats.org/officeDocument/2006/relationships/image" Target="../media/image459.emf"/><Relationship Id="rId64" Type="http://schemas.openxmlformats.org/officeDocument/2006/relationships/image" Target="../media/image451.emf"/><Relationship Id="rId69" Type="http://schemas.openxmlformats.org/officeDocument/2006/relationships/image" Target="../media/image446.emf"/><Relationship Id="rId77" Type="http://schemas.openxmlformats.org/officeDocument/2006/relationships/image" Target="../media/image438.emf"/><Relationship Id="rId8" Type="http://schemas.openxmlformats.org/officeDocument/2006/relationships/image" Target="../media/image506.emf"/><Relationship Id="rId51" Type="http://schemas.openxmlformats.org/officeDocument/2006/relationships/image" Target="../media/image464.emf"/><Relationship Id="rId72" Type="http://schemas.openxmlformats.org/officeDocument/2006/relationships/image" Target="../media/image443.emf"/><Relationship Id="rId80" Type="http://schemas.openxmlformats.org/officeDocument/2006/relationships/image" Target="../media/image435.emf"/><Relationship Id="rId3" Type="http://schemas.openxmlformats.org/officeDocument/2006/relationships/image" Target="../media/image511.emf"/><Relationship Id="rId12" Type="http://schemas.openxmlformats.org/officeDocument/2006/relationships/image" Target="../media/image502.emf"/><Relationship Id="rId17" Type="http://schemas.openxmlformats.org/officeDocument/2006/relationships/image" Target="../media/image497.emf"/><Relationship Id="rId25" Type="http://schemas.openxmlformats.org/officeDocument/2006/relationships/image" Target="../media/image489.emf"/><Relationship Id="rId33" Type="http://schemas.openxmlformats.org/officeDocument/2006/relationships/image" Target="../media/image482.emf"/><Relationship Id="rId38" Type="http://schemas.openxmlformats.org/officeDocument/2006/relationships/image" Target="../media/image477.emf"/><Relationship Id="rId46" Type="http://schemas.openxmlformats.org/officeDocument/2006/relationships/image" Target="../media/image469.emf"/><Relationship Id="rId59" Type="http://schemas.openxmlformats.org/officeDocument/2006/relationships/image" Target="../media/image456.emf"/><Relationship Id="rId67" Type="http://schemas.openxmlformats.org/officeDocument/2006/relationships/image" Target="../media/image448.emf"/><Relationship Id="rId20" Type="http://schemas.openxmlformats.org/officeDocument/2006/relationships/image" Target="../media/image494.emf"/><Relationship Id="rId41" Type="http://schemas.openxmlformats.org/officeDocument/2006/relationships/image" Target="../media/image474.emf"/><Relationship Id="rId54" Type="http://schemas.openxmlformats.org/officeDocument/2006/relationships/image" Target="../media/image461.emf"/><Relationship Id="rId62" Type="http://schemas.openxmlformats.org/officeDocument/2006/relationships/image" Target="../media/image453.emf"/><Relationship Id="rId70" Type="http://schemas.openxmlformats.org/officeDocument/2006/relationships/image" Target="../media/image445.emf"/><Relationship Id="rId75" Type="http://schemas.openxmlformats.org/officeDocument/2006/relationships/image" Target="../media/image440.emf"/><Relationship Id="rId1" Type="http://schemas.openxmlformats.org/officeDocument/2006/relationships/image" Target="../media/image245.emf"/><Relationship Id="rId6" Type="http://schemas.openxmlformats.org/officeDocument/2006/relationships/image" Target="../media/image508.emf"/><Relationship Id="rId15" Type="http://schemas.openxmlformats.org/officeDocument/2006/relationships/image" Target="../media/image499.emf"/><Relationship Id="rId23" Type="http://schemas.openxmlformats.org/officeDocument/2006/relationships/image" Target="../media/image491.emf"/><Relationship Id="rId28" Type="http://schemas.openxmlformats.org/officeDocument/2006/relationships/image" Target="../media/image487.emf"/><Relationship Id="rId36" Type="http://schemas.openxmlformats.org/officeDocument/2006/relationships/image" Target="../media/image479.emf"/><Relationship Id="rId49" Type="http://schemas.openxmlformats.org/officeDocument/2006/relationships/image" Target="../media/image466.emf"/><Relationship Id="rId57" Type="http://schemas.openxmlformats.org/officeDocument/2006/relationships/image" Target="../media/image458.emf"/><Relationship Id="rId10" Type="http://schemas.openxmlformats.org/officeDocument/2006/relationships/image" Target="../media/image504.emf"/><Relationship Id="rId31" Type="http://schemas.openxmlformats.org/officeDocument/2006/relationships/image" Target="../media/image484.emf"/><Relationship Id="rId44" Type="http://schemas.openxmlformats.org/officeDocument/2006/relationships/image" Target="../media/image471.emf"/><Relationship Id="rId52" Type="http://schemas.openxmlformats.org/officeDocument/2006/relationships/image" Target="../media/image463.emf"/><Relationship Id="rId60" Type="http://schemas.openxmlformats.org/officeDocument/2006/relationships/image" Target="../media/image455.emf"/><Relationship Id="rId65" Type="http://schemas.openxmlformats.org/officeDocument/2006/relationships/image" Target="../media/image450.emf"/><Relationship Id="rId73" Type="http://schemas.openxmlformats.org/officeDocument/2006/relationships/image" Target="../media/image442.emf"/><Relationship Id="rId78" Type="http://schemas.openxmlformats.org/officeDocument/2006/relationships/image" Target="../media/image437.emf"/><Relationship Id="rId4" Type="http://schemas.openxmlformats.org/officeDocument/2006/relationships/image" Target="../media/image510.emf"/><Relationship Id="rId9" Type="http://schemas.openxmlformats.org/officeDocument/2006/relationships/image" Target="../media/image505.emf"/><Relationship Id="rId13" Type="http://schemas.openxmlformats.org/officeDocument/2006/relationships/image" Target="../media/image501.emf"/><Relationship Id="rId18" Type="http://schemas.openxmlformats.org/officeDocument/2006/relationships/image" Target="../media/image496.emf"/><Relationship Id="rId39" Type="http://schemas.openxmlformats.org/officeDocument/2006/relationships/image" Target="../media/image476.emf"/><Relationship Id="rId34" Type="http://schemas.openxmlformats.org/officeDocument/2006/relationships/image" Target="../media/image481.emf"/><Relationship Id="rId50" Type="http://schemas.openxmlformats.org/officeDocument/2006/relationships/image" Target="../media/image465.emf"/><Relationship Id="rId55" Type="http://schemas.openxmlformats.org/officeDocument/2006/relationships/image" Target="../media/image460.emf"/><Relationship Id="rId76" Type="http://schemas.openxmlformats.org/officeDocument/2006/relationships/image" Target="../media/image439.emf"/><Relationship Id="rId7" Type="http://schemas.openxmlformats.org/officeDocument/2006/relationships/image" Target="../media/image507.emf"/><Relationship Id="rId71" Type="http://schemas.openxmlformats.org/officeDocument/2006/relationships/image" Target="../media/image444.emf"/><Relationship Id="rId2" Type="http://schemas.openxmlformats.org/officeDocument/2006/relationships/image" Target="../media/image512.emf"/><Relationship Id="rId29" Type="http://schemas.openxmlformats.org/officeDocument/2006/relationships/image" Target="../media/image486.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522.emf"/><Relationship Id="rId13" Type="http://schemas.openxmlformats.org/officeDocument/2006/relationships/image" Target="../media/image517.emf"/><Relationship Id="rId3" Type="http://schemas.openxmlformats.org/officeDocument/2006/relationships/image" Target="../media/image527.emf"/><Relationship Id="rId7" Type="http://schemas.openxmlformats.org/officeDocument/2006/relationships/image" Target="../media/image523.emf"/><Relationship Id="rId12" Type="http://schemas.openxmlformats.org/officeDocument/2006/relationships/image" Target="../media/image518.emf"/><Relationship Id="rId17" Type="http://schemas.openxmlformats.org/officeDocument/2006/relationships/image" Target="../media/image513.emf"/><Relationship Id="rId2" Type="http://schemas.openxmlformats.org/officeDocument/2006/relationships/image" Target="../media/image528.emf"/><Relationship Id="rId16" Type="http://schemas.openxmlformats.org/officeDocument/2006/relationships/image" Target="../media/image514.emf"/><Relationship Id="rId1" Type="http://schemas.openxmlformats.org/officeDocument/2006/relationships/image" Target="../media/image529.emf"/><Relationship Id="rId6" Type="http://schemas.openxmlformats.org/officeDocument/2006/relationships/image" Target="../media/image524.emf"/><Relationship Id="rId11" Type="http://schemas.openxmlformats.org/officeDocument/2006/relationships/image" Target="../media/image519.emf"/><Relationship Id="rId5" Type="http://schemas.openxmlformats.org/officeDocument/2006/relationships/image" Target="../media/image525.emf"/><Relationship Id="rId15" Type="http://schemas.openxmlformats.org/officeDocument/2006/relationships/image" Target="../media/image515.emf"/><Relationship Id="rId10" Type="http://schemas.openxmlformats.org/officeDocument/2006/relationships/image" Target="../media/image520.emf"/><Relationship Id="rId4" Type="http://schemas.openxmlformats.org/officeDocument/2006/relationships/image" Target="../media/image526.emf"/><Relationship Id="rId9" Type="http://schemas.openxmlformats.org/officeDocument/2006/relationships/image" Target="../media/image521.emf"/><Relationship Id="rId14" Type="http://schemas.openxmlformats.org/officeDocument/2006/relationships/image" Target="../media/image5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2</xdr:row>
          <xdr:rowOff>66675</xdr:rowOff>
        </xdr:from>
        <xdr:to>
          <xdr:col>2</xdr:col>
          <xdr:colOff>819150</xdr:colOff>
          <xdr:row>2</xdr:row>
          <xdr:rowOff>619125</xdr:rowOff>
        </xdr:to>
        <xdr:sp macro="" textlink="">
          <xdr:nvSpPr>
            <xdr:cNvPr id="6150" name="Object 6"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219075</xdr:colOff>
          <xdr:row>2</xdr:row>
          <xdr:rowOff>66675</xdr:rowOff>
        </xdr:from>
        <xdr:to>
          <xdr:col>13</xdr:col>
          <xdr:colOff>609600</xdr:colOff>
          <xdr:row>3</xdr:row>
          <xdr:rowOff>733425</xdr:rowOff>
        </xdr:to>
        <xdr:sp macro="" textlink="">
          <xdr:nvSpPr>
            <xdr:cNvPr id="6152" name="Object 8" hidden="1">
              <a:extLst>
                <a:ext uri="{63B3BB69-23CF-44E3-9099-C40C66FF867C}">
                  <a14:compatExt spid="_x0000_s6152"/>
                </a:ext>
                <a:ext uri="{FF2B5EF4-FFF2-40B4-BE49-F238E27FC236}">
                  <a16:creationId xmlns:a16="http://schemas.microsoft.com/office/drawing/2014/main" id="{00000000-0008-0000-0000-000008180000}"/>
                </a:ext>
              </a:extLst>
            </xdr:cNvPr>
            <xdr:cNvSpPr/>
          </xdr:nvSpPr>
          <xdr:spPr bwMode="auto">
            <a:xfrm>
              <a:off x="0" y="0"/>
              <a:ext cx="0" cy="0"/>
            </a:xfrm>
            <a:prstGeom prst="rect">
              <a:avLst/>
            </a:prstGeom>
            <a:solidFill>
              <a:srgbClr val="F2F2F2"/>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xdr:col>
      <xdr:colOff>201706</xdr:colOff>
      <xdr:row>9</xdr:row>
      <xdr:rowOff>78441</xdr:rowOff>
    </xdr:from>
    <xdr:to>
      <xdr:col>7</xdr:col>
      <xdr:colOff>901513</xdr:colOff>
      <xdr:row>10</xdr:row>
      <xdr:rowOff>258356</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100-000002000000}"/>
            </a:ext>
          </a:extLst>
        </xdr:cNvPr>
        <xdr:cNvSpPr/>
      </xdr:nvSpPr>
      <xdr:spPr bwMode="auto">
        <a:xfrm>
          <a:off x="1887631" y="2593041"/>
          <a:ext cx="728382" cy="524777"/>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0</xdr:col>
          <xdr:colOff>85725</xdr:colOff>
          <xdr:row>6</xdr:row>
          <xdr:rowOff>28575</xdr:rowOff>
        </xdr:from>
        <xdr:to>
          <xdr:col>2</xdr:col>
          <xdr:colOff>600075</xdr:colOff>
          <xdr:row>7</xdr:row>
          <xdr:rowOff>9525</xdr:rowOff>
        </xdr:to>
        <xdr:sp macro="" textlink="">
          <xdr:nvSpPr>
            <xdr:cNvPr id="7169" name="APSA"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257175</xdr:rowOff>
        </xdr:from>
        <xdr:to>
          <xdr:col>2</xdr:col>
          <xdr:colOff>581025</xdr:colOff>
          <xdr:row>8</xdr:row>
          <xdr:rowOff>9525</xdr:rowOff>
        </xdr:to>
        <xdr:sp macro="" textlink="">
          <xdr:nvSpPr>
            <xdr:cNvPr id="7170" name="PSC"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7</xdr:row>
          <xdr:rowOff>228600</xdr:rowOff>
        </xdr:from>
        <xdr:to>
          <xdr:col>2</xdr:col>
          <xdr:colOff>866775</xdr:colOff>
          <xdr:row>8</xdr:row>
          <xdr:rowOff>247650</xdr:rowOff>
        </xdr:to>
        <xdr:sp macro="" textlink="">
          <xdr:nvSpPr>
            <xdr:cNvPr id="7171" name="RWC"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10</xdr:row>
          <xdr:rowOff>9525</xdr:rowOff>
        </xdr:from>
        <xdr:to>
          <xdr:col>2</xdr:col>
          <xdr:colOff>676275</xdr:colOff>
          <xdr:row>10</xdr:row>
          <xdr:rowOff>276225</xdr:rowOff>
        </xdr:to>
        <xdr:sp macro="" textlink="">
          <xdr:nvSpPr>
            <xdr:cNvPr id="7172" name="AHU"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10</xdr:row>
          <xdr:rowOff>247650</xdr:rowOff>
        </xdr:from>
        <xdr:to>
          <xdr:col>2</xdr:col>
          <xdr:colOff>809625</xdr:colOff>
          <xdr:row>11</xdr:row>
          <xdr:rowOff>180975</xdr:rowOff>
        </xdr:to>
        <xdr:sp macro="" textlink="">
          <xdr:nvSpPr>
            <xdr:cNvPr id="7173" name="CM"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11</xdr:row>
          <xdr:rowOff>161925</xdr:rowOff>
        </xdr:from>
        <xdr:to>
          <xdr:col>2</xdr:col>
          <xdr:colOff>361950</xdr:colOff>
          <xdr:row>12</xdr:row>
          <xdr:rowOff>209550</xdr:rowOff>
        </xdr:to>
        <xdr:sp macro="" textlink="">
          <xdr:nvSpPr>
            <xdr:cNvPr id="7174" name="FCU"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18</xdr:row>
          <xdr:rowOff>9525</xdr:rowOff>
        </xdr:from>
        <xdr:to>
          <xdr:col>2</xdr:col>
          <xdr:colOff>800100</xdr:colOff>
          <xdr:row>19</xdr:row>
          <xdr:rowOff>66675</xdr:rowOff>
        </xdr:to>
        <xdr:sp macro="" textlink="">
          <xdr:nvSpPr>
            <xdr:cNvPr id="7175" name="PPH"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20</xdr:row>
          <xdr:rowOff>66675</xdr:rowOff>
        </xdr:from>
        <xdr:to>
          <xdr:col>2</xdr:col>
          <xdr:colOff>638175</xdr:colOff>
          <xdr:row>21</xdr:row>
          <xdr:rowOff>123825</xdr:rowOff>
        </xdr:to>
        <xdr:sp macro="" textlink="">
          <xdr:nvSpPr>
            <xdr:cNvPr id="7176" name="DSP_AHU"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21</xdr:row>
          <xdr:rowOff>95250</xdr:rowOff>
        </xdr:from>
        <xdr:to>
          <xdr:col>2</xdr:col>
          <xdr:colOff>666750</xdr:colOff>
          <xdr:row>22</xdr:row>
          <xdr:rowOff>152400</xdr:rowOff>
        </xdr:to>
        <xdr:sp macro="" textlink="">
          <xdr:nvSpPr>
            <xdr:cNvPr id="7177" name="DSP_CM"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22</xdr:row>
          <xdr:rowOff>104775</xdr:rowOff>
        </xdr:from>
        <xdr:to>
          <xdr:col>2</xdr:col>
          <xdr:colOff>962025</xdr:colOff>
          <xdr:row>23</xdr:row>
          <xdr:rowOff>161925</xdr:rowOff>
        </xdr:to>
        <xdr:sp macro="" textlink="">
          <xdr:nvSpPr>
            <xdr:cNvPr id="7178" name="PASC"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26</xdr:row>
          <xdr:rowOff>104775</xdr:rowOff>
        </xdr:from>
        <xdr:to>
          <xdr:col>2</xdr:col>
          <xdr:colOff>657225</xdr:colOff>
          <xdr:row>27</xdr:row>
          <xdr:rowOff>161925</xdr:rowOff>
        </xdr:to>
        <xdr:sp macro="" textlink="">
          <xdr:nvSpPr>
            <xdr:cNvPr id="7179" name="PDU"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27</xdr:row>
          <xdr:rowOff>152400</xdr:rowOff>
        </xdr:from>
        <xdr:to>
          <xdr:col>2</xdr:col>
          <xdr:colOff>771525</xdr:colOff>
          <xdr:row>28</xdr:row>
          <xdr:rowOff>200025</xdr:rowOff>
        </xdr:to>
        <xdr:sp macro="" textlink="">
          <xdr:nvSpPr>
            <xdr:cNvPr id="7180" name="PSU"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14</xdr:row>
          <xdr:rowOff>28575</xdr:rowOff>
        </xdr:from>
        <xdr:to>
          <xdr:col>2</xdr:col>
          <xdr:colOff>666750</xdr:colOff>
          <xdr:row>15</xdr:row>
          <xdr:rowOff>85725</xdr:rowOff>
        </xdr:to>
        <xdr:sp macro="" textlink="">
          <xdr:nvSpPr>
            <xdr:cNvPr id="7181" name="Ecology" hidden="1">
              <a:extLst>
                <a:ext uri="{63B3BB69-23CF-44E3-9099-C40C66FF867C}">
                  <a14:compatExt spid="_x0000_s7181"/>
                </a:ext>
                <a:ext uri="{FF2B5EF4-FFF2-40B4-BE49-F238E27FC236}">
                  <a16:creationId xmlns:a16="http://schemas.microsoft.com/office/drawing/2014/main" id="{00000000-0008-0000-01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23</xdr:row>
          <xdr:rowOff>142875</xdr:rowOff>
        </xdr:from>
        <xdr:to>
          <xdr:col>2</xdr:col>
          <xdr:colOff>1190625</xdr:colOff>
          <xdr:row>24</xdr:row>
          <xdr:rowOff>200025</xdr:rowOff>
        </xdr:to>
        <xdr:sp macro="" textlink="">
          <xdr:nvSpPr>
            <xdr:cNvPr id="7182" name="PASC_WMU"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25</xdr:row>
          <xdr:rowOff>219075</xdr:rowOff>
        </xdr:from>
        <xdr:to>
          <xdr:col>2</xdr:col>
          <xdr:colOff>1200150</xdr:colOff>
          <xdr:row>26</xdr:row>
          <xdr:rowOff>123825</xdr:rowOff>
        </xdr:to>
        <xdr:sp macro="" textlink="">
          <xdr:nvSpPr>
            <xdr:cNvPr id="7183" name="CRAH"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15</xdr:row>
          <xdr:rowOff>66675</xdr:rowOff>
        </xdr:from>
        <xdr:to>
          <xdr:col>1</xdr:col>
          <xdr:colOff>914400</xdr:colOff>
          <xdr:row>16</xdr:row>
          <xdr:rowOff>123825</xdr:rowOff>
        </xdr:to>
        <xdr:sp macro="" textlink="">
          <xdr:nvSpPr>
            <xdr:cNvPr id="7184" name="Chemical_Filtration" hidden="1">
              <a:extLst>
                <a:ext uri="{63B3BB69-23CF-44E3-9099-C40C66FF867C}">
                  <a14:compatExt spid="_x0000_s7184"/>
                </a:ext>
                <a:ext uri="{FF2B5EF4-FFF2-40B4-BE49-F238E27FC236}">
                  <a16:creationId xmlns:a16="http://schemas.microsoft.com/office/drawing/2014/main" id="{00000000-0008-0000-01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19</xdr:row>
          <xdr:rowOff>38100</xdr:rowOff>
        </xdr:from>
        <xdr:to>
          <xdr:col>2</xdr:col>
          <xdr:colOff>790575</xdr:colOff>
          <xdr:row>20</xdr:row>
          <xdr:rowOff>95250</xdr:rowOff>
        </xdr:to>
        <xdr:sp macro="" textlink="">
          <xdr:nvSpPr>
            <xdr:cNvPr id="7185" name="PWM"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30</xdr:row>
          <xdr:rowOff>28575</xdr:rowOff>
        </xdr:from>
        <xdr:to>
          <xdr:col>2</xdr:col>
          <xdr:colOff>771525</xdr:colOff>
          <xdr:row>31</xdr:row>
          <xdr:rowOff>47625</xdr:rowOff>
        </xdr:to>
        <xdr:sp macro="" textlink="">
          <xdr:nvSpPr>
            <xdr:cNvPr id="7186" name="Epicor" hidden="1">
              <a:extLst>
                <a:ext uri="{63B3BB69-23CF-44E3-9099-C40C66FF867C}">
                  <a14:compatExt spid="_x0000_s7186"/>
                </a:ext>
                <a:ext uri="{FF2B5EF4-FFF2-40B4-BE49-F238E27FC236}">
                  <a16:creationId xmlns:a16="http://schemas.microsoft.com/office/drawing/2014/main" id="{00000000-0008-0000-0100-00001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31</xdr:row>
          <xdr:rowOff>0</xdr:rowOff>
        </xdr:from>
        <xdr:to>
          <xdr:col>2</xdr:col>
          <xdr:colOff>781050</xdr:colOff>
          <xdr:row>31</xdr:row>
          <xdr:rowOff>266700</xdr:rowOff>
        </xdr:to>
        <xdr:sp macro="" textlink="">
          <xdr:nvSpPr>
            <xdr:cNvPr id="7187" name="Sheet1"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31</xdr:row>
          <xdr:rowOff>238125</xdr:rowOff>
        </xdr:from>
        <xdr:to>
          <xdr:col>2</xdr:col>
          <xdr:colOff>781050</xdr:colOff>
          <xdr:row>32</xdr:row>
          <xdr:rowOff>209550</xdr:rowOff>
        </xdr:to>
        <xdr:sp macro="" textlink="">
          <xdr:nvSpPr>
            <xdr:cNvPr id="7188" name="Sheet_2"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32</xdr:row>
          <xdr:rowOff>190500</xdr:rowOff>
        </xdr:from>
        <xdr:to>
          <xdr:col>2</xdr:col>
          <xdr:colOff>781050</xdr:colOff>
          <xdr:row>33</xdr:row>
          <xdr:rowOff>209550</xdr:rowOff>
        </xdr:to>
        <xdr:sp macro="" textlink="">
          <xdr:nvSpPr>
            <xdr:cNvPr id="7189" name="Sheet_3"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4</xdr:row>
          <xdr:rowOff>28575</xdr:rowOff>
        </xdr:from>
        <xdr:to>
          <xdr:col>12</xdr:col>
          <xdr:colOff>1333500</xdr:colOff>
          <xdr:row>6</xdr:row>
          <xdr:rowOff>276225</xdr:rowOff>
        </xdr:to>
        <xdr:sp macro="" textlink="">
          <xdr:nvSpPr>
            <xdr:cNvPr id="7190" name="Automated_Tasks_Button"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361950</xdr:colOff>
          <xdr:row>0</xdr:row>
          <xdr:rowOff>47625</xdr:rowOff>
        </xdr:from>
        <xdr:to>
          <xdr:col>12</xdr:col>
          <xdr:colOff>1009650</xdr:colOff>
          <xdr:row>3</xdr:row>
          <xdr:rowOff>104775</xdr:rowOff>
        </xdr:to>
        <xdr:sp macro="" textlink="">
          <xdr:nvSpPr>
            <xdr:cNvPr id="7191" name="Image1" hidden="1">
              <a:extLst>
                <a:ext uri="{63B3BB69-23CF-44E3-9099-C40C66FF867C}">
                  <a14:compatExt spid="_x0000_s7191"/>
                </a:ext>
                <a:ext uri="{FF2B5EF4-FFF2-40B4-BE49-F238E27FC236}">
                  <a16:creationId xmlns:a16="http://schemas.microsoft.com/office/drawing/2014/main" id="{00000000-0008-0000-0100-00001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xdr:row>
          <xdr:rowOff>76200</xdr:rowOff>
        </xdr:from>
        <xdr:to>
          <xdr:col>2</xdr:col>
          <xdr:colOff>866775</xdr:colOff>
          <xdr:row>3</xdr:row>
          <xdr:rowOff>85725</xdr:rowOff>
        </xdr:to>
        <xdr:sp macro="" textlink="">
          <xdr:nvSpPr>
            <xdr:cNvPr id="7192" name="WPSa"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24</xdr:row>
          <xdr:rowOff>161925</xdr:rowOff>
        </xdr:from>
        <xdr:to>
          <xdr:col>3</xdr:col>
          <xdr:colOff>95250</xdr:colOff>
          <xdr:row>25</xdr:row>
          <xdr:rowOff>247650</xdr:rowOff>
        </xdr:to>
        <xdr:sp macro="" textlink="">
          <xdr:nvSpPr>
            <xdr:cNvPr id="7193" name="PASC_Ceiling" hidden="1">
              <a:extLst>
                <a:ext uri="{63B3BB69-23CF-44E3-9099-C40C66FF867C}">
                  <a14:compatExt spid="_x0000_s7193"/>
                </a:ext>
                <a:ext uri="{FF2B5EF4-FFF2-40B4-BE49-F238E27FC236}">
                  <a16:creationId xmlns:a16="http://schemas.microsoft.com/office/drawing/2014/main" id="{00000000-0008-0000-0100-00001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xdr:row>
          <xdr:rowOff>114300</xdr:rowOff>
        </xdr:from>
        <xdr:to>
          <xdr:col>2</xdr:col>
          <xdr:colOff>857250</xdr:colOff>
          <xdr:row>4</xdr:row>
          <xdr:rowOff>142875</xdr:rowOff>
        </xdr:to>
        <xdr:sp macro="" textlink="">
          <xdr:nvSpPr>
            <xdr:cNvPr id="7194" name="PDC" hidden="1">
              <a:extLst>
                <a:ext uri="{63B3BB69-23CF-44E3-9099-C40C66FF867C}">
                  <a14:compatExt spid="_x0000_s7194"/>
                </a:ext>
                <a:ext uri="{FF2B5EF4-FFF2-40B4-BE49-F238E27FC236}">
                  <a16:creationId xmlns:a16="http://schemas.microsoft.com/office/drawing/2014/main" id="{00000000-0008-0000-0100-00001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276225</xdr:rowOff>
        </xdr:from>
        <xdr:to>
          <xdr:col>14</xdr:col>
          <xdr:colOff>19050</xdr:colOff>
          <xdr:row>4</xdr:row>
          <xdr:rowOff>0</xdr:rowOff>
        </xdr:to>
        <xdr:sp macro="" textlink="">
          <xdr:nvSpPr>
            <xdr:cNvPr id="268289" name="Submittal" hidden="1">
              <a:extLst>
                <a:ext uri="{63B3BB69-23CF-44E3-9099-C40C66FF867C}">
                  <a14:compatExt spid="_x0000_s268289"/>
                </a:ext>
                <a:ext uri="{FF2B5EF4-FFF2-40B4-BE49-F238E27FC236}">
                  <a16:creationId xmlns:a16="http://schemas.microsoft.com/office/drawing/2014/main" id="{00000000-0008-0000-0200-0000011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14</xdr:col>
      <xdr:colOff>198583</xdr:colOff>
      <xdr:row>0</xdr:row>
      <xdr:rowOff>278865</xdr:rowOff>
    </xdr:from>
    <xdr:ext cx="6009477" cy="7441988"/>
    <xdr:sp macro="" textlink="">
      <xdr:nvSpPr>
        <xdr:cNvPr id="2" name="TextBox 1">
          <a:extLst>
            <a:ext uri="{FF2B5EF4-FFF2-40B4-BE49-F238E27FC236}">
              <a16:creationId xmlns:a16="http://schemas.microsoft.com/office/drawing/2014/main" id="{1CF3351E-B4BB-405E-86B5-C66CA2CF973B}"/>
            </a:ext>
          </a:extLst>
        </xdr:cNvPr>
        <xdr:cNvSpPr txBox="1"/>
      </xdr:nvSpPr>
      <xdr:spPr>
        <a:xfrm>
          <a:off x="17010208" y="278865"/>
          <a:ext cx="6009477" cy="7441988"/>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noAutofit/>
        </a:bodyPr>
        <a:lstStyle/>
        <a:p>
          <a:pPr marL="171450" indent="-171450">
            <a:buFont typeface="Wingdings" panose="05000000000000000000" pitchFamily="2" charset="2"/>
            <a:buChar char="ü"/>
          </a:pPr>
          <a:r>
            <a:rPr lang="en-US" sz="1600" b="1" cap="none" spc="0" baseline="0">
              <a:ln w="0"/>
              <a:solidFill>
                <a:srgbClr val="C00000"/>
              </a:solidFill>
              <a:effectLst>
                <a:outerShdw blurRad="38100" dist="19050" dir="2700000" algn="tl" rotWithShape="0">
                  <a:schemeClr val="dk1">
                    <a:alpha val="40000"/>
                  </a:schemeClr>
                </a:outerShdw>
              </a:effectLst>
            </a:rPr>
            <a:t>Air To Water:</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Add 5% to required capacity</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Microchannel coil is STD</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Maximum Capacity for Schneider is 1750 Kw</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If we changed NO. circuits, change cooler model (for ex: 46.</a:t>
          </a:r>
          <a:r>
            <a:rPr lang="en-US" sz="1200" b="1" u="sng" cap="none" spc="0" baseline="0">
              <a:ln w="0"/>
              <a:solidFill>
                <a:srgbClr val="C00000"/>
              </a:solidFill>
              <a:effectLst>
                <a:outerShdw blurRad="38100" dist="19050" dir="2700000" algn="tl" rotWithShape="0">
                  <a:schemeClr val="dk1">
                    <a:alpha val="40000"/>
                  </a:schemeClr>
                </a:outerShdw>
              </a:effectLst>
            </a:rPr>
            <a:t>3</a:t>
          </a:r>
          <a:r>
            <a:rPr lang="en-US" sz="1200" b="1" cap="none" spc="0" baseline="0">
              <a:ln w="0"/>
              <a:solidFill>
                <a:schemeClr val="tx1"/>
              </a:solidFill>
              <a:effectLst>
                <a:outerShdw blurRad="38100" dist="19050" dir="2700000" algn="tl" rotWithShape="0">
                  <a:schemeClr val="dk1">
                    <a:alpha val="40000"/>
                  </a:schemeClr>
                </a:outerShdw>
              </a:effectLst>
            </a:rPr>
            <a:t>02 for 3 circuits)</a:t>
          </a:r>
        </a:p>
        <a:p>
          <a:pPr marL="171450" indent="-171450">
            <a:buFont typeface="Wingdings" panose="05000000000000000000" pitchFamily="2" charset="2"/>
            <a:buChar char="ü"/>
          </a:pPr>
          <a:r>
            <a:rPr lang="en-US" sz="1200" b="1" baseline="0">
              <a:solidFill>
                <a:schemeClr val="dk1"/>
              </a:solidFill>
              <a:effectLst>
                <a:outerShdw blurRad="38100" dist="19050" dir="2700000" algn="tl" rotWithShape="0">
                  <a:schemeClr val="dk1">
                    <a:alpha val="40000"/>
                  </a:schemeClr>
                </a:outerShdw>
              </a:effectLst>
              <a:latin typeface="+mn-lt"/>
              <a:ea typeface="+mn-ea"/>
              <a:cs typeface="+mn-cs"/>
            </a:rPr>
            <a:t>Maximum</a:t>
          </a:r>
          <a:r>
            <a:rPr lang="en-US" sz="1200" b="1" cap="none" spc="0" baseline="0">
              <a:ln w="0"/>
              <a:solidFill>
                <a:schemeClr val="tx1"/>
              </a:solidFill>
              <a:effectLst>
                <a:outerShdw blurRad="38100" dist="19050" dir="2700000" algn="tl" rotWithShape="0">
                  <a:schemeClr val="dk1">
                    <a:alpha val="40000"/>
                  </a:schemeClr>
                </a:outerShdw>
              </a:effectLst>
            </a:rPr>
            <a:t> NO. circiut 3 Circiut</a:t>
          </a:r>
        </a:p>
        <a:p>
          <a:pPr marL="171450" indent="-171450">
            <a:buFont typeface="Wingdings" panose="05000000000000000000" pitchFamily="2" charset="2"/>
            <a:buChar char="ü"/>
          </a:pPr>
          <a:r>
            <a:rPr lang="en-US" sz="1200" b="1" baseline="0">
              <a:solidFill>
                <a:schemeClr val="dk1"/>
              </a:solidFill>
              <a:effectLst>
                <a:outerShdw blurRad="38100" dist="19050" dir="2700000" algn="tl" rotWithShape="0">
                  <a:schemeClr val="dk1">
                    <a:alpha val="40000"/>
                  </a:schemeClr>
                </a:outerShdw>
              </a:effectLst>
              <a:latin typeface="+mn-lt"/>
              <a:ea typeface="+mn-ea"/>
              <a:cs typeface="+mn-cs"/>
            </a:rPr>
            <a:t>Maximum</a:t>
          </a:r>
          <a:r>
            <a:rPr lang="en-US" sz="1200" b="1" cap="none" spc="0" baseline="0">
              <a:ln w="0"/>
              <a:solidFill>
                <a:schemeClr val="tx1"/>
              </a:solidFill>
              <a:effectLst>
                <a:outerShdw blurRad="38100" dist="19050" dir="2700000" algn="tl" rotWithShape="0">
                  <a:schemeClr val="dk1">
                    <a:alpha val="40000"/>
                  </a:schemeClr>
                </a:outerShdw>
              </a:effectLst>
            </a:rPr>
            <a:t> Compressor HP for R-134a is 190 HP</a:t>
          </a:r>
        </a:p>
        <a:p>
          <a:pPr marL="171450" indent="-171450">
            <a:buFont typeface="Wingdings" panose="05000000000000000000" pitchFamily="2" charset="2"/>
            <a:buChar char="ü"/>
          </a:pPr>
          <a:r>
            <a:rPr lang="en-US" sz="1200" b="1" baseline="0">
              <a:solidFill>
                <a:schemeClr val="dk1"/>
              </a:solidFill>
              <a:effectLst>
                <a:outerShdw blurRad="38100" dist="19050" dir="2700000" algn="tl" rotWithShape="0">
                  <a:schemeClr val="dk1">
                    <a:alpha val="40000"/>
                  </a:schemeClr>
                </a:outerShdw>
              </a:effectLst>
              <a:latin typeface="+mn-lt"/>
              <a:ea typeface="+mn-ea"/>
              <a:cs typeface="+mn-cs"/>
            </a:rPr>
            <a:t>Maximum</a:t>
          </a:r>
          <a:r>
            <a:rPr lang="en-US" sz="1200" b="1" cap="none" spc="0" baseline="0">
              <a:ln w="0"/>
              <a:solidFill>
                <a:schemeClr val="tx1"/>
              </a:solidFill>
              <a:effectLst>
                <a:outerShdw blurRad="38100" dist="19050" dir="2700000" algn="tl" rotWithShape="0">
                  <a:schemeClr val="dk1">
                    <a:alpha val="40000"/>
                  </a:schemeClr>
                </a:outerShdw>
              </a:effectLst>
            </a:rPr>
            <a:t> Condensing Temp. 63.5 C</a:t>
          </a:r>
        </a:p>
        <a:p>
          <a:pPr marL="171450" indent="-171450">
            <a:buFont typeface="Wingdings" panose="05000000000000000000" pitchFamily="2" charset="2"/>
            <a:buChar char="ü"/>
          </a:pPr>
          <a:r>
            <a:rPr lang="en-US" sz="1200" b="1" baseline="0">
              <a:solidFill>
                <a:schemeClr val="dk1"/>
              </a:solidFill>
              <a:effectLst>
                <a:outerShdw blurRad="38100" dist="19050" dir="2700000" algn="tl" rotWithShape="0">
                  <a:schemeClr val="dk1">
                    <a:alpha val="40000"/>
                  </a:schemeClr>
                </a:outerShdw>
              </a:effectLst>
              <a:latin typeface="+mn-lt"/>
              <a:ea typeface="+mn-ea"/>
              <a:cs typeface="+mn-cs"/>
            </a:rPr>
            <a:t>Maximum</a:t>
          </a:r>
          <a:r>
            <a:rPr lang="en-US" sz="1200" b="1" cap="none" spc="0" baseline="0">
              <a:ln w="0"/>
              <a:solidFill>
                <a:schemeClr val="tx1"/>
              </a:solidFill>
              <a:effectLst>
                <a:outerShdw blurRad="38100" dist="19050" dir="2700000" algn="tl" rotWithShape="0">
                  <a:schemeClr val="dk1">
                    <a:alpha val="40000"/>
                  </a:schemeClr>
                </a:outerShdw>
              </a:effectLst>
            </a:rPr>
            <a:t> Suction Temp:</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-&gt; R134a (17.0°C)</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-&gt; R513A (15.0°C)</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-&gt; R1234ze (16.0°C)</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If needed, use 94"X60" condenser size for compressors above 160 HP R-134a</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EC condenser fans flow rate</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-&gt; STD: 8260 LPS</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-&gt; With Free cooling: 7315 LPS</a:t>
          </a:r>
        </a:p>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ü"/>
            <a:tabLst/>
            <a:defRPr/>
          </a:pPr>
          <a:r>
            <a:rPr lang="en-US" sz="1600" b="1" baseline="0">
              <a:solidFill>
                <a:srgbClr val="C00000"/>
              </a:solidFill>
              <a:effectLst>
                <a:outerShdw blurRad="38100" dist="19050" dir="2700000" algn="tl" rotWithShape="0">
                  <a:schemeClr val="dk1">
                    <a:alpha val="40000"/>
                  </a:schemeClr>
                </a:outerShdw>
              </a:effectLst>
              <a:latin typeface="+mn-lt"/>
              <a:ea typeface="+mn-ea"/>
              <a:cs typeface="+mn-cs"/>
            </a:rPr>
            <a:t>Hanbell:</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ü"/>
            <a:tabLst/>
            <a:defRPr/>
          </a:pPr>
          <a:r>
            <a:rPr lang="en-US" sz="1100" b="1" baseline="0">
              <a:solidFill>
                <a:schemeClr val="tx1"/>
              </a:solidFill>
              <a:effectLst>
                <a:outerShdw blurRad="38100" dist="19050" dir="2700000" algn="tl" rotWithShape="0">
                  <a:schemeClr val="dk1">
                    <a:alpha val="40000"/>
                  </a:schemeClr>
                </a:outerShdw>
              </a:effectLst>
              <a:latin typeface="+mn-lt"/>
              <a:ea typeface="+mn-ea"/>
              <a:cs typeface="+mn-cs"/>
            </a:rPr>
            <a:t>For Gas R-134a &amp; R513A, Use RC2B</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ü"/>
            <a:tabLst/>
            <a:defRPr/>
          </a:pPr>
          <a:r>
            <a:rPr lang="en-US" sz="1100" b="1" baseline="0">
              <a:solidFill>
                <a:schemeClr val="tx1"/>
              </a:solidFill>
              <a:effectLst>
                <a:outerShdw blurRad="38100" dist="19050" dir="2700000" algn="tl" rotWithShape="0">
                  <a:schemeClr val="dk1">
                    <a:alpha val="40000"/>
                  </a:schemeClr>
                </a:outerShdw>
              </a:effectLst>
              <a:latin typeface="+mn-lt"/>
              <a:ea typeface="+mn-ea"/>
              <a:cs typeface="+mn-cs"/>
            </a:rPr>
            <a:t>For Gas R-1234ze We Use RE2B</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ü"/>
            <a:tabLst/>
            <a:defRPr/>
          </a:pPr>
          <a:r>
            <a:rPr lang="en-US" sz="1100" b="1" baseline="0">
              <a:solidFill>
                <a:schemeClr val="dk1"/>
              </a:solidFill>
              <a:effectLst>
                <a:outerShdw blurRad="38100" dist="19050" dir="2700000" algn="tl" rotWithShape="0">
                  <a:schemeClr val="dk1">
                    <a:alpha val="40000"/>
                  </a:schemeClr>
                </a:outerShdw>
              </a:effectLst>
              <a:latin typeface="+mn-lt"/>
              <a:ea typeface="+mn-ea"/>
              <a:cs typeface="+mn-cs"/>
            </a:rPr>
            <a:t>Compressors Cooling method: Liquid Injection To Motor &amp; Chamber</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ü"/>
            <a:tabLst/>
            <a:defRPr/>
          </a:pPr>
          <a:r>
            <a:rPr lang="en-US" sz="1100" b="1" baseline="0">
              <a:solidFill>
                <a:schemeClr val="dk1"/>
              </a:solidFill>
              <a:effectLst>
                <a:outerShdw blurRad="38100" dist="19050" dir="2700000" algn="tl" rotWithShape="0">
                  <a:schemeClr val="dk1">
                    <a:alpha val="40000"/>
                  </a:schemeClr>
                </a:outerShdw>
              </a:effectLst>
              <a:latin typeface="+mn-lt"/>
              <a:ea typeface="+mn-ea"/>
              <a:cs typeface="+mn-cs"/>
            </a:rPr>
            <a:t>Add suction and condensing at actual conditions (for absorbed amper)</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ü"/>
            <a:tabLst/>
            <a:defRPr/>
          </a:pPr>
          <a:r>
            <a:rPr lang="en-US" sz="1100" b="1" baseline="0">
              <a:solidFill>
                <a:schemeClr val="dk1"/>
              </a:solidFill>
              <a:effectLst>
                <a:outerShdw blurRad="38100" dist="19050" dir="2700000" algn="tl" rotWithShape="0">
                  <a:schemeClr val="dk1">
                    <a:alpha val="40000"/>
                  </a:schemeClr>
                </a:outerShdw>
              </a:effectLst>
              <a:latin typeface="+mn-lt"/>
              <a:ea typeface="+mn-ea"/>
              <a:cs typeface="+mn-cs"/>
            </a:rPr>
            <a:t>Add same suction and condensing +6.5°C (for max amper)</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ü"/>
            <a:tabLst/>
            <a:defRPr/>
          </a:pPr>
          <a:endParaRPr lang="en-GB" sz="1600">
            <a:solidFill>
              <a:srgbClr val="C00000"/>
            </a:solidFill>
            <a:effectLst/>
          </a:endParaRPr>
        </a:p>
        <a:p>
          <a:pPr marL="171450" indent="-171450">
            <a:buFont typeface="Wingdings" panose="05000000000000000000" pitchFamily="2" charset="2"/>
            <a:buChar char="ü"/>
          </a:pPr>
          <a:r>
            <a:rPr lang="en-US" sz="1600" b="1" cap="none" spc="0" baseline="0">
              <a:ln w="0"/>
              <a:solidFill>
                <a:srgbClr val="C00000"/>
              </a:solidFill>
              <a:effectLst>
                <a:outerShdw blurRad="38100" dist="19050" dir="2700000" algn="tl" rotWithShape="0">
                  <a:schemeClr val="dk1">
                    <a:alpha val="40000"/>
                  </a:schemeClr>
                </a:outerShdw>
              </a:effectLst>
            </a:rPr>
            <a:t>Very important notes:</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At below cases, use compressors power Input from </a:t>
          </a:r>
          <a:r>
            <a:rPr lang="en-US" sz="1200" b="1" cap="none" spc="0" baseline="0">
              <a:ln w="0"/>
              <a:solidFill>
                <a:srgbClr val="C00000"/>
              </a:solidFill>
              <a:effectLst>
                <a:outerShdw blurRad="38100" dist="19050" dir="2700000" algn="tl" rotWithShape="0">
                  <a:schemeClr val="dk1">
                    <a:alpha val="40000"/>
                  </a:schemeClr>
                </a:outerShdw>
              </a:effectLst>
            </a:rPr>
            <a:t>Hanbell </a:t>
          </a:r>
          <a:r>
            <a:rPr lang="en-US" sz="1200" b="1" cap="none" spc="0" baseline="0">
              <a:ln w="0"/>
              <a:solidFill>
                <a:schemeClr val="tx1"/>
              </a:solidFill>
              <a:effectLst>
                <a:outerShdw blurRad="38100" dist="19050" dir="2700000" algn="tl" rotWithShape="0">
                  <a:schemeClr val="dk1">
                    <a:alpha val="40000"/>
                  </a:schemeClr>
                </a:outerShdw>
              </a:effectLst>
            </a:rPr>
            <a:t>not from Air To Water:</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-&gt; R1234ze</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-&gt; R513A</a:t>
          </a:r>
        </a:p>
        <a:p>
          <a:pPr marL="171450" indent="-171450">
            <a:buFont typeface="Wingdings" panose="05000000000000000000" pitchFamily="2" charset="2"/>
            <a:buChar char="ü"/>
          </a:pPr>
          <a:r>
            <a:rPr lang="en-US" sz="1200" b="1" cap="none" spc="0" baseline="0">
              <a:ln w="0"/>
              <a:solidFill>
                <a:schemeClr val="tx1"/>
              </a:solidFill>
              <a:effectLst>
                <a:outerShdw blurRad="38100" dist="19050" dir="2700000" algn="tl" rotWithShape="0">
                  <a:schemeClr val="dk1">
                    <a:alpha val="40000"/>
                  </a:schemeClr>
                </a:outerShdw>
              </a:effectLst>
            </a:rPr>
            <a:t>-&gt; For any </a:t>
          </a:r>
          <a:r>
            <a:rPr lang="en-US" sz="1200" b="1" u="sng" cap="none" spc="0" baseline="0">
              <a:ln w="0"/>
              <a:solidFill>
                <a:srgbClr val="C00000"/>
              </a:solidFill>
              <a:effectLst>
                <a:outerShdw blurRad="38100" dist="19050" dir="2700000" algn="tl" rotWithShape="0">
                  <a:schemeClr val="dk1">
                    <a:alpha val="40000"/>
                  </a:schemeClr>
                </a:outerShdw>
              </a:effectLst>
            </a:rPr>
            <a:t>part load </a:t>
          </a:r>
          <a:r>
            <a:rPr lang="en-US" sz="1200" b="1" cap="none" spc="0" baseline="0">
              <a:ln w="0"/>
              <a:solidFill>
                <a:schemeClr val="tx1"/>
              </a:solidFill>
              <a:effectLst>
                <a:outerShdw blurRad="38100" dist="19050" dir="2700000" algn="tl" rotWithShape="0">
                  <a:schemeClr val="dk1">
                    <a:alpha val="40000"/>
                  </a:schemeClr>
                </a:outerShdw>
              </a:effectLst>
            </a:rPr>
            <a:t>calculations for all refrigerants</a:t>
          </a:r>
        </a:p>
        <a:p>
          <a:pPr marL="171450" indent="-171450">
            <a:buFont typeface="Wingdings" panose="05000000000000000000" pitchFamily="2" charset="2"/>
            <a:buChar char="ü"/>
          </a:pPr>
          <a:endParaRPr lang="en-US" sz="1200" b="1" cap="none" spc="0" baseline="0">
            <a:ln w="0"/>
            <a:solidFill>
              <a:srgbClr val="C00000"/>
            </a:solidFill>
            <a:effectLst>
              <a:outerShdw blurRad="38100" dist="19050" dir="2700000" algn="tl" rotWithShape="0">
                <a:schemeClr val="dk1">
                  <a:alpha val="40000"/>
                </a:schemeClr>
              </a:outerShdw>
            </a:effectLst>
          </a:endParaRPr>
        </a:p>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57978</xdr:colOff>
      <xdr:row>0</xdr:row>
      <xdr:rowOff>49697</xdr:rowOff>
    </xdr:from>
    <xdr:to>
      <xdr:col>3</xdr:col>
      <xdr:colOff>66261</xdr:colOff>
      <xdr:row>3</xdr:row>
      <xdr:rowOff>24848</xdr:rowOff>
    </xdr:to>
    <xdr:pic>
      <xdr:nvPicPr>
        <xdr:cNvPr id="2" name="Image 3">
          <a:extLst>
            <a:ext uri="{FF2B5EF4-FFF2-40B4-BE49-F238E27FC236}">
              <a16:creationId xmlns:a16="http://schemas.microsoft.com/office/drawing/2014/main" id="{DD78CE8E-51D1-4C87-85DB-1DB337BAA737}"/>
            </a:ext>
          </a:extLst>
        </xdr:cNvPr>
        <xdr:cNvPicPr>
          <a:picLocks/>
        </xdr:cNvPicPr>
      </xdr:nvPicPr>
      <xdr:blipFill>
        <a:blip xmlns:r="http://schemas.openxmlformats.org/officeDocument/2006/relationships" r:embed="rId1" cstate="print"/>
        <a:stretch>
          <a:fillRect/>
        </a:stretch>
      </xdr:blipFill>
      <xdr:spPr>
        <a:xfrm>
          <a:off x="57978" y="49697"/>
          <a:ext cx="1779933" cy="508551"/>
        </a:xfrm>
        <a:prstGeom prst="rect">
          <a:avLst/>
        </a:prstGeom>
      </xdr:spPr>
    </xdr:pic>
    <xdr:clientData/>
  </xdr:twoCellAnchor>
  <xdr:twoCellAnchor editAs="oneCell">
    <xdr:from>
      <xdr:col>0</xdr:col>
      <xdr:colOff>8283</xdr:colOff>
      <xdr:row>54</xdr:row>
      <xdr:rowOff>41413</xdr:rowOff>
    </xdr:from>
    <xdr:to>
      <xdr:col>1</xdr:col>
      <xdr:colOff>376550</xdr:colOff>
      <xdr:row>55</xdr:row>
      <xdr:rowOff>130165</xdr:rowOff>
    </xdr:to>
    <xdr:pic>
      <xdr:nvPicPr>
        <xdr:cNvPr id="3" name="Picture 2">
          <a:extLst>
            <a:ext uri="{FF2B5EF4-FFF2-40B4-BE49-F238E27FC236}">
              <a16:creationId xmlns:a16="http://schemas.microsoft.com/office/drawing/2014/main" id="{E05805F1-2B50-4048-A249-41DB85478854}"/>
            </a:ext>
          </a:extLst>
        </xdr:cNvPr>
        <xdr:cNvPicPr>
          <a:picLocks noChangeAspect="1"/>
        </xdr:cNvPicPr>
      </xdr:nvPicPr>
      <xdr:blipFill>
        <a:blip xmlns:r="http://schemas.openxmlformats.org/officeDocument/2006/relationships" r:embed="rId2"/>
        <a:stretch>
          <a:fillRect/>
        </a:stretch>
      </xdr:blipFill>
      <xdr:spPr>
        <a:xfrm>
          <a:off x="8283" y="10661788"/>
          <a:ext cx="520667" cy="526901"/>
        </a:xfrm>
        <a:prstGeom prst="rect">
          <a:avLst/>
        </a:prstGeom>
      </xdr:spPr>
    </xdr:pic>
    <xdr:clientData/>
  </xdr:twoCellAnchor>
  <xdr:twoCellAnchor editAs="oneCell">
    <xdr:from>
      <xdr:col>2</xdr:col>
      <xdr:colOff>182218</xdr:colOff>
      <xdr:row>54</xdr:row>
      <xdr:rowOff>91109</xdr:rowOff>
    </xdr:from>
    <xdr:to>
      <xdr:col>4</xdr:col>
      <xdr:colOff>109882</xdr:colOff>
      <xdr:row>55</xdr:row>
      <xdr:rowOff>125345</xdr:rowOff>
    </xdr:to>
    <xdr:pic>
      <xdr:nvPicPr>
        <xdr:cNvPr id="4" name="Image 3">
          <a:extLst>
            <a:ext uri="{FF2B5EF4-FFF2-40B4-BE49-F238E27FC236}">
              <a16:creationId xmlns:a16="http://schemas.microsoft.com/office/drawing/2014/main" id="{D0BA9546-80BE-4407-870D-0DA84C538150}"/>
            </a:ext>
          </a:extLst>
        </xdr:cNvPr>
        <xdr:cNvPicPr>
          <a:picLocks/>
        </xdr:cNvPicPr>
      </xdr:nvPicPr>
      <xdr:blipFill>
        <a:blip xmlns:r="http://schemas.openxmlformats.org/officeDocument/2006/relationships" r:embed="rId1" cstate="print"/>
        <a:stretch>
          <a:fillRect/>
        </a:stretch>
      </xdr:blipFill>
      <xdr:spPr>
        <a:xfrm>
          <a:off x="744193" y="10711484"/>
          <a:ext cx="1451664" cy="472385"/>
        </a:xfrm>
        <a:prstGeom prst="rect">
          <a:avLst/>
        </a:prstGeom>
      </xdr:spPr>
    </xdr:pic>
    <xdr:clientData/>
  </xdr:twoCellAnchor>
  <xdr:oneCellAnchor>
    <xdr:from>
      <xdr:col>0</xdr:col>
      <xdr:colOff>8283</xdr:colOff>
      <xdr:row>106</xdr:row>
      <xdr:rowOff>41413</xdr:rowOff>
    </xdr:from>
    <xdr:ext cx="517354" cy="527730"/>
    <xdr:pic>
      <xdr:nvPicPr>
        <xdr:cNvPr id="5" name="Picture 4">
          <a:extLst>
            <a:ext uri="{FF2B5EF4-FFF2-40B4-BE49-F238E27FC236}">
              <a16:creationId xmlns:a16="http://schemas.microsoft.com/office/drawing/2014/main" id="{08368F6A-B1A4-48CC-821C-D3F327E0C730}"/>
            </a:ext>
          </a:extLst>
        </xdr:cNvPr>
        <xdr:cNvPicPr>
          <a:picLocks noChangeAspect="1"/>
        </xdr:cNvPicPr>
      </xdr:nvPicPr>
      <xdr:blipFill>
        <a:blip xmlns:r="http://schemas.openxmlformats.org/officeDocument/2006/relationships" r:embed="rId2"/>
        <a:stretch>
          <a:fillRect/>
        </a:stretch>
      </xdr:blipFill>
      <xdr:spPr>
        <a:xfrm>
          <a:off x="8283" y="10634870"/>
          <a:ext cx="517354" cy="527730"/>
        </a:xfrm>
        <a:prstGeom prst="rect">
          <a:avLst/>
        </a:prstGeom>
      </xdr:spPr>
    </xdr:pic>
    <xdr:clientData/>
  </xdr:oneCellAnchor>
  <xdr:oneCellAnchor>
    <xdr:from>
      <xdr:col>2</xdr:col>
      <xdr:colOff>182218</xdr:colOff>
      <xdr:row>106</xdr:row>
      <xdr:rowOff>91109</xdr:rowOff>
    </xdr:from>
    <xdr:ext cx="1451664" cy="473214"/>
    <xdr:pic>
      <xdr:nvPicPr>
        <xdr:cNvPr id="6" name="Image 3">
          <a:extLst>
            <a:ext uri="{FF2B5EF4-FFF2-40B4-BE49-F238E27FC236}">
              <a16:creationId xmlns:a16="http://schemas.microsoft.com/office/drawing/2014/main" id="{970C9075-2043-46E2-B871-888219415FC7}"/>
            </a:ext>
          </a:extLst>
        </xdr:cNvPr>
        <xdr:cNvPicPr>
          <a:picLocks/>
        </xdr:cNvPicPr>
      </xdr:nvPicPr>
      <xdr:blipFill>
        <a:blip xmlns:r="http://schemas.openxmlformats.org/officeDocument/2006/relationships" r:embed="rId1" cstate="print"/>
        <a:stretch>
          <a:fillRect/>
        </a:stretch>
      </xdr:blipFill>
      <xdr:spPr>
        <a:xfrm>
          <a:off x="737153" y="10684566"/>
          <a:ext cx="1451664" cy="473214"/>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56632</xdr:colOff>
      <xdr:row>0</xdr:row>
      <xdr:rowOff>67504</xdr:rowOff>
    </xdr:from>
    <xdr:to>
      <xdr:col>3</xdr:col>
      <xdr:colOff>306458</xdr:colOff>
      <xdr:row>3</xdr:row>
      <xdr:rowOff>16566</xdr:rowOff>
    </xdr:to>
    <xdr:pic>
      <xdr:nvPicPr>
        <xdr:cNvPr id="2" name="Image 3">
          <a:extLst>
            <a:ext uri="{FF2B5EF4-FFF2-40B4-BE49-F238E27FC236}">
              <a16:creationId xmlns:a16="http://schemas.microsoft.com/office/drawing/2014/main" id="{50268715-64BC-4347-A1AE-400CA106811E}"/>
            </a:ext>
          </a:extLst>
        </xdr:cNvPr>
        <xdr:cNvPicPr>
          <a:picLocks/>
        </xdr:cNvPicPr>
      </xdr:nvPicPr>
      <xdr:blipFill>
        <a:blip xmlns:r="http://schemas.openxmlformats.org/officeDocument/2006/relationships" r:embed="rId1" cstate="print"/>
        <a:stretch>
          <a:fillRect/>
        </a:stretch>
      </xdr:blipFill>
      <xdr:spPr>
        <a:xfrm>
          <a:off x="56632" y="67504"/>
          <a:ext cx="1659526" cy="482462"/>
        </a:xfrm>
        <a:prstGeom prst="rect">
          <a:avLst/>
        </a:prstGeom>
      </xdr:spPr>
    </xdr:pic>
    <xdr:clientData/>
  </xdr:twoCellAnchor>
  <xdr:twoCellAnchor editAs="oneCell">
    <xdr:from>
      <xdr:col>1</xdr:col>
      <xdr:colOff>201370</xdr:colOff>
      <xdr:row>57</xdr:row>
      <xdr:rowOff>59271</xdr:rowOff>
    </xdr:from>
    <xdr:to>
      <xdr:col>4</xdr:col>
      <xdr:colOff>311252</xdr:colOff>
      <xdr:row>58</xdr:row>
      <xdr:rowOff>68659</xdr:rowOff>
    </xdr:to>
    <xdr:pic>
      <xdr:nvPicPr>
        <xdr:cNvPr id="3" name="Image 3">
          <a:extLst>
            <a:ext uri="{FF2B5EF4-FFF2-40B4-BE49-F238E27FC236}">
              <a16:creationId xmlns:a16="http://schemas.microsoft.com/office/drawing/2014/main" id="{7C696F5E-453D-46F0-843C-15A3DBE473A0}"/>
            </a:ext>
          </a:extLst>
        </xdr:cNvPr>
        <xdr:cNvPicPr>
          <a:picLocks/>
        </xdr:cNvPicPr>
      </xdr:nvPicPr>
      <xdr:blipFill>
        <a:blip xmlns:r="http://schemas.openxmlformats.org/officeDocument/2006/relationships" r:embed="rId1" cstate="print"/>
        <a:stretch>
          <a:fillRect/>
        </a:stretch>
      </xdr:blipFill>
      <xdr:spPr>
        <a:xfrm>
          <a:off x="629995" y="10174821"/>
          <a:ext cx="1443382" cy="476113"/>
        </a:xfrm>
        <a:prstGeom prst="rect">
          <a:avLst/>
        </a:prstGeom>
      </xdr:spPr>
    </xdr:pic>
    <xdr:clientData/>
  </xdr:twoCellAnchor>
  <xdr:twoCellAnchor editAs="oneCell">
    <xdr:from>
      <xdr:col>0</xdr:col>
      <xdr:colOff>31646</xdr:colOff>
      <xdr:row>57</xdr:row>
      <xdr:rowOff>46386</xdr:rowOff>
    </xdr:from>
    <xdr:to>
      <xdr:col>1</xdr:col>
      <xdr:colOff>118304</xdr:colOff>
      <xdr:row>58</xdr:row>
      <xdr:rowOff>110290</xdr:rowOff>
    </xdr:to>
    <xdr:pic>
      <xdr:nvPicPr>
        <xdr:cNvPr id="4" name="Picture 3">
          <a:extLst>
            <a:ext uri="{FF2B5EF4-FFF2-40B4-BE49-F238E27FC236}">
              <a16:creationId xmlns:a16="http://schemas.microsoft.com/office/drawing/2014/main" id="{F01863EE-79EB-4973-94F8-2BD45F60D598}"/>
            </a:ext>
          </a:extLst>
        </xdr:cNvPr>
        <xdr:cNvPicPr>
          <a:picLocks noChangeAspect="1"/>
        </xdr:cNvPicPr>
      </xdr:nvPicPr>
      <xdr:blipFill>
        <a:blip xmlns:r="http://schemas.openxmlformats.org/officeDocument/2006/relationships" r:embed="rId2"/>
        <a:stretch>
          <a:fillRect/>
        </a:stretch>
      </xdr:blipFill>
      <xdr:spPr>
        <a:xfrm>
          <a:off x="31646" y="10161936"/>
          <a:ext cx="515283" cy="53062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201706</xdr:colOff>
      <xdr:row>12</xdr:row>
      <xdr:rowOff>0</xdr:rowOff>
    </xdr:from>
    <xdr:to>
      <xdr:col>3</xdr:col>
      <xdr:colOff>1015812</xdr:colOff>
      <xdr:row>15</xdr:row>
      <xdr:rowOff>93628</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400-000002000000}"/>
            </a:ext>
          </a:extLst>
        </xdr:cNvPr>
        <xdr:cNvSpPr/>
      </xdr:nvSpPr>
      <xdr:spPr bwMode="auto">
        <a:xfrm>
          <a:off x="5068981" y="2924175"/>
          <a:ext cx="814106" cy="684178"/>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504825</xdr:colOff>
          <xdr:row>3</xdr:row>
          <xdr:rowOff>66675</xdr:rowOff>
        </xdr:to>
        <xdr:sp macro="" textlink="">
          <xdr:nvSpPr>
            <xdr:cNvPr id="132097" name="Hide" hidden="1">
              <a:extLst>
                <a:ext uri="{63B3BB69-23CF-44E3-9099-C40C66FF867C}">
                  <a14:compatExt spid="_x0000_s132097"/>
                </a:ext>
                <a:ext uri="{FF2B5EF4-FFF2-40B4-BE49-F238E27FC236}">
                  <a16:creationId xmlns:a16="http://schemas.microsoft.com/office/drawing/2014/main" id="{00000000-0008-0000-0900-0000010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63500</xdr:colOff>
      <xdr:row>3</xdr:row>
      <xdr:rowOff>577850</xdr:rowOff>
    </xdr:from>
    <xdr:ext cx="3365500" cy="1143003"/>
    <xdr:sp macro="" textlink="">
      <xdr:nvSpPr>
        <xdr:cNvPr id="3" name="TextBox 1">
          <a:extLst>
            <a:ext uri="{FF2B5EF4-FFF2-40B4-BE49-F238E27FC236}">
              <a16:creationId xmlns:a16="http://schemas.microsoft.com/office/drawing/2014/main" id="{00000000-0008-0000-0400-000003000000}"/>
            </a:ext>
          </a:extLst>
        </xdr:cNvPr>
        <xdr:cNvSpPr txBox="1"/>
      </xdr:nvSpPr>
      <xdr:spPr>
        <a:xfrm>
          <a:off x="63500" y="825500"/>
          <a:ext cx="3365500" cy="1143003"/>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no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123825</xdr:colOff>
          <xdr:row>3</xdr:row>
          <xdr:rowOff>133350</xdr:rowOff>
        </xdr:from>
        <xdr:to>
          <xdr:col>0</xdr:col>
          <xdr:colOff>1647825</xdr:colOff>
          <xdr:row>3</xdr:row>
          <xdr:rowOff>447675</xdr:rowOff>
        </xdr:to>
        <xdr:sp macro="" textlink="">
          <xdr:nvSpPr>
            <xdr:cNvPr id="132098" name="Specs" hidden="1">
              <a:extLst>
                <a:ext uri="{63B3BB69-23CF-44E3-9099-C40C66FF867C}">
                  <a14:compatExt spid="_x0000_s132098"/>
                </a:ext>
                <a:ext uri="{FF2B5EF4-FFF2-40B4-BE49-F238E27FC236}">
                  <a16:creationId xmlns:a16="http://schemas.microsoft.com/office/drawing/2014/main" id="{00000000-0008-0000-0900-0000020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1838325</xdr:colOff>
          <xdr:row>3</xdr:row>
          <xdr:rowOff>133350</xdr:rowOff>
        </xdr:from>
        <xdr:to>
          <xdr:col>0</xdr:col>
          <xdr:colOff>3362325</xdr:colOff>
          <xdr:row>3</xdr:row>
          <xdr:rowOff>447675</xdr:rowOff>
        </xdr:to>
        <xdr:sp macro="" textlink="">
          <xdr:nvSpPr>
            <xdr:cNvPr id="132099" name="Technical" hidden="1">
              <a:extLst>
                <a:ext uri="{63B3BB69-23CF-44E3-9099-C40C66FF867C}">
                  <a14:compatExt spid="_x0000_s132099"/>
                </a:ext>
                <a:ext uri="{FF2B5EF4-FFF2-40B4-BE49-F238E27FC236}">
                  <a16:creationId xmlns:a16="http://schemas.microsoft.com/office/drawing/2014/main" id="{00000000-0008-0000-0900-0000030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3</xdr:col>
      <xdr:colOff>201706</xdr:colOff>
      <xdr:row>12</xdr:row>
      <xdr:rowOff>0</xdr:rowOff>
    </xdr:from>
    <xdr:to>
      <xdr:col>3</xdr:col>
      <xdr:colOff>1015812</xdr:colOff>
      <xdr:row>15</xdr:row>
      <xdr:rowOff>93628</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500-000002000000}"/>
            </a:ext>
          </a:extLst>
        </xdr:cNvPr>
        <xdr:cNvSpPr/>
      </xdr:nvSpPr>
      <xdr:spPr bwMode="auto">
        <a:xfrm>
          <a:off x="1354231" y="2543175"/>
          <a:ext cx="814106" cy="684178"/>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504825</xdr:colOff>
          <xdr:row>3</xdr:row>
          <xdr:rowOff>66675</xdr:rowOff>
        </xdr:to>
        <xdr:sp macro="" textlink="">
          <xdr:nvSpPr>
            <xdr:cNvPr id="130049" name="Hide" hidden="1">
              <a:extLst>
                <a:ext uri="{63B3BB69-23CF-44E3-9099-C40C66FF867C}">
                  <a14:compatExt spid="_x0000_s130049"/>
                </a:ext>
                <a:ext uri="{FF2B5EF4-FFF2-40B4-BE49-F238E27FC236}">
                  <a16:creationId xmlns:a16="http://schemas.microsoft.com/office/drawing/2014/main" id="{00000000-0008-0000-0A00-000001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63500</xdr:colOff>
      <xdr:row>3</xdr:row>
      <xdr:rowOff>577850</xdr:rowOff>
    </xdr:from>
    <xdr:ext cx="3365500" cy="1143003"/>
    <xdr:sp macro="" textlink="">
      <xdr:nvSpPr>
        <xdr:cNvPr id="3" name="TextBox 1">
          <a:extLst>
            <a:ext uri="{FF2B5EF4-FFF2-40B4-BE49-F238E27FC236}">
              <a16:creationId xmlns:a16="http://schemas.microsoft.com/office/drawing/2014/main" id="{00000000-0008-0000-0500-000003000000}"/>
            </a:ext>
          </a:extLst>
        </xdr:cNvPr>
        <xdr:cNvSpPr txBox="1"/>
      </xdr:nvSpPr>
      <xdr:spPr>
        <a:xfrm>
          <a:off x="63500" y="825500"/>
          <a:ext cx="3365500" cy="1143003"/>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no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123825</xdr:colOff>
          <xdr:row>3</xdr:row>
          <xdr:rowOff>133350</xdr:rowOff>
        </xdr:from>
        <xdr:to>
          <xdr:col>0</xdr:col>
          <xdr:colOff>1647825</xdr:colOff>
          <xdr:row>3</xdr:row>
          <xdr:rowOff>447675</xdr:rowOff>
        </xdr:to>
        <xdr:sp macro="" textlink="">
          <xdr:nvSpPr>
            <xdr:cNvPr id="130050" name="Specs" hidden="1">
              <a:extLst>
                <a:ext uri="{63B3BB69-23CF-44E3-9099-C40C66FF867C}">
                  <a14:compatExt spid="_x0000_s130050"/>
                </a:ext>
                <a:ext uri="{FF2B5EF4-FFF2-40B4-BE49-F238E27FC236}">
                  <a16:creationId xmlns:a16="http://schemas.microsoft.com/office/drawing/2014/main" id="{00000000-0008-0000-0A00-000002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1838325</xdr:colOff>
          <xdr:row>3</xdr:row>
          <xdr:rowOff>133350</xdr:rowOff>
        </xdr:from>
        <xdr:to>
          <xdr:col>0</xdr:col>
          <xdr:colOff>3362325</xdr:colOff>
          <xdr:row>3</xdr:row>
          <xdr:rowOff>447675</xdr:rowOff>
        </xdr:to>
        <xdr:sp macro="" textlink="">
          <xdr:nvSpPr>
            <xdr:cNvPr id="130051" name="Technical" hidden="1">
              <a:extLst>
                <a:ext uri="{63B3BB69-23CF-44E3-9099-C40C66FF867C}">
                  <a14:compatExt spid="_x0000_s130051"/>
                </a:ext>
                <a:ext uri="{FF2B5EF4-FFF2-40B4-BE49-F238E27FC236}">
                  <a16:creationId xmlns:a16="http://schemas.microsoft.com/office/drawing/2014/main" id="{00000000-0008-0000-0A00-000003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3</xdr:col>
      <xdr:colOff>201706</xdr:colOff>
      <xdr:row>12</xdr:row>
      <xdr:rowOff>0</xdr:rowOff>
    </xdr:from>
    <xdr:to>
      <xdr:col>3</xdr:col>
      <xdr:colOff>1015812</xdr:colOff>
      <xdr:row>15</xdr:row>
      <xdr:rowOff>93628</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600-000002000000}"/>
            </a:ext>
          </a:extLst>
        </xdr:cNvPr>
        <xdr:cNvSpPr/>
      </xdr:nvSpPr>
      <xdr:spPr bwMode="auto">
        <a:xfrm>
          <a:off x="496981" y="2581275"/>
          <a:ext cx="728382" cy="593692"/>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228600</xdr:colOff>
          <xdr:row>3</xdr:row>
          <xdr:rowOff>66675</xdr:rowOff>
        </xdr:to>
        <xdr:sp macro="" textlink="">
          <xdr:nvSpPr>
            <xdr:cNvPr id="8193" name="Hide"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63500</xdr:colOff>
      <xdr:row>3</xdr:row>
      <xdr:rowOff>577850</xdr:rowOff>
    </xdr:from>
    <xdr:ext cx="3365500" cy="1143003"/>
    <xdr:sp macro="" textlink="">
      <xdr:nvSpPr>
        <xdr:cNvPr id="4" name="TextBox 1" hidden="1">
          <a:extLst>
            <a:ext uri="{FF2B5EF4-FFF2-40B4-BE49-F238E27FC236}">
              <a16:creationId xmlns:a16="http://schemas.microsoft.com/office/drawing/2014/main" id="{00000000-0008-0000-0600-000004000000}"/>
            </a:ext>
          </a:extLst>
        </xdr:cNvPr>
        <xdr:cNvSpPr txBox="1"/>
      </xdr:nvSpPr>
      <xdr:spPr>
        <a:xfrm>
          <a:off x="63500" y="825500"/>
          <a:ext cx="3365500" cy="1143003"/>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no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371475</xdr:colOff>
          <xdr:row>3</xdr:row>
          <xdr:rowOff>447675</xdr:rowOff>
        </xdr:to>
        <xdr:sp macro="" textlink="">
          <xdr:nvSpPr>
            <xdr:cNvPr id="8194" name="Specs" hidden="1">
              <a:extLst>
                <a:ext uri="{63B3BB69-23CF-44E3-9099-C40C66FF867C}">
                  <a14:compatExt spid="_x0000_s8194"/>
                </a:ext>
                <a:ext uri="{FF2B5EF4-FFF2-40B4-BE49-F238E27FC236}">
                  <a16:creationId xmlns:a16="http://schemas.microsoft.com/office/drawing/2014/main" id="{00000000-0008-0000-0B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371475</xdr:colOff>
          <xdr:row>3</xdr:row>
          <xdr:rowOff>447675</xdr:rowOff>
        </xdr:to>
        <xdr:sp macro="" textlink="">
          <xdr:nvSpPr>
            <xdr:cNvPr id="8195" name="Technical" hidden="1">
              <a:extLst>
                <a:ext uri="{63B3BB69-23CF-44E3-9099-C40C66FF867C}">
                  <a14:compatExt spid="_x0000_s8195"/>
                </a:ext>
                <a:ext uri="{FF2B5EF4-FFF2-40B4-BE49-F238E27FC236}">
                  <a16:creationId xmlns:a16="http://schemas.microsoft.com/office/drawing/2014/main" id="{00000000-0008-0000-0B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3</xdr:col>
      <xdr:colOff>201706</xdr:colOff>
      <xdr:row>12</xdr:row>
      <xdr:rowOff>0</xdr:rowOff>
    </xdr:from>
    <xdr:to>
      <xdr:col>3</xdr:col>
      <xdr:colOff>1015813</xdr:colOff>
      <xdr:row>15</xdr:row>
      <xdr:rowOff>93628</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700-000002000000}"/>
            </a:ext>
          </a:extLst>
        </xdr:cNvPr>
        <xdr:cNvSpPr/>
      </xdr:nvSpPr>
      <xdr:spPr bwMode="auto">
        <a:xfrm>
          <a:off x="3821206" y="1933575"/>
          <a:ext cx="852207" cy="688942"/>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228600</xdr:colOff>
          <xdr:row>3</xdr:row>
          <xdr:rowOff>57150</xdr:rowOff>
        </xdr:to>
        <xdr:sp macro="" textlink="">
          <xdr:nvSpPr>
            <xdr:cNvPr id="18433" name="Hide" hidden="1">
              <a:extLst>
                <a:ext uri="{63B3BB69-23CF-44E3-9099-C40C66FF867C}">
                  <a14:compatExt spid="_x0000_s18433"/>
                </a:ext>
                <a:ext uri="{FF2B5EF4-FFF2-40B4-BE49-F238E27FC236}">
                  <a16:creationId xmlns:a16="http://schemas.microsoft.com/office/drawing/2014/main" id="{00000000-0008-0000-0C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63500</xdr:colOff>
      <xdr:row>3</xdr:row>
      <xdr:rowOff>577850</xdr:rowOff>
    </xdr:from>
    <xdr:ext cx="3365500" cy="2619375"/>
    <xdr:sp macro="" textlink="">
      <xdr:nvSpPr>
        <xdr:cNvPr id="4" name="TextBox 1" hidden="1">
          <a:extLst>
            <a:ext uri="{FF2B5EF4-FFF2-40B4-BE49-F238E27FC236}">
              <a16:creationId xmlns:a16="http://schemas.microsoft.com/office/drawing/2014/main" id="{00000000-0008-0000-0700-000004000000}"/>
            </a:ext>
          </a:extLst>
        </xdr:cNvPr>
        <xdr:cNvSpPr txBox="1"/>
      </xdr:nvSpPr>
      <xdr:spPr>
        <a:xfrm>
          <a:off x="63500" y="825500"/>
          <a:ext cx="3365500" cy="2619375"/>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371475</xdr:colOff>
          <xdr:row>3</xdr:row>
          <xdr:rowOff>447675</xdr:rowOff>
        </xdr:to>
        <xdr:sp macro="" textlink="">
          <xdr:nvSpPr>
            <xdr:cNvPr id="18434" name="Specs" hidden="1">
              <a:extLst>
                <a:ext uri="{63B3BB69-23CF-44E3-9099-C40C66FF867C}">
                  <a14:compatExt spid="_x0000_s18434"/>
                </a:ext>
                <a:ext uri="{FF2B5EF4-FFF2-40B4-BE49-F238E27FC236}">
                  <a16:creationId xmlns:a16="http://schemas.microsoft.com/office/drawing/2014/main" id="{00000000-0008-0000-0C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371475</xdr:colOff>
          <xdr:row>3</xdr:row>
          <xdr:rowOff>447675</xdr:rowOff>
        </xdr:to>
        <xdr:sp macro="" textlink="">
          <xdr:nvSpPr>
            <xdr:cNvPr id="18435" name="Technical" hidden="1">
              <a:extLst>
                <a:ext uri="{63B3BB69-23CF-44E3-9099-C40C66FF867C}">
                  <a14:compatExt spid="_x0000_s18435"/>
                </a:ext>
                <a:ext uri="{FF2B5EF4-FFF2-40B4-BE49-F238E27FC236}">
                  <a16:creationId xmlns:a16="http://schemas.microsoft.com/office/drawing/2014/main" id="{00000000-0008-0000-0C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3</xdr:col>
      <xdr:colOff>201706</xdr:colOff>
      <xdr:row>10</xdr:row>
      <xdr:rowOff>0</xdr:rowOff>
    </xdr:from>
    <xdr:to>
      <xdr:col>3</xdr:col>
      <xdr:colOff>1015813</xdr:colOff>
      <xdr:row>13</xdr:row>
      <xdr:rowOff>22192</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800-000002000000}"/>
            </a:ext>
          </a:extLst>
        </xdr:cNvPr>
        <xdr:cNvSpPr/>
      </xdr:nvSpPr>
      <xdr:spPr bwMode="auto">
        <a:xfrm>
          <a:off x="3821206" y="1933575"/>
          <a:ext cx="852207" cy="688942"/>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228600</xdr:colOff>
          <xdr:row>3</xdr:row>
          <xdr:rowOff>57150</xdr:rowOff>
        </xdr:to>
        <xdr:sp macro="" textlink="">
          <xdr:nvSpPr>
            <xdr:cNvPr id="19457" name="Hide"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63500</xdr:colOff>
      <xdr:row>4</xdr:row>
      <xdr:rowOff>15875</xdr:rowOff>
    </xdr:from>
    <xdr:ext cx="3365500" cy="1035845"/>
    <xdr:sp macro="" textlink="">
      <xdr:nvSpPr>
        <xdr:cNvPr id="4" name="TextBox 1" hidden="1">
          <a:extLst>
            <a:ext uri="{FF2B5EF4-FFF2-40B4-BE49-F238E27FC236}">
              <a16:creationId xmlns:a16="http://schemas.microsoft.com/office/drawing/2014/main" id="{00000000-0008-0000-0800-000004000000}"/>
            </a:ext>
          </a:extLst>
        </xdr:cNvPr>
        <xdr:cNvSpPr txBox="1"/>
      </xdr:nvSpPr>
      <xdr:spPr>
        <a:xfrm>
          <a:off x="63500" y="825500"/>
          <a:ext cx="3365500" cy="1035845"/>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371475</xdr:colOff>
          <xdr:row>3</xdr:row>
          <xdr:rowOff>447675</xdr:rowOff>
        </xdr:to>
        <xdr:sp macro="" textlink="">
          <xdr:nvSpPr>
            <xdr:cNvPr id="19458" name="Specs" hidden="1">
              <a:extLst>
                <a:ext uri="{63B3BB69-23CF-44E3-9099-C40C66FF867C}">
                  <a14:compatExt spid="_x0000_s19458"/>
                </a:ext>
                <a:ext uri="{FF2B5EF4-FFF2-40B4-BE49-F238E27FC236}">
                  <a16:creationId xmlns:a16="http://schemas.microsoft.com/office/drawing/2014/main" id="{00000000-0008-0000-0D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371475</xdr:colOff>
          <xdr:row>3</xdr:row>
          <xdr:rowOff>447675</xdr:rowOff>
        </xdr:to>
        <xdr:sp macro="" textlink="">
          <xdr:nvSpPr>
            <xdr:cNvPr id="19459" name="Technical" hidden="1">
              <a:extLst>
                <a:ext uri="{63B3BB69-23CF-44E3-9099-C40C66FF867C}">
                  <a14:compatExt spid="_x0000_s19459"/>
                </a:ext>
                <a:ext uri="{FF2B5EF4-FFF2-40B4-BE49-F238E27FC236}">
                  <a16:creationId xmlns:a16="http://schemas.microsoft.com/office/drawing/2014/main" id="{00000000-0008-0000-0D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3</xdr:col>
      <xdr:colOff>201706</xdr:colOff>
      <xdr:row>11</xdr:row>
      <xdr:rowOff>0</xdr:rowOff>
    </xdr:from>
    <xdr:to>
      <xdr:col>3</xdr:col>
      <xdr:colOff>911038</xdr:colOff>
      <xdr:row>14</xdr:row>
      <xdr:rowOff>10285</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900-000002000000}"/>
            </a:ext>
          </a:extLst>
        </xdr:cNvPr>
        <xdr:cNvSpPr/>
      </xdr:nvSpPr>
      <xdr:spPr bwMode="auto">
        <a:xfrm>
          <a:off x="496981" y="2581275"/>
          <a:ext cx="728382" cy="593692"/>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6</xdr:row>
      <xdr:rowOff>92075</xdr:rowOff>
    </xdr:from>
    <xdr:ext cx="3365500" cy="1774033"/>
    <xdr:sp macro="" textlink="">
      <xdr:nvSpPr>
        <xdr:cNvPr id="4" name="TextBox 1" hidden="1">
          <a:extLst>
            <a:ext uri="{FF2B5EF4-FFF2-40B4-BE49-F238E27FC236}">
              <a16:creationId xmlns:a16="http://schemas.microsoft.com/office/drawing/2014/main" id="{00000000-0008-0000-0900-000004000000}"/>
            </a:ext>
          </a:extLst>
        </xdr:cNvPr>
        <xdr:cNvSpPr txBox="1"/>
      </xdr:nvSpPr>
      <xdr:spPr>
        <a:xfrm>
          <a:off x="63500" y="1397000"/>
          <a:ext cx="3365500" cy="1774033"/>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200025</xdr:colOff>
          <xdr:row>3</xdr:row>
          <xdr:rowOff>95250</xdr:rowOff>
        </xdr:to>
        <xdr:sp macro="" textlink="">
          <xdr:nvSpPr>
            <xdr:cNvPr id="9217" name="Hide" hidden="1">
              <a:extLst>
                <a:ext uri="{63B3BB69-23CF-44E3-9099-C40C66FF867C}">
                  <a14:compatExt spid="_x0000_s9217"/>
                </a:ext>
                <a:ext uri="{FF2B5EF4-FFF2-40B4-BE49-F238E27FC236}">
                  <a16:creationId xmlns:a16="http://schemas.microsoft.com/office/drawing/2014/main" id="{00000000-0008-0000-0E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428625</xdr:colOff>
          <xdr:row>3</xdr:row>
          <xdr:rowOff>447675</xdr:rowOff>
        </xdr:to>
        <xdr:sp macro="" textlink="">
          <xdr:nvSpPr>
            <xdr:cNvPr id="9218" name="Specs" hidden="1">
              <a:extLst>
                <a:ext uri="{63B3BB69-23CF-44E3-9099-C40C66FF867C}">
                  <a14:compatExt spid="_x0000_s9218"/>
                </a:ext>
                <a:ext uri="{FF2B5EF4-FFF2-40B4-BE49-F238E27FC236}">
                  <a16:creationId xmlns:a16="http://schemas.microsoft.com/office/drawing/2014/main" id="{00000000-0008-0000-0E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428625</xdr:colOff>
          <xdr:row>3</xdr:row>
          <xdr:rowOff>447675</xdr:rowOff>
        </xdr:to>
        <xdr:sp macro="" textlink="">
          <xdr:nvSpPr>
            <xdr:cNvPr id="9219" name="Technical" hidden="1">
              <a:extLst>
                <a:ext uri="{63B3BB69-23CF-44E3-9099-C40C66FF867C}">
                  <a14:compatExt spid="_x0000_s9219"/>
                </a:ext>
                <a:ext uri="{FF2B5EF4-FFF2-40B4-BE49-F238E27FC236}">
                  <a16:creationId xmlns:a16="http://schemas.microsoft.com/office/drawing/2014/main" id="{00000000-0008-0000-0E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3</xdr:col>
          <xdr:colOff>419100</xdr:colOff>
          <xdr:row>5</xdr:row>
          <xdr:rowOff>114300</xdr:rowOff>
        </xdr:to>
        <xdr:sp macro="" textlink="">
          <xdr:nvSpPr>
            <xdr:cNvPr id="9220" name="Flow_Calculate" hidden="1">
              <a:extLst>
                <a:ext uri="{63B3BB69-23CF-44E3-9099-C40C66FF867C}">
                  <a14:compatExt spid="_x0000_s9220"/>
                </a:ext>
                <a:ext uri="{FF2B5EF4-FFF2-40B4-BE49-F238E27FC236}">
                  <a16:creationId xmlns:a16="http://schemas.microsoft.com/office/drawing/2014/main" id="{00000000-0008-0000-0E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3</xdr:col>
          <xdr:colOff>419100</xdr:colOff>
          <xdr:row>5</xdr:row>
          <xdr:rowOff>114300</xdr:rowOff>
        </xdr:to>
        <xdr:sp macro="" textlink="">
          <xdr:nvSpPr>
            <xdr:cNvPr id="9222" name="FPM" hidden="1">
              <a:extLst>
                <a:ext uri="{63B3BB69-23CF-44E3-9099-C40C66FF867C}">
                  <a14:compatExt spid="_x0000_s9222"/>
                </a:ext>
                <a:ext uri="{FF2B5EF4-FFF2-40B4-BE49-F238E27FC236}">
                  <a16:creationId xmlns:a16="http://schemas.microsoft.com/office/drawing/2014/main" id="{00000000-0008-0000-0E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201706</xdr:colOff>
      <xdr:row>10</xdr:row>
      <xdr:rowOff>0</xdr:rowOff>
    </xdr:from>
    <xdr:to>
      <xdr:col>3</xdr:col>
      <xdr:colOff>930088</xdr:colOff>
      <xdr:row>12</xdr:row>
      <xdr:rowOff>212692</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A00-000002000000}"/>
            </a:ext>
          </a:extLst>
        </xdr:cNvPr>
        <xdr:cNvSpPr/>
      </xdr:nvSpPr>
      <xdr:spPr bwMode="auto">
        <a:xfrm>
          <a:off x="535081" y="1933575"/>
          <a:ext cx="728382" cy="68656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3</xdr:row>
      <xdr:rowOff>577850</xdr:rowOff>
    </xdr:from>
    <xdr:ext cx="3365500" cy="1190628"/>
    <xdr:sp macro="" textlink="">
      <xdr:nvSpPr>
        <xdr:cNvPr id="3" name="TextBox 1" hidden="1">
          <a:extLst>
            <a:ext uri="{FF2B5EF4-FFF2-40B4-BE49-F238E27FC236}">
              <a16:creationId xmlns:a16="http://schemas.microsoft.com/office/drawing/2014/main" id="{00000000-0008-0000-0A00-000003000000}"/>
            </a:ext>
          </a:extLst>
        </xdr:cNvPr>
        <xdr:cNvSpPr txBox="1"/>
      </xdr:nvSpPr>
      <xdr:spPr>
        <a:xfrm>
          <a:off x="63500" y="825500"/>
          <a:ext cx="3365500" cy="1190628"/>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no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200025</xdr:colOff>
          <xdr:row>3</xdr:row>
          <xdr:rowOff>95250</xdr:rowOff>
        </xdr:to>
        <xdr:sp macro="" textlink="">
          <xdr:nvSpPr>
            <xdr:cNvPr id="29697" name="Hide" hidden="1">
              <a:extLst>
                <a:ext uri="{63B3BB69-23CF-44E3-9099-C40C66FF867C}">
                  <a14:compatExt spid="_x0000_s29697"/>
                </a:ext>
                <a:ext uri="{FF2B5EF4-FFF2-40B4-BE49-F238E27FC236}">
                  <a16:creationId xmlns:a16="http://schemas.microsoft.com/office/drawing/2014/main" id="{00000000-0008-0000-0F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123825</xdr:colOff>
          <xdr:row>3</xdr:row>
          <xdr:rowOff>447675</xdr:rowOff>
        </xdr:to>
        <xdr:sp macro="" textlink="">
          <xdr:nvSpPr>
            <xdr:cNvPr id="29698" name="Specs" hidden="1">
              <a:extLst>
                <a:ext uri="{63B3BB69-23CF-44E3-9099-C40C66FF867C}">
                  <a14:compatExt spid="_x0000_s29698"/>
                </a:ext>
                <a:ext uri="{FF2B5EF4-FFF2-40B4-BE49-F238E27FC236}">
                  <a16:creationId xmlns:a16="http://schemas.microsoft.com/office/drawing/2014/main" id="{00000000-0008-0000-0F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123825</xdr:colOff>
          <xdr:row>3</xdr:row>
          <xdr:rowOff>447675</xdr:rowOff>
        </xdr:to>
        <xdr:sp macro="" textlink="">
          <xdr:nvSpPr>
            <xdr:cNvPr id="29699" name="Technical" hidden="1">
              <a:extLst>
                <a:ext uri="{63B3BB69-23CF-44E3-9099-C40C66FF867C}">
                  <a14:compatExt spid="_x0000_s29699"/>
                </a:ext>
                <a:ext uri="{FF2B5EF4-FFF2-40B4-BE49-F238E27FC236}">
                  <a16:creationId xmlns:a16="http://schemas.microsoft.com/office/drawing/2014/main" id="{00000000-0008-0000-0F00-00000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201706</xdr:colOff>
      <xdr:row>10</xdr:row>
      <xdr:rowOff>0</xdr:rowOff>
    </xdr:from>
    <xdr:to>
      <xdr:col>3</xdr:col>
      <xdr:colOff>930088</xdr:colOff>
      <xdr:row>13</xdr:row>
      <xdr:rowOff>10286</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B00-000002000000}"/>
            </a:ext>
          </a:extLst>
        </xdr:cNvPr>
        <xdr:cNvSpPr/>
      </xdr:nvSpPr>
      <xdr:spPr bwMode="auto">
        <a:xfrm>
          <a:off x="3840256" y="1933575"/>
          <a:ext cx="728382" cy="68656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3</xdr:row>
      <xdr:rowOff>577850</xdr:rowOff>
    </xdr:from>
    <xdr:ext cx="3365500" cy="833438"/>
    <xdr:sp macro="" textlink="">
      <xdr:nvSpPr>
        <xdr:cNvPr id="3" name="TextBox 1" hidden="1">
          <a:extLst>
            <a:ext uri="{FF2B5EF4-FFF2-40B4-BE49-F238E27FC236}">
              <a16:creationId xmlns:a16="http://schemas.microsoft.com/office/drawing/2014/main" id="{00000000-0008-0000-0B00-000003000000}"/>
            </a:ext>
          </a:extLst>
        </xdr:cNvPr>
        <xdr:cNvSpPr txBox="1"/>
      </xdr:nvSpPr>
      <xdr:spPr>
        <a:xfrm>
          <a:off x="63500" y="825500"/>
          <a:ext cx="3365500" cy="833438"/>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200025</xdr:colOff>
          <xdr:row>3</xdr:row>
          <xdr:rowOff>95250</xdr:rowOff>
        </xdr:to>
        <xdr:sp macro="" textlink="">
          <xdr:nvSpPr>
            <xdr:cNvPr id="32769" name="Hide"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123825</xdr:colOff>
          <xdr:row>3</xdr:row>
          <xdr:rowOff>447675</xdr:rowOff>
        </xdr:to>
        <xdr:sp macro="" textlink="">
          <xdr:nvSpPr>
            <xdr:cNvPr id="32770" name="Specs" hidden="1">
              <a:extLst>
                <a:ext uri="{63B3BB69-23CF-44E3-9099-C40C66FF867C}">
                  <a14:compatExt spid="_x0000_s32770"/>
                </a:ext>
                <a:ext uri="{FF2B5EF4-FFF2-40B4-BE49-F238E27FC236}">
                  <a16:creationId xmlns:a16="http://schemas.microsoft.com/office/drawing/2014/main" id="{00000000-0008-0000-10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123825</xdr:colOff>
          <xdr:row>3</xdr:row>
          <xdr:rowOff>447675</xdr:rowOff>
        </xdr:to>
        <xdr:sp macro="" textlink="">
          <xdr:nvSpPr>
            <xdr:cNvPr id="32771" name="Technical" hidden="1">
              <a:extLst>
                <a:ext uri="{63B3BB69-23CF-44E3-9099-C40C66FF867C}">
                  <a14:compatExt spid="_x0000_s32771"/>
                </a:ext>
                <a:ext uri="{FF2B5EF4-FFF2-40B4-BE49-F238E27FC236}">
                  <a16:creationId xmlns:a16="http://schemas.microsoft.com/office/drawing/2014/main" id="{00000000-0008-0000-1000-00000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3</xdr:col>
      <xdr:colOff>201706</xdr:colOff>
      <xdr:row>11</xdr:row>
      <xdr:rowOff>0</xdr:rowOff>
    </xdr:from>
    <xdr:to>
      <xdr:col>3</xdr:col>
      <xdr:colOff>930088</xdr:colOff>
      <xdr:row>14</xdr:row>
      <xdr:rowOff>86485</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C00-000002000000}"/>
            </a:ext>
          </a:extLst>
        </xdr:cNvPr>
        <xdr:cNvSpPr/>
      </xdr:nvSpPr>
      <xdr:spPr bwMode="auto">
        <a:xfrm>
          <a:off x="496981" y="2133600"/>
          <a:ext cx="728382" cy="688942"/>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6</xdr:row>
      <xdr:rowOff>92075</xdr:rowOff>
    </xdr:from>
    <xdr:ext cx="3365500" cy="547685"/>
    <xdr:sp macro="" textlink="">
      <xdr:nvSpPr>
        <xdr:cNvPr id="3" name="TextBox 1" hidden="1">
          <a:extLst>
            <a:ext uri="{FF2B5EF4-FFF2-40B4-BE49-F238E27FC236}">
              <a16:creationId xmlns:a16="http://schemas.microsoft.com/office/drawing/2014/main" id="{00000000-0008-0000-0C00-000003000000}"/>
            </a:ext>
          </a:extLst>
        </xdr:cNvPr>
        <xdr:cNvSpPr txBox="1"/>
      </xdr:nvSpPr>
      <xdr:spPr>
        <a:xfrm>
          <a:off x="63500" y="1397000"/>
          <a:ext cx="3365500" cy="547685"/>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104775</xdr:colOff>
          <xdr:row>3</xdr:row>
          <xdr:rowOff>57150</xdr:rowOff>
        </xdr:to>
        <xdr:sp macro="" textlink="">
          <xdr:nvSpPr>
            <xdr:cNvPr id="10241" name="Hide" hidden="1">
              <a:extLst>
                <a:ext uri="{63B3BB69-23CF-44E3-9099-C40C66FF867C}">
                  <a14:compatExt spid="_x0000_s10241"/>
                </a:ext>
                <a:ext uri="{FF2B5EF4-FFF2-40B4-BE49-F238E27FC236}">
                  <a16:creationId xmlns:a16="http://schemas.microsoft.com/office/drawing/2014/main" id="{00000000-0008-0000-1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76200</xdr:colOff>
          <xdr:row>3</xdr:row>
          <xdr:rowOff>447675</xdr:rowOff>
        </xdr:to>
        <xdr:sp macro="" textlink="">
          <xdr:nvSpPr>
            <xdr:cNvPr id="10242" name="Specs" hidden="1">
              <a:extLst>
                <a:ext uri="{63B3BB69-23CF-44E3-9099-C40C66FF867C}">
                  <a14:compatExt spid="_x0000_s10242"/>
                </a:ext>
                <a:ext uri="{FF2B5EF4-FFF2-40B4-BE49-F238E27FC236}">
                  <a16:creationId xmlns:a16="http://schemas.microsoft.com/office/drawing/2014/main" id="{00000000-0008-0000-1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76200</xdr:colOff>
          <xdr:row>3</xdr:row>
          <xdr:rowOff>447675</xdr:rowOff>
        </xdr:to>
        <xdr:sp macro="" textlink="">
          <xdr:nvSpPr>
            <xdr:cNvPr id="10243" name="Technical" hidden="1">
              <a:extLst>
                <a:ext uri="{63B3BB69-23CF-44E3-9099-C40C66FF867C}">
                  <a14:compatExt spid="_x0000_s10243"/>
                </a:ext>
                <a:ext uri="{FF2B5EF4-FFF2-40B4-BE49-F238E27FC236}">
                  <a16:creationId xmlns:a16="http://schemas.microsoft.com/office/drawing/2014/main" id="{00000000-0008-0000-11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3</xdr:col>
          <xdr:colOff>76200</xdr:colOff>
          <xdr:row>5</xdr:row>
          <xdr:rowOff>104775</xdr:rowOff>
        </xdr:to>
        <xdr:sp macro="" textlink="">
          <xdr:nvSpPr>
            <xdr:cNvPr id="10244" name="Flow_Calculate" hidden="1">
              <a:extLst>
                <a:ext uri="{63B3BB69-23CF-44E3-9099-C40C66FF867C}">
                  <a14:compatExt spid="_x0000_s10244"/>
                </a:ext>
                <a:ext uri="{FF2B5EF4-FFF2-40B4-BE49-F238E27FC236}">
                  <a16:creationId xmlns:a16="http://schemas.microsoft.com/office/drawing/2014/main" id="{00000000-0008-0000-11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3</xdr:col>
          <xdr:colOff>76200</xdr:colOff>
          <xdr:row>5</xdr:row>
          <xdr:rowOff>104775</xdr:rowOff>
        </xdr:to>
        <xdr:sp macro="" textlink="">
          <xdr:nvSpPr>
            <xdr:cNvPr id="10245" name="FPM" hidden="1">
              <a:extLst>
                <a:ext uri="{63B3BB69-23CF-44E3-9099-C40C66FF867C}">
                  <a14:compatExt spid="_x0000_s10245"/>
                </a:ext>
                <a:ext uri="{FF2B5EF4-FFF2-40B4-BE49-F238E27FC236}">
                  <a16:creationId xmlns:a16="http://schemas.microsoft.com/office/drawing/2014/main" id="{00000000-0008-0000-11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201706</xdr:colOff>
      <xdr:row>11</xdr:row>
      <xdr:rowOff>0</xdr:rowOff>
    </xdr:from>
    <xdr:to>
      <xdr:col>4</xdr:col>
      <xdr:colOff>168085</xdr:colOff>
      <xdr:row>14</xdr:row>
      <xdr:rowOff>93628</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D00-000002000000}"/>
            </a:ext>
          </a:extLst>
        </xdr:cNvPr>
        <xdr:cNvSpPr/>
      </xdr:nvSpPr>
      <xdr:spPr bwMode="auto">
        <a:xfrm>
          <a:off x="496981" y="2133600"/>
          <a:ext cx="728382" cy="688942"/>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3</xdr:row>
      <xdr:rowOff>577850</xdr:rowOff>
    </xdr:from>
    <xdr:ext cx="3365500" cy="619126"/>
    <xdr:sp macro="" textlink="">
      <xdr:nvSpPr>
        <xdr:cNvPr id="3" name="TextBox 1" hidden="1">
          <a:extLst>
            <a:ext uri="{FF2B5EF4-FFF2-40B4-BE49-F238E27FC236}">
              <a16:creationId xmlns:a16="http://schemas.microsoft.com/office/drawing/2014/main" id="{00000000-0008-0000-0D00-000003000000}"/>
            </a:ext>
          </a:extLst>
        </xdr:cNvPr>
        <xdr:cNvSpPr txBox="1"/>
      </xdr:nvSpPr>
      <xdr:spPr>
        <a:xfrm>
          <a:off x="63500" y="825500"/>
          <a:ext cx="3365500" cy="619126"/>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209550</xdr:colOff>
          <xdr:row>3</xdr:row>
          <xdr:rowOff>57150</xdr:rowOff>
        </xdr:to>
        <xdr:sp macro="" textlink="">
          <xdr:nvSpPr>
            <xdr:cNvPr id="11265" name="Hide"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466725</xdr:colOff>
          <xdr:row>3</xdr:row>
          <xdr:rowOff>447675</xdr:rowOff>
        </xdr:to>
        <xdr:sp macro="" textlink="">
          <xdr:nvSpPr>
            <xdr:cNvPr id="11266" name="Specs" hidden="1">
              <a:extLst>
                <a:ext uri="{63B3BB69-23CF-44E3-9099-C40C66FF867C}">
                  <a14:compatExt spid="_x0000_s11266"/>
                </a:ext>
                <a:ext uri="{FF2B5EF4-FFF2-40B4-BE49-F238E27FC236}">
                  <a16:creationId xmlns:a16="http://schemas.microsoft.com/office/drawing/2014/main" id="{00000000-0008-0000-12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466725</xdr:colOff>
          <xdr:row>3</xdr:row>
          <xdr:rowOff>447675</xdr:rowOff>
        </xdr:to>
        <xdr:sp macro="" textlink="">
          <xdr:nvSpPr>
            <xdr:cNvPr id="11267" name="Technical" hidden="1">
              <a:extLst>
                <a:ext uri="{63B3BB69-23CF-44E3-9099-C40C66FF867C}">
                  <a14:compatExt spid="_x0000_s11267"/>
                </a:ext>
                <a:ext uri="{FF2B5EF4-FFF2-40B4-BE49-F238E27FC236}">
                  <a16:creationId xmlns:a16="http://schemas.microsoft.com/office/drawing/2014/main" id="{00000000-0008-0000-12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201706</xdr:colOff>
      <xdr:row>12</xdr:row>
      <xdr:rowOff>0</xdr:rowOff>
    </xdr:from>
    <xdr:to>
      <xdr:col>3</xdr:col>
      <xdr:colOff>930088</xdr:colOff>
      <xdr:row>14</xdr:row>
      <xdr:rowOff>31718</xdr:rowOff>
    </xdr:to>
    <xdr:sp macro="" textlink="">
      <xdr:nvSpPr>
        <xdr:cNvPr id="5133"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E00-00000D1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3</xdr:row>
      <xdr:rowOff>577850</xdr:rowOff>
    </xdr:from>
    <xdr:ext cx="3365500" cy="627531"/>
    <xdr:sp macro="" textlink="">
      <xdr:nvSpPr>
        <xdr:cNvPr id="3" name="TextBox 1" hidden="1">
          <a:extLst>
            <a:ext uri="{FF2B5EF4-FFF2-40B4-BE49-F238E27FC236}">
              <a16:creationId xmlns:a16="http://schemas.microsoft.com/office/drawing/2014/main" id="{00000000-0008-0000-0E00-000003000000}"/>
            </a:ext>
          </a:extLst>
        </xdr:cNvPr>
        <xdr:cNvSpPr txBox="1"/>
      </xdr:nvSpPr>
      <xdr:spPr>
        <a:xfrm>
          <a:off x="63500" y="825500"/>
          <a:ext cx="3365500" cy="627531"/>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2</xdr:col>
          <xdr:colOff>228600</xdr:colOff>
          <xdr:row>3</xdr:row>
          <xdr:rowOff>76200</xdr:rowOff>
        </xdr:to>
        <xdr:sp macro="" textlink="">
          <xdr:nvSpPr>
            <xdr:cNvPr id="12289" name="Hide" hidden="1">
              <a:extLst>
                <a:ext uri="{63B3BB69-23CF-44E3-9099-C40C66FF867C}">
                  <a14:compatExt spid="_x0000_s12289"/>
                </a:ext>
                <a:ext uri="{FF2B5EF4-FFF2-40B4-BE49-F238E27FC236}">
                  <a16:creationId xmlns:a16="http://schemas.microsoft.com/office/drawing/2014/main" id="{00000000-0008-0000-13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2</xdr:col>
          <xdr:colOff>1247775</xdr:colOff>
          <xdr:row>3</xdr:row>
          <xdr:rowOff>447675</xdr:rowOff>
        </xdr:to>
        <xdr:sp macro="" textlink="">
          <xdr:nvSpPr>
            <xdr:cNvPr id="12290" name="Specs" hidden="1">
              <a:extLst>
                <a:ext uri="{63B3BB69-23CF-44E3-9099-C40C66FF867C}">
                  <a14:compatExt spid="_x0000_s12290"/>
                </a:ext>
                <a:ext uri="{FF2B5EF4-FFF2-40B4-BE49-F238E27FC236}">
                  <a16:creationId xmlns:a16="http://schemas.microsoft.com/office/drawing/2014/main" id="{00000000-0008-0000-13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2</xdr:col>
          <xdr:colOff>1247775</xdr:colOff>
          <xdr:row>3</xdr:row>
          <xdr:rowOff>447675</xdr:rowOff>
        </xdr:to>
        <xdr:sp macro="" textlink="">
          <xdr:nvSpPr>
            <xdr:cNvPr id="12291" name="Technical"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201706</xdr:colOff>
      <xdr:row>11</xdr:row>
      <xdr:rowOff>0</xdr:rowOff>
    </xdr:from>
    <xdr:to>
      <xdr:col>2</xdr:col>
      <xdr:colOff>930088</xdr:colOff>
      <xdr:row>13</xdr:row>
      <xdr:rowOff>31718</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0F00-000002000000}"/>
            </a:ext>
          </a:extLst>
        </xdr:cNvPr>
        <xdr:cNvSpPr/>
      </xdr:nvSpPr>
      <xdr:spPr bwMode="auto">
        <a:xfrm>
          <a:off x="516031" y="2143125"/>
          <a:ext cx="728382" cy="51749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3</xdr:row>
      <xdr:rowOff>577850</xdr:rowOff>
    </xdr:from>
    <xdr:ext cx="3365500" cy="526678"/>
    <xdr:sp macro="" textlink="">
      <xdr:nvSpPr>
        <xdr:cNvPr id="3" name="TextBox 1" hidden="1">
          <a:extLst>
            <a:ext uri="{FF2B5EF4-FFF2-40B4-BE49-F238E27FC236}">
              <a16:creationId xmlns:a16="http://schemas.microsoft.com/office/drawing/2014/main" id="{00000000-0008-0000-0F00-000003000000}"/>
            </a:ext>
          </a:extLst>
        </xdr:cNvPr>
        <xdr:cNvSpPr txBox="1"/>
      </xdr:nvSpPr>
      <xdr:spPr>
        <a:xfrm>
          <a:off x="63500" y="825500"/>
          <a:ext cx="3365500" cy="526678"/>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2</xdr:col>
          <xdr:colOff>228600</xdr:colOff>
          <xdr:row>3</xdr:row>
          <xdr:rowOff>76200</xdr:rowOff>
        </xdr:to>
        <xdr:sp macro="" textlink="">
          <xdr:nvSpPr>
            <xdr:cNvPr id="33793" name="Hide" hidden="1">
              <a:extLst>
                <a:ext uri="{63B3BB69-23CF-44E3-9099-C40C66FF867C}">
                  <a14:compatExt spid="_x0000_s33793"/>
                </a:ext>
                <a:ext uri="{FF2B5EF4-FFF2-40B4-BE49-F238E27FC236}">
                  <a16:creationId xmlns:a16="http://schemas.microsoft.com/office/drawing/2014/main" id="{00000000-0008-0000-14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47625</xdr:colOff>
          <xdr:row>3</xdr:row>
          <xdr:rowOff>447675</xdr:rowOff>
        </xdr:to>
        <xdr:sp macro="" textlink="">
          <xdr:nvSpPr>
            <xdr:cNvPr id="33794" name="Specs" hidden="1">
              <a:extLst>
                <a:ext uri="{63B3BB69-23CF-44E3-9099-C40C66FF867C}">
                  <a14:compatExt spid="_x0000_s33794"/>
                </a:ext>
                <a:ext uri="{FF2B5EF4-FFF2-40B4-BE49-F238E27FC236}">
                  <a16:creationId xmlns:a16="http://schemas.microsoft.com/office/drawing/2014/main" id="{00000000-0008-0000-14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47625</xdr:colOff>
          <xdr:row>3</xdr:row>
          <xdr:rowOff>447675</xdr:rowOff>
        </xdr:to>
        <xdr:sp macro="" textlink="">
          <xdr:nvSpPr>
            <xdr:cNvPr id="33795" name="Technical" hidden="1">
              <a:extLst>
                <a:ext uri="{63B3BB69-23CF-44E3-9099-C40C66FF867C}">
                  <a14:compatExt spid="_x0000_s33795"/>
                </a:ext>
                <a:ext uri="{FF2B5EF4-FFF2-40B4-BE49-F238E27FC236}">
                  <a16:creationId xmlns:a16="http://schemas.microsoft.com/office/drawing/2014/main" id="{00000000-0008-0000-14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3</xdr:col>
      <xdr:colOff>201706</xdr:colOff>
      <xdr:row>15</xdr:row>
      <xdr:rowOff>0</xdr:rowOff>
    </xdr:from>
    <xdr:to>
      <xdr:col>3</xdr:col>
      <xdr:colOff>930088</xdr:colOff>
      <xdr:row>17</xdr:row>
      <xdr:rowOff>115061</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000-000002000000}"/>
            </a:ext>
          </a:extLst>
        </xdr:cNvPr>
        <xdr:cNvSpPr/>
      </xdr:nvSpPr>
      <xdr:spPr bwMode="auto">
        <a:xfrm>
          <a:off x="1678081" y="2133600"/>
          <a:ext cx="728382" cy="51749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18</xdr:col>
      <xdr:colOff>201706</xdr:colOff>
      <xdr:row>15</xdr:row>
      <xdr:rowOff>0</xdr:rowOff>
    </xdr:from>
    <xdr:ext cx="728382" cy="591311"/>
    <xdr:sp macro="" textlink="">
      <xdr:nvSpPr>
        <xdr:cNvPr id="4"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000-000004000000}"/>
            </a:ext>
          </a:extLst>
        </xdr:cNvPr>
        <xdr:cNvSpPr/>
      </xdr:nvSpPr>
      <xdr:spPr bwMode="auto">
        <a:xfrm>
          <a:off x="499362" y="2607469"/>
          <a:ext cx="728382" cy="59131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oneCellAnchor>
  <xdr:oneCellAnchor>
    <xdr:from>
      <xdr:col>0</xdr:col>
      <xdr:colOff>63500</xdr:colOff>
      <xdr:row>4</xdr:row>
      <xdr:rowOff>330200</xdr:rowOff>
    </xdr:from>
    <xdr:ext cx="3365500" cy="280205"/>
    <xdr:sp macro="" textlink="">
      <xdr:nvSpPr>
        <xdr:cNvPr id="5" name="TextBox 1" hidden="1">
          <a:extLst>
            <a:ext uri="{FF2B5EF4-FFF2-40B4-BE49-F238E27FC236}">
              <a16:creationId xmlns:a16="http://schemas.microsoft.com/office/drawing/2014/main" id="{00000000-0008-0000-1000-000005000000}"/>
            </a:ext>
          </a:extLst>
        </xdr:cNvPr>
        <xdr:cNvSpPr txBox="1"/>
      </xdr:nvSpPr>
      <xdr:spPr>
        <a:xfrm>
          <a:off x="63500" y="825500"/>
          <a:ext cx="3365500" cy="280205"/>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200025</xdr:colOff>
          <xdr:row>3</xdr:row>
          <xdr:rowOff>57150</xdr:rowOff>
        </xdr:to>
        <xdr:sp macro="" textlink="">
          <xdr:nvSpPr>
            <xdr:cNvPr id="13313" name="Hide"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190500</xdr:colOff>
          <xdr:row>4</xdr:row>
          <xdr:rowOff>200025</xdr:rowOff>
        </xdr:to>
        <xdr:sp macro="" textlink="">
          <xdr:nvSpPr>
            <xdr:cNvPr id="13314" name="Specs" hidden="1">
              <a:extLst>
                <a:ext uri="{63B3BB69-23CF-44E3-9099-C40C66FF867C}">
                  <a14:compatExt spid="_x0000_s13314"/>
                </a:ext>
                <a:ext uri="{FF2B5EF4-FFF2-40B4-BE49-F238E27FC236}">
                  <a16:creationId xmlns:a16="http://schemas.microsoft.com/office/drawing/2014/main" id="{00000000-0008-0000-15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190500</xdr:colOff>
          <xdr:row>4</xdr:row>
          <xdr:rowOff>200025</xdr:rowOff>
        </xdr:to>
        <xdr:sp macro="" textlink="">
          <xdr:nvSpPr>
            <xdr:cNvPr id="13315" name="Technical" hidden="1">
              <a:extLst>
                <a:ext uri="{63B3BB69-23CF-44E3-9099-C40C66FF867C}">
                  <a14:compatExt spid="_x0000_s13315"/>
                </a:ext>
                <a:ext uri="{FF2B5EF4-FFF2-40B4-BE49-F238E27FC236}">
                  <a16:creationId xmlns:a16="http://schemas.microsoft.com/office/drawing/2014/main" id="{00000000-0008-0000-15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3</xdr:col>
      <xdr:colOff>201706</xdr:colOff>
      <xdr:row>15</xdr:row>
      <xdr:rowOff>0</xdr:rowOff>
    </xdr:from>
    <xdr:to>
      <xdr:col>3</xdr:col>
      <xdr:colOff>930088</xdr:colOff>
      <xdr:row>17</xdr:row>
      <xdr:rowOff>193644</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100-000002000000}"/>
            </a:ext>
          </a:extLst>
        </xdr:cNvPr>
        <xdr:cNvSpPr/>
      </xdr:nvSpPr>
      <xdr:spPr bwMode="auto">
        <a:xfrm>
          <a:off x="496981" y="2333625"/>
          <a:ext cx="728382" cy="59369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16</xdr:col>
      <xdr:colOff>201706</xdr:colOff>
      <xdr:row>15</xdr:row>
      <xdr:rowOff>0</xdr:rowOff>
    </xdr:from>
    <xdr:ext cx="728382" cy="598456"/>
    <xdr:sp macro="" textlink="">
      <xdr:nvSpPr>
        <xdr:cNvPr id="3"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100-000003000000}"/>
            </a:ext>
          </a:extLst>
        </xdr:cNvPr>
        <xdr:cNvSpPr/>
      </xdr:nvSpPr>
      <xdr:spPr bwMode="auto">
        <a:xfrm>
          <a:off x="499362" y="2786063"/>
          <a:ext cx="728382" cy="598456"/>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oneCellAnchor>
  <xdr:oneCellAnchor>
    <xdr:from>
      <xdr:col>0</xdr:col>
      <xdr:colOff>63500</xdr:colOff>
      <xdr:row>4</xdr:row>
      <xdr:rowOff>311150</xdr:rowOff>
    </xdr:from>
    <xdr:ext cx="3365500" cy="666751"/>
    <xdr:sp macro="" textlink="">
      <xdr:nvSpPr>
        <xdr:cNvPr id="4" name="TextBox 1" hidden="1">
          <a:extLst>
            <a:ext uri="{FF2B5EF4-FFF2-40B4-BE49-F238E27FC236}">
              <a16:creationId xmlns:a16="http://schemas.microsoft.com/office/drawing/2014/main" id="{00000000-0008-0000-1100-000004000000}"/>
            </a:ext>
          </a:extLst>
        </xdr:cNvPr>
        <xdr:cNvSpPr txBox="1"/>
      </xdr:nvSpPr>
      <xdr:spPr>
        <a:xfrm>
          <a:off x="63500" y="825500"/>
          <a:ext cx="3365500" cy="666751"/>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200025</xdr:colOff>
          <xdr:row>3</xdr:row>
          <xdr:rowOff>47625</xdr:rowOff>
        </xdr:to>
        <xdr:sp macro="" textlink="">
          <xdr:nvSpPr>
            <xdr:cNvPr id="14337" name="Hide" hidden="1">
              <a:extLst>
                <a:ext uri="{63B3BB69-23CF-44E3-9099-C40C66FF867C}">
                  <a14:compatExt spid="_x0000_s14337"/>
                </a:ext>
                <a:ext uri="{FF2B5EF4-FFF2-40B4-BE49-F238E27FC236}">
                  <a16:creationId xmlns:a16="http://schemas.microsoft.com/office/drawing/2014/main" id="{00000000-0008-0000-16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123825</xdr:rowOff>
        </xdr:from>
        <xdr:to>
          <xdr:col>2</xdr:col>
          <xdr:colOff>1238250</xdr:colOff>
          <xdr:row>4</xdr:row>
          <xdr:rowOff>180975</xdr:rowOff>
        </xdr:to>
        <xdr:sp macro="" textlink="">
          <xdr:nvSpPr>
            <xdr:cNvPr id="14338" name="Specs" hidden="1">
              <a:extLst>
                <a:ext uri="{63B3BB69-23CF-44E3-9099-C40C66FF867C}">
                  <a14:compatExt spid="_x0000_s14338"/>
                </a:ext>
                <a:ext uri="{FF2B5EF4-FFF2-40B4-BE49-F238E27FC236}">
                  <a16:creationId xmlns:a16="http://schemas.microsoft.com/office/drawing/2014/main" id="{00000000-0008-0000-16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123825</xdr:rowOff>
        </xdr:from>
        <xdr:to>
          <xdr:col>2</xdr:col>
          <xdr:colOff>1238250</xdr:colOff>
          <xdr:row>4</xdr:row>
          <xdr:rowOff>180975</xdr:rowOff>
        </xdr:to>
        <xdr:sp macro="" textlink="">
          <xdr:nvSpPr>
            <xdr:cNvPr id="14339" name="Technical" hidden="1">
              <a:extLst>
                <a:ext uri="{63B3BB69-23CF-44E3-9099-C40C66FF867C}">
                  <a14:compatExt spid="_x0000_s14339"/>
                </a:ext>
                <a:ext uri="{FF2B5EF4-FFF2-40B4-BE49-F238E27FC236}">
                  <a16:creationId xmlns:a16="http://schemas.microsoft.com/office/drawing/2014/main" id="{00000000-0008-0000-16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3</xdr:col>
      <xdr:colOff>201706</xdr:colOff>
      <xdr:row>11</xdr:row>
      <xdr:rowOff>0</xdr:rowOff>
    </xdr:from>
    <xdr:to>
      <xdr:col>3</xdr:col>
      <xdr:colOff>930088</xdr:colOff>
      <xdr:row>14</xdr:row>
      <xdr:rowOff>10287</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200-000002000000}"/>
            </a:ext>
          </a:extLst>
        </xdr:cNvPr>
        <xdr:cNvSpPr/>
      </xdr:nvSpPr>
      <xdr:spPr bwMode="auto">
        <a:xfrm>
          <a:off x="496981" y="2752725"/>
          <a:ext cx="728382" cy="593694"/>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4</xdr:row>
      <xdr:rowOff>101600</xdr:rowOff>
    </xdr:from>
    <xdr:ext cx="3365500" cy="357187"/>
    <xdr:sp macro="" textlink="">
      <xdr:nvSpPr>
        <xdr:cNvPr id="4" name="TextBox 1" hidden="1">
          <a:extLst>
            <a:ext uri="{FF2B5EF4-FFF2-40B4-BE49-F238E27FC236}">
              <a16:creationId xmlns:a16="http://schemas.microsoft.com/office/drawing/2014/main" id="{00000000-0008-0000-1200-000004000000}"/>
            </a:ext>
          </a:extLst>
        </xdr:cNvPr>
        <xdr:cNvSpPr txBox="1"/>
      </xdr:nvSpPr>
      <xdr:spPr>
        <a:xfrm>
          <a:off x="63500" y="825500"/>
          <a:ext cx="3365500" cy="357187"/>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209550</xdr:colOff>
          <xdr:row>3</xdr:row>
          <xdr:rowOff>66675</xdr:rowOff>
        </xdr:to>
        <xdr:sp macro="" textlink="">
          <xdr:nvSpPr>
            <xdr:cNvPr id="15362" name="Hide" hidden="1">
              <a:extLst>
                <a:ext uri="{63B3BB69-23CF-44E3-9099-C40C66FF867C}">
                  <a14:compatExt spid="_x0000_s15362"/>
                </a:ext>
                <a:ext uri="{FF2B5EF4-FFF2-40B4-BE49-F238E27FC236}">
                  <a16:creationId xmlns:a16="http://schemas.microsoft.com/office/drawing/2014/main" id="{00000000-0008-0000-1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247650</xdr:colOff>
          <xdr:row>3</xdr:row>
          <xdr:rowOff>447675</xdr:rowOff>
        </xdr:to>
        <xdr:sp macro="" textlink="">
          <xdr:nvSpPr>
            <xdr:cNvPr id="15363" name="Specs" hidden="1">
              <a:extLst>
                <a:ext uri="{63B3BB69-23CF-44E3-9099-C40C66FF867C}">
                  <a14:compatExt spid="_x0000_s15363"/>
                </a:ext>
                <a:ext uri="{FF2B5EF4-FFF2-40B4-BE49-F238E27FC236}">
                  <a16:creationId xmlns:a16="http://schemas.microsoft.com/office/drawing/2014/main" id="{00000000-0008-0000-17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247650</xdr:colOff>
          <xdr:row>3</xdr:row>
          <xdr:rowOff>447675</xdr:rowOff>
        </xdr:to>
        <xdr:sp macro="" textlink="">
          <xdr:nvSpPr>
            <xdr:cNvPr id="15364" name="Technical" hidden="1">
              <a:extLst>
                <a:ext uri="{63B3BB69-23CF-44E3-9099-C40C66FF867C}">
                  <a14:compatExt spid="_x0000_s15364"/>
                </a:ext>
                <a:ext uri="{FF2B5EF4-FFF2-40B4-BE49-F238E27FC236}">
                  <a16:creationId xmlns:a16="http://schemas.microsoft.com/office/drawing/2014/main" id="{00000000-0008-0000-17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3</xdr:col>
      <xdr:colOff>201706</xdr:colOff>
      <xdr:row>12</xdr:row>
      <xdr:rowOff>0</xdr:rowOff>
    </xdr:from>
    <xdr:to>
      <xdr:col>3</xdr:col>
      <xdr:colOff>930088</xdr:colOff>
      <xdr:row>15</xdr:row>
      <xdr:rowOff>10288</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300-000002000000}"/>
            </a:ext>
          </a:extLst>
        </xdr:cNvPr>
        <xdr:cNvSpPr/>
      </xdr:nvSpPr>
      <xdr:spPr bwMode="auto">
        <a:xfrm>
          <a:off x="1478056" y="2381250"/>
          <a:ext cx="728382" cy="68656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4</xdr:row>
      <xdr:rowOff>101600</xdr:rowOff>
    </xdr:from>
    <xdr:ext cx="3365500" cy="440530"/>
    <xdr:sp macro="" textlink="">
      <xdr:nvSpPr>
        <xdr:cNvPr id="3" name="TextBox 1">
          <a:extLst>
            <a:ext uri="{FF2B5EF4-FFF2-40B4-BE49-F238E27FC236}">
              <a16:creationId xmlns:a16="http://schemas.microsoft.com/office/drawing/2014/main" id="{00000000-0008-0000-1300-000003000000}"/>
            </a:ext>
          </a:extLst>
        </xdr:cNvPr>
        <xdr:cNvSpPr txBox="1"/>
      </xdr:nvSpPr>
      <xdr:spPr>
        <a:xfrm>
          <a:off x="63500" y="825500"/>
          <a:ext cx="3365500" cy="440530"/>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485775</xdr:colOff>
          <xdr:row>3</xdr:row>
          <xdr:rowOff>66675</xdr:rowOff>
        </xdr:to>
        <xdr:sp macro="" textlink="">
          <xdr:nvSpPr>
            <xdr:cNvPr id="131073" name="Hide" hidden="1">
              <a:extLst>
                <a:ext uri="{63B3BB69-23CF-44E3-9099-C40C66FF867C}">
                  <a14:compatExt spid="_x0000_s131073"/>
                </a:ext>
                <a:ext uri="{FF2B5EF4-FFF2-40B4-BE49-F238E27FC236}">
                  <a16:creationId xmlns:a16="http://schemas.microsoft.com/office/drawing/2014/main" id="{00000000-0008-0000-1800-0000010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xdr:row>
          <xdr:rowOff>133350</xdr:rowOff>
        </xdr:from>
        <xdr:to>
          <xdr:col>0</xdr:col>
          <xdr:colOff>1647825</xdr:colOff>
          <xdr:row>3</xdr:row>
          <xdr:rowOff>447675</xdr:rowOff>
        </xdr:to>
        <xdr:sp macro="" textlink="">
          <xdr:nvSpPr>
            <xdr:cNvPr id="131074" name="Specs" hidden="1">
              <a:extLst>
                <a:ext uri="{63B3BB69-23CF-44E3-9099-C40C66FF867C}">
                  <a14:compatExt spid="_x0000_s131074"/>
                </a:ext>
                <a:ext uri="{FF2B5EF4-FFF2-40B4-BE49-F238E27FC236}">
                  <a16:creationId xmlns:a16="http://schemas.microsoft.com/office/drawing/2014/main" id="{00000000-0008-0000-1800-0000020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1838325</xdr:colOff>
          <xdr:row>3</xdr:row>
          <xdr:rowOff>133350</xdr:rowOff>
        </xdr:from>
        <xdr:to>
          <xdr:col>0</xdr:col>
          <xdr:colOff>3362325</xdr:colOff>
          <xdr:row>3</xdr:row>
          <xdr:rowOff>447675</xdr:rowOff>
        </xdr:to>
        <xdr:sp macro="" textlink="">
          <xdr:nvSpPr>
            <xdr:cNvPr id="131075" name="Technical" hidden="1">
              <a:extLst>
                <a:ext uri="{63B3BB69-23CF-44E3-9099-C40C66FF867C}">
                  <a14:compatExt spid="_x0000_s131075"/>
                </a:ext>
                <a:ext uri="{FF2B5EF4-FFF2-40B4-BE49-F238E27FC236}">
                  <a16:creationId xmlns:a16="http://schemas.microsoft.com/office/drawing/2014/main" id="{00000000-0008-0000-1800-0000030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3</xdr:col>
      <xdr:colOff>201706</xdr:colOff>
      <xdr:row>12</xdr:row>
      <xdr:rowOff>0</xdr:rowOff>
    </xdr:from>
    <xdr:to>
      <xdr:col>3</xdr:col>
      <xdr:colOff>930088</xdr:colOff>
      <xdr:row>15</xdr:row>
      <xdr:rowOff>10288</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400-000002000000}"/>
            </a:ext>
          </a:extLst>
        </xdr:cNvPr>
        <xdr:cNvSpPr/>
      </xdr:nvSpPr>
      <xdr:spPr bwMode="auto">
        <a:xfrm>
          <a:off x="516031" y="2171700"/>
          <a:ext cx="728382" cy="686562"/>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4</xdr:row>
      <xdr:rowOff>101600</xdr:rowOff>
    </xdr:from>
    <xdr:ext cx="3365500" cy="440530"/>
    <xdr:sp macro="" textlink="">
      <xdr:nvSpPr>
        <xdr:cNvPr id="3" name="TextBox 1" hidden="1">
          <a:extLst>
            <a:ext uri="{FF2B5EF4-FFF2-40B4-BE49-F238E27FC236}">
              <a16:creationId xmlns:a16="http://schemas.microsoft.com/office/drawing/2014/main" id="{00000000-0008-0000-1400-000003000000}"/>
            </a:ext>
          </a:extLst>
        </xdr:cNvPr>
        <xdr:cNvSpPr txBox="1"/>
      </xdr:nvSpPr>
      <xdr:spPr>
        <a:xfrm>
          <a:off x="63500" y="825500"/>
          <a:ext cx="3365500" cy="440530"/>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209550</xdr:colOff>
          <xdr:row>3</xdr:row>
          <xdr:rowOff>66675</xdr:rowOff>
        </xdr:to>
        <xdr:sp macro="" textlink="">
          <xdr:nvSpPr>
            <xdr:cNvPr id="30721" name="Hide" hidden="1">
              <a:extLst>
                <a:ext uri="{63B3BB69-23CF-44E3-9099-C40C66FF867C}">
                  <a14:compatExt spid="_x0000_s30721"/>
                </a:ext>
                <a:ext uri="{FF2B5EF4-FFF2-40B4-BE49-F238E27FC236}">
                  <a16:creationId xmlns:a16="http://schemas.microsoft.com/office/drawing/2014/main" id="{00000000-0008-0000-19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247650</xdr:colOff>
          <xdr:row>3</xdr:row>
          <xdr:rowOff>447675</xdr:rowOff>
        </xdr:to>
        <xdr:sp macro="" textlink="">
          <xdr:nvSpPr>
            <xdr:cNvPr id="30722" name="Specs" hidden="1">
              <a:extLst>
                <a:ext uri="{63B3BB69-23CF-44E3-9099-C40C66FF867C}">
                  <a14:compatExt spid="_x0000_s30722"/>
                </a:ext>
                <a:ext uri="{FF2B5EF4-FFF2-40B4-BE49-F238E27FC236}">
                  <a16:creationId xmlns:a16="http://schemas.microsoft.com/office/drawing/2014/main" id="{00000000-0008-0000-19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247650</xdr:colOff>
          <xdr:row>3</xdr:row>
          <xdr:rowOff>447675</xdr:rowOff>
        </xdr:to>
        <xdr:sp macro="" textlink="">
          <xdr:nvSpPr>
            <xdr:cNvPr id="30723" name="Technical" hidden="1">
              <a:extLst>
                <a:ext uri="{63B3BB69-23CF-44E3-9099-C40C66FF867C}">
                  <a14:compatExt spid="_x0000_s30723"/>
                </a:ext>
                <a:ext uri="{FF2B5EF4-FFF2-40B4-BE49-F238E27FC236}">
                  <a16:creationId xmlns:a16="http://schemas.microsoft.com/office/drawing/2014/main" id="{00000000-0008-0000-19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3</xdr:col>
      <xdr:colOff>201706</xdr:colOff>
      <xdr:row>11</xdr:row>
      <xdr:rowOff>0</xdr:rowOff>
    </xdr:from>
    <xdr:to>
      <xdr:col>3</xdr:col>
      <xdr:colOff>930088</xdr:colOff>
      <xdr:row>14</xdr:row>
      <xdr:rowOff>10287</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500-000002000000}"/>
            </a:ext>
          </a:extLst>
        </xdr:cNvPr>
        <xdr:cNvSpPr/>
      </xdr:nvSpPr>
      <xdr:spPr bwMode="auto">
        <a:xfrm>
          <a:off x="516031" y="2171700"/>
          <a:ext cx="728382" cy="686562"/>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4</xdr:row>
      <xdr:rowOff>101600</xdr:rowOff>
    </xdr:from>
    <xdr:ext cx="3365500" cy="571499"/>
    <xdr:sp macro="" textlink="">
      <xdr:nvSpPr>
        <xdr:cNvPr id="3" name="TextBox 1" hidden="1">
          <a:extLst>
            <a:ext uri="{FF2B5EF4-FFF2-40B4-BE49-F238E27FC236}">
              <a16:creationId xmlns:a16="http://schemas.microsoft.com/office/drawing/2014/main" id="{00000000-0008-0000-1500-000003000000}"/>
            </a:ext>
          </a:extLst>
        </xdr:cNvPr>
        <xdr:cNvSpPr txBox="1"/>
      </xdr:nvSpPr>
      <xdr:spPr>
        <a:xfrm>
          <a:off x="63500" y="825500"/>
          <a:ext cx="3365500" cy="571499"/>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209550</xdr:colOff>
          <xdr:row>3</xdr:row>
          <xdr:rowOff>66675</xdr:rowOff>
        </xdr:to>
        <xdr:sp macro="" textlink="">
          <xdr:nvSpPr>
            <xdr:cNvPr id="31745" name="Hide" hidden="1">
              <a:extLst>
                <a:ext uri="{63B3BB69-23CF-44E3-9099-C40C66FF867C}">
                  <a14:compatExt spid="_x0000_s31745"/>
                </a:ext>
                <a:ext uri="{FF2B5EF4-FFF2-40B4-BE49-F238E27FC236}">
                  <a16:creationId xmlns:a16="http://schemas.microsoft.com/office/drawing/2014/main" id="{00000000-0008-0000-1A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247650</xdr:colOff>
          <xdr:row>3</xdr:row>
          <xdr:rowOff>447675</xdr:rowOff>
        </xdr:to>
        <xdr:sp macro="" textlink="">
          <xdr:nvSpPr>
            <xdr:cNvPr id="31746" name="Specs" hidden="1">
              <a:extLst>
                <a:ext uri="{63B3BB69-23CF-44E3-9099-C40C66FF867C}">
                  <a14:compatExt spid="_x0000_s31746"/>
                </a:ext>
                <a:ext uri="{FF2B5EF4-FFF2-40B4-BE49-F238E27FC236}">
                  <a16:creationId xmlns:a16="http://schemas.microsoft.com/office/drawing/2014/main" id="{00000000-0008-0000-1A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247650</xdr:colOff>
          <xdr:row>3</xdr:row>
          <xdr:rowOff>447675</xdr:rowOff>
        </xdr:to>
        <xdr:sp macro="" textlink="">
          <xdr:nvSpPr>
            <xdr:cNvPr id="31747" name="Technical" hidden="1">
              <a:extLst>
                <a:ext uri="{63B3BB69-23CF-44E3-9099-C40C66FF867C}">
                  <a14:compatExt spid="_x0000_s31747"/>
                </a:ext>
                <a:ext uri="{FF2B5EF4-FFF2-40B4-BE49-F238E27FC236}">
                  <a16:creationId xmlns:a16="http://schemas.microsoft.com/office/drawing/2014/main" id="{00000000-0008-0000-1A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3</xdr:col>
      <xdr:colOff>201706</xdr:colOff>
      <xdr:row>11</xdr:row>
      <xdr:rowOff>0</xdr:rowOff>
    </xdr:from>
    <xdr:to>
      <xdr:col>3</xdr:col>
      <xdr:colOff>1044388</xdr:colOff>
      <xdr:row>14</xdr:row>
      <xdr:rowOff>103154</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600-000002000000}"/>
            </a:ext>
          </a:extLst>
        </xdr:cNvPr>
        <xdr:cNvSpPr/>
      </xdr:nvSpPr>
      <xdr:spPr bwMode="auto">
        <a:xfrm>
          <a:off x="496981" y="2114550"/>
          <a:ext cx="728382" cy="784192"/>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3</xdr:row>
      <xdr:rowOff>577850</xdr:rowOff>
    </xdr:from>
    <xdr:ext cx="3365500" cy="488156"/>
    <xdr:sp macro="" textlink="">
      <xdr:nvSpPr>
        <xdr:cNvPr id="3" name="TextBox 1" hidden="1">
          <a:extLst>
            <a:ext uri="{FF2B5EF4-FFF2-40B4-BE49-F238E27FC236}">
              <a16:creationId xmlns:a16="http://schemas.microsoft.com/office/drawing/2014/main" id="{00000000-0008-0000-1600-000003000000}"/>
            </a:ext>
          </a:extLst>
        </xdr:cNvPr>
        <xdr:cNvSpPr txBox="1"/>
      </xdr:nvSpPr>
      <xdr:spPr>
        <a:xfrm>
          <a:off x="63500" y="825500"/>
          <a:ext cx="3365500" cy="488156"/>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228600</xdr:colOff>
          <xdr:row>3</xdr:row>
          <xdr:rowOff>57150</xdr:rowOff>
        </xdr:to>
        <xdr:sp macro="" textlink="">
          <xdr:nvSpPr>
            <xdr:cNvPr id="16385" name="Hide" hidden="1">
              <a:extLst>
                <a:ext uri="{63B3BB69-23CF-44E3-9099-C40C66FF867C}">
                  <a14:compatExt spid="_x0000_s16385"/>
                </a:ext>
                <a:ext uri="{FF2B5EF4-FFF2-40B4-BE49-F238E27FC236}">
                  <a16:creationId xmlns:a16="http://schemas.microsoft.com/office/drawing/2014/main" id="{00000000-0008-0000-1B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457200</xdr:colOff>
          <xdr:row>3</xdr:row>
          <xdr:rowOff>447675</xdr:rowOff>
        </xdr:to>
        <xdr:sp macro="" textlink="">
          <xdr:nvSpPr>
            <xdr:cNvPr id="16386" name="Specs" hidden="1">
              <a:extLst>
                <a:ext uri="{63B3BB69-23CF-44E3-9099-C40C66FF867C}">
                  <a14:compatExt spid="_x0000_s16386"/>
                </a:ext>
                <a:ext uri="{FF2B5EF4-FFF2-40B4-BE49-F238E27FC236}">
                  <a16:creationId xmlns:a16="http://schemas.microsoft.com/office/drawing/2014/main" id="{00000000-0008-0000-1B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457200</xdr:colOff>
          <xdr:row>3</xdr:row>
          <xdr:rowOff>447675</xdr:rowOff>
        </xdr:to>
        <xdr:sp macro="" textlink="">
          <xdr:nvSpPr>
            <xdr:cNvPr id="16387" name="Technical" hidden="1">
              <a:extLst>
                <a:ext uri="{63B3BB69-23CF-44E3-9099-C40C66FF867C}">
                  <a14:compatExt spid="_x0000_s16387"/>
                </a:ext>
                <a:ext uri="{FF2B5EF4-FFF2-40B4-BE49-F238E27FC236}">
                  <a16:creationId xmlns:a16="http://schemas.microsoft.com/office/drawing/2014/main" id="{00000000-0008-0000-1B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3</xdr:col>
      <xdr:colOff>201706</xdr:colOff>
      <xdr:row>11</xdr:row>
      <xdr:rowOff>0</xdr:rowOff>
    </xdr:from>
    <xdr:to>
      <xdr:col>3</xdr:col>
      <xdr:colOff>1044387</xdr:colOff>
      <xdr:row>14</xdr:row>
      <xdr:rowOff>112680</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700-000002000000}"/>
            </a:ext>
          </a:extLst>
        </xdr:cNvPr>
        <xdr:cNvSpPr/>
      </xdr:nvSpPr>
      <xdr:spPr bwMode="auto">
        <a:xfrm>
          <a:off x="477931" y="2114550"/>
          <a:ext cx="728382" cy="793717"/>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3</xdr:row>
      <xdr:rowOff>577850</xdr:rowOff>
    </xdr:from>
    <xdr:ext cx="3365500" cy="476250"/>
    <xdr:sp macro="" textlink="">
      <xdr:nvSpPr>
        <xdr:cNvPr id="3" name="TextBox 1" hidden="1">
          <a:extLst>
            <a:ext uri="{FF2B5EF4-FFF2-40B4-BE49-F238E27FC236}">
              <a16:creationId xmlns:a16="http://schemas.microsoft.com/office/drawing/2014/main" id="{00000000-0008-0000-1700-000003000000}"/>
            </a:ext>
          </a:extLst>
        </xdr:cNvPr>
        <xdr:cNvSpPr txBox="1"/>
      </xdr:nvSpPr>
      <xdr:spPr>
        <a:xfrm>
          <a:off x="63500" y="825500"/>
          <a:ext cx="3365500" cy="476250"/>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219075</xdr:colOff>
          <xdr:row>3</xdr:row>
          <xdr:rowOff>57150</xdr:rowOff>
        </xdr:to>
        <xdr:sp macro="" textlink="">
          <xdr:nvSpPr>
            <xdr:cNvPr id="17409" name="Hide" hidden="1">
              <a:extLst>
                <a:ext uri="{63B3BB69-23CF-44E3-9099-C40C66FF867C}">
                  <a14:compatExt spid="_x0000_s17409"/>
                </a:ext>
                <a:ext uri="{FF2B5EF4-FFF2-40B4-BE49-F238E27FC236}">
                  <a16:creationId xmlns:a16="http://schemas.microsoft.com/office/drawing/2014/main" id="{00000000-0008-0000-1C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447675</xdr:colOff>
          <xdr:row>3</xdr:row>
          <xdr:rowOff>447675</xdr:rowOff>
        </xdr:to>
        <xdr:sp macro="" textlink="">
          <xdr:nvSpPr>
            <xdr:cNvPr id="17410" name="Specs" hidden="1">
              <a:extLst>
                <a:ext uri="{63B3BB69-23CF-44E3-9099-C40C66FF867C}">
                  <a14:compatExt spid="_x0000_s17410"/>
                </a:ext>
                <a:ext uri="{FF2B5EF4-FFF2-40B4-BE49-F238E27FC236}">
                  <a16:creationId xmlns:a16="http://schemas.microsoft.com/office/drawing/2014/main" id="{00000000-0008-0000-1C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447675</xdr:colOff>
          <xdr:row>3</xdr:row>
          <xdr:rowOff>447675</xdr:rowOff>
        </xdr:to>
        <xdr:sp macro="" textlink="">
          <xdr:nvSpPr>
            <xdr:cNvPr id="17411" name="Technical" hidden="1">
              <a:extLst>
                <a:ext uri="{63B3BB69-23CF-44E3-9099-C40C66FF867C}">
                  <a14:compatExt spid="_x0000_s17411"/>
                </a:ext>
                <a:ext uri="{FF2B5EF4-FFF2-40B4-BE49-F238E27FC236}">
                  <a16:creationId xmlns:a16="http://schemas.microsoft.com/office/drawing/2014/main" id="{00000000-0008-0000-1C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2</xdr:col>
      <xdr:colOff>201706</xdr:colOff>
      <xdr:row>10</xdr:row>
      <xdr:rowOff>0</xdr:rowOff>
    </xdr:from>
    <xdr:to>
      <xdr:col>2</xdr:col>
      <xdr:colOff>930088</xdr:colOff>
      <xdr:row>13</xdr:row>
      <xdr:rowOff>10286</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800-000002000000}"/>
            </a:ext>
          </a:extLst>
        </xdr:cNvPr>
        <xdr:cNvSpPr/>
      </xdr:nvSpPr>
      <xdr:spPr bwMode="auto">
        <a:xfrm>
          <a:off x="3840256" y="1933575"/>
          <a:ext cx="728382" cy="68656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3</xdr:row>
      <xdr:rowOff>575469</xdr:rowOff>
    </xdr:from>
    <xdr:ext cx="3365500" cy="654844"/>
    <xdr:sp macro="" textlink="">
      <xdr:nvSpPr>
        <xdr:cNvPr id="3" name="TextBox 1" hidden="1">
          <a:extLst>
            <a:ext uri="{FF2B5EF4-FFF2-40B4-BE49-F238E27FC236}">
              <a16:creationId xmlns:a16="http://schemas.microsoft.com/office/drawing/2014/main" id="{00000000-0008-0000-1800-000003000000}"/>
            </a:ext>
          </a:extLst>
        </xdr:cNvPr>
        <xdr:cNvSpPr txBox="1"/>
      </xdr:nvSpPr>
      <xdr:spPr>
        <a:xfrm>
          <a:off x="63500" y="1206500"/>
          <a:ext cx="3365500" cy="654844"/>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no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200025</xdr:colOff>
          <xdr:row>3</xdr:row>
          <xdr:rowOff>95250</xdr:rowOff>
        </xdr:to>
        <xdr:sp macro="" textlink="">
          <xdr:nvSpPr>
            <xdr:cNvPr id="34817" name="Hide" hidden="1">
              <a:extLst>
                <a:ext uri="{63B3BB69-23CF-44E3-9099-C40C66FF867C}">
                  <a14:compatExt spid="_x0000_s34817"/>
                </a:ext>
                <a:ext uri="{FF2B5EF4-FFF2-40B4-BE49-F238E27FC236}">
                  <a16:creationId xmlns:a16="http://schemas.microsoft.com/office/drawing/2014/main" id="{00000000-0008-0000-1D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114300</xdr:colOff>
          <xdr:row>3</xdr:row>
          <xdr:rowOff>447675</xdr:rowOff>
        </xdr:to>
        <xdr:sp macro="" textlink="">
          <xdr:nvSpPr>
            <xdr:cNvPr id="34818" name="Specs" hidden="1">
              <a:extLst>
                <a:ext uri="{63B3BB69-23CF-44E3-9099-C40C66FF867C}">
                  <a14:compatExt spid="_x0000_s34818"/>
                </a:ext>
                <a:ext uri="{FF2B5EF4-FFF2-40B4-BE49-F238E27FC236}">
                  <a16:creationId xmlns:a16="http://schemas.microsoft.com/office/drawing/2014/main" id="{00000000-0008-0000-1D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114300</xdr:colOff>
          <xdr:row>3</xdr:row>
          <xdr:rowOff>447675</xdr:rowOff>
        </xdr:to>
        <xdr:sp macro="" textlink="">
          <xdr:nvSpPr>
            <xdr:cNvPr id="34819" name="Technical" hidden="1">
              <a:extLst>
                <a:ext uri="{63B3BB69-23CF-44E3-9099-C40C66FF867C}">
                  <a14:compatExt spid="_x0000_s34819"/>
                </a:ext>
                <a:ext uri="{FF2B5EF4-FFF2-40B4-BE49-F238E27FC236}">
                  <a16:creationId xmlns:a16="http://schemas.microsoft.com/office/drawing/2014/main" id="{00000000-0008-0000-1D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2</xdr:col>
      <xdr:colOff>201706</xdr:colOff>
      <xdr:row>10</xdr:row>
      <xdr:rowOff>0</xdr:rowOff>
    </xdr:from>
    <xdr:to>
      <xdr:col>2</xdr:col>
      <xdr:colOff>930088</xdr:colOff>
      <xdr:row>13</xdr:row>
      <xdr:rowOff>10286</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900-000002000000}"/>
            </a:ext>
          </a:extLst>
        </xdr:cNvPr>
        <xdr:cNvSpPr/>
      </xdr:nvSpPr>
      <xdr:spPr bwMode="auto">
        <a:xfrm>
          <a:off x="3840256" y="1933575"/>
          <a:ext cx="728382" cy="68656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3</xdr:row>
      <xdr:rowOff>575469</xdr:rowOff>
    </xdr:from>
    <xdr:ext cx="3365500" cy="280205"/>
    <xdr:sp macro="" textlink="">
      <xdr:nvSpPr>
        <xdr:cNvPr id="3" name="TextBox 1" hidden="1">
          <a:extLst>
            <a:ext uri="{FF2B5EF4-FFF2-40B4-BE49-F238E27FC236}">
              <a16:creationId xmlns:a16="http://schemas.microsoft.com/office/drawing/2014/main" id="{00000000-0008-0000-1900-000003000000}"/>
            </a:ext>
          </a:extLst>
        </xdr:cNvPr>
        <xdr:cNvSpPr txBox="1"/>
      </xdr:nvSpPr>
      <xdr:spPr>
        <a:xfrm>
          <a:off x="63500" y="1206500"/>
          <a:ext cx="3365500" cy="280205"/>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200025</xdr:colOff>
          <xdr:row>3</xdr:row>
          <xdr:rowOff>95250</xdr:rowOff>
        </xdr:to>
        <xdr:sp macro="" textlink="">
          <xdr:nvSpPr>
            <xdr:cNvPr id="35841" name="Hide" hidden="1">
              <a:extLst>
                <a:ext uri="{63B3BB69-23CF-44E3-9099-C40C66FF867C}">
                  <a14:compatExt spid="_x0000_s35841"/>
                </a:ext>
                <a:ext uri="{FF2B5EF4-FFF2-40B4-BE49-F238E27FC236}">
                  <a16:creationId xmlns:a16="http://schemas.microsoft.com/office/drawing/2014/main" id="{00000000-0008-0000-1E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114300</xdr:colOff>
          <xdr:row>3</xdr:row>
          <xdr:rowOff>447675</xdr:rowOff>
        </xdr:to>
        <xdr:sp macro="" textlink="">
          <xdr:nvSpPr>
            <xdr:cNvPr id="35842" name="Specs" hidden="1">
              <a:extLst>
                <a:ext uri="{63B3BB69-23CF-44E3-9099-C40C66FF867C}">
                  <a14:compatExt spid="_x0000_s35842"/>
                </a:ext>
                <a:ext uri="{FF2B5EF4-FFF2-40B4-BE49-F238E27FC236}">
                  <a16:creationId xmlns:a16="http://schemas.microsoft.com/office/drawing/2014/main" id="{00000000-0008-0000-1E00-000002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114300</xdr:colOff>
          <xdr:row>3</xdr:row>
          <xdr:rowOff>447675</xdr:rowOff>
        </xdr:to>
        <xdr:sp macro="" textlink="">
          <xdr:nvSpPr>
            <xdr:cNvPr id="35843" name="Technical" hidden="1">
              <a:extLst>
                <a:ext uri="{63B3BB69-23CF-44E3-9099-C40C66FF867C}">
                  <a14:compatExt spid="_x0000_s35843"/>
                </a:ext>
                <a:ext uri="{FF2B5EF4-FFF2-40B4-BE49-F238E27FC236}">
                  <a16:creationId xmlns:a16="http://schemas.microsoft.com/office/drawing/2014/main" id="{00000000-0008-0000-1E00-000003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2</xdr:col>
      <xdr:colOff>201706</xdr:colOff>
      <xdr:row>10</xdr:row>
      <xdr:rowOff>0</xdr:rowOff>
    </xdr:from>
    <xdr:to>
      <xdr:col>2</xdr:col>
      <xdr:colOff>930088</xdr:colOff>
      <xdr:row>13</xdr:row>
      <xdr:rowOff>10286</xdr:rowOff>
    </xdr:to>
    <xdr:sp macro="" textlink="">
      <xdr:nvSpPr>
        <xdr:cNvPr id="2" name="Object 13" hidden="1">
          <a:extLst>
            <a:ext uri="{63B3BB69-23CF-44E3-9099-C40C66FF867C}">
              <a14:compatExt xmlns:a14="http://schemas.microsoft.com/office/drawing/2010/main" spid="_x0000_s5133"/>
            </a:ext>
            <a:ext uri="{FF2B5EF4-FFF2-40B4-BE49-F238E27FC236}">
              <a16:creationId xmlns:a16="http://schemas.microsoft.com/office/drawing/2014/main" id="{00000000-0008-0000-1A00-000002000000}"/>
            </a:ext>
          </a:extLst>
        </xdr:cNvPr>
        <xdr:cNvSpPr/>
      </xdr:nvSpPr>
      <xdr:spPr bwMode="auto">
        <a:xfrm>
          <a:off x="3840256" y="1933575"/>
          <a:ext cx="728382" cy="68656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oneCellAnchor>
    <xdr:from>
      <xdr:col>0</xdr:col>
      <xdr:colOff>63500</xdr:colOff>
      <xdr:row>3</xdr:row>
      <xdr:rowOff>575469</xdr:rowOff>
    </xdr:from>
    <xdr:ext cx="3365500" cy="280205"/>
    <xdr:sp macro="" textlink="">
      <xdr:nvSpPr>
        <xdr:cNvPr id="3" name="TextBox 1" hidden="1">
          <a:extLst>
            <a:ext uri="{FF2B5EF4-FFF2-40B4-BE49-F238E27FC236}">
              <a16:creationId xmlns:a16="http://schemas.microsoft.com/office/drawing/2014/main" id="{00000000-0008-0000-1A00-000003000000}"/>
            </a:ext>
          </a:extLst>
        </xdr:cNvPr>
        <xdr:cNvSpPr txBox="1"/>
      </xdr:nvSpPr>
      <xdr:spPr>
        <a:xfrm>
          <a:off x="63500" y="1206500"/>
          <a:ext cx="3365500" cy="280205"/>
        </a:xfrm>
        <a:prstGeom prst="rect">
          <a:avLst/>
        </a:prstGeom>
        <a:solidFill>
          <a:schemeClr val="bg1"/>
        </a:solidFill>
        <a:ln>
          <a:solidFill>
            <a:sysClr val="windowText" lastClr="000000"/>
          </a:solidFill>
        </a:ln>
        <a:effectLst>
          <a:glow rad="63500">
            <a:schemeClr val="bg1">
              <a:lumMod val="50000"/>
              <a:alpha val="40000"/>
            </a:schemeClr>
          </a:glow>
          <a:softEdge rad="31750"/>
        </a:effectLst>
        <a:scene3d>
          <a:camera prst="orthographicFront"/>
          <a:lightRig rig="threePt" dir="t"/>
        </a:scene3d>
        <a:sp3d>
          <a:bevelT prst="angle"/>
        </a:sp3d>
      </xdr:spPr>
      <xdr:style>
        <a:lnRef idx="2">
          <a:schemeClr val="dk1"/>
        </a:lnRef>
        <a:fillRef idx="1">
          <a:schemeClr val="lt1"/>
        </a:fillRef>
        <a:effectRef idx="0">
          <a:schemeClr val="dk1"/>
        </a:effectRef>
        <a:fontRef idx="minor">
          <a:schemeClr val="dk1"/>
        </a:fontRef>
      </xdr:style>
      <xdr:txBody>
        <a:bodyPr vertOverflow="clip" horzOverflow="clip" wrap="square" rtlCol="1" anchor="t">
          <a:spAutoFit/>
        </a:bodyPr>
        <a:lstStyle/>
        <a:p>
          <a:pPr marL="171450" indent="-171450">
            <a:buFont typeface="Wingdings" panose="05000000000000000000" pitchFamily="2" charset="2"/>
            <a:buChar char="ü"/>
          </a:pPr>
          <a:endParaRPr lang="en-US" sz="1200" b="1" cap="none" spc="0" baseline="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200025</xdr:colOff>
          <xdr:row>3</xdr:row>
          <xdr:rowOff>95250</xdr:rowOff>
        </xdr:to>
        <xdr:sp macro="" textlink="">
          <xdr:nvSpPr>
            <xdr:cNvPr id="36865" name="Hide" hidden="1">
              <a:extLst>
                <a:ext uri="{63B3BB69-23CF-44E3-9099-C40C66FF867C}">
                  <a14:compatExt spid="_x0000_s36865"/>
                </a:ext>
                <a:ext uri="{FF2B5EF4-FFF2-40B4-BE49-F238E27FC236}">
                  <a16:creationId xmlns:a16="http://schemas.microsoft.com/office/drawing/2014/main" id="{00000000-0008-0000-1F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114300</xdr:colOff>
          <xdr:row>3</xdr:row>
          <xdr:rowOff>447675</xdr:rowOff>
        </xdr:to>
        <xdr:sp macro="" textlink="">
          <xdr:nvSpPr>
            <xdr:cNvPr id="36866" name="Specs" hidden="1">
              <a:extLst>
                <a:ext uri="{63B3BB69-23CF-44E3-9099-C40C66FF867C}">
                  <a14:compatExt spid="_x0000_s36866"/>
                </a:ext>
                <a:ext uri="{FF2B5EF4-FFF2-40B4-BE49-F238E27FC236}">
                  <a16:creationId xmlns:a16="http://schemas.microsoft.com/office/drawing/2014/main" id="{00000000-0008-0000-1F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133350</xdr:rowOff>
        </xdr:from>
        <xdr:to>
          <xdr:col>3</xdr:col>
          <xdr:colOff>114300</xdr:colOff>
          <xdr:row>3</xdr:row>
          <xdr:rowOff>447675</xdr:rowOff>
        </xdr:to>
        <xdr:sp macro="" textlink="">
          <xdr:nvSpPr>
            <xdr:cNvPr id="36867" name="Technical" hidden="1">
              <a:extLst>
                <a:ext uri="{63B3BB69-23CF-44E3-9099-C40C66FF867C}">
                  <a14:compatExt spid="_x0000_s36867"/>
                </a:ext>
                <a:ext uri="{FF2B5EF4-FFF2-40B4-BE49-F238E27FC236}">
                  <a16:creationId xmlns:a16="http://schemas.microsoft.com/office/drawing/2014/main" id="{00000000-0008-0000-1F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171450</xdr:colOff>
          <xdr:row>2</xdr:row>
          <xdr:rowOff>85725</xdr:rowOff>
        </xdr:from>
        <xdr:to>
          <xdr:col>3</xdr:col>
          <xdr:colOff>962025</xdr:colOff>
          <xdr:row>2</xdr:row>
          <xdr:rowOff>752475</xdr:rowOff>
        </xdr:to>
        <xdr:sp macro="" textlink="">
          <xdr:nvSpPr>
            <xdr:cNvPr id="53249" name="Object 1" hidden="1">
              <a:extLst>
                <a:ext uri="{63B3BB69-23CF-44E3-9099-C40C66FF867C}">
                  <a14:compatExt spid="_x0000_s53249"/>
                </a:ext>
                <a:ext uri="{FF2B5EF4-FFF2-40B4-BE49-F238E27FC236}">
                  <a16:creationId xmlns:a16="http://schemas.microsoft.com/office/drawing/2014/main" id="{00000000-0008-0000-2000-000001D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4</xdr:row>
          <xdr:rowOff>123825</xdr:rowOff>
        </xdr:from>
        <xdr:to>
          <xdr:col>3</xdr:col>
          <xdr:colOff>981075</xdr:colOff>
          <xdr:row>4</xdr:row>
          <xdr:rowOff>790575</xdr:rowOff>
        </xdr:to>
        <xdr:sp macro="" textlink="">
          <xdr:nvSpPr>
            <xdr:cNvPr id="53250" name="Object 2" hidden="1">
              <a:extLst>
                <a:ext uri="{63B3BB69-23CF-44E3-9099-C40C66FF867C}">
                  <a14:compatExt spid="_x0000_s53250"/>
                </a:ext>
                <a:ext uri="{FF2B5EF4-FFF2-40B4-BE49-F238E27FC236}">
                  <a16:creationId xmlns:a16="http://schemas.microsoft.com/office/drawing/2014/main" id="{00000000-0008-0000-2000-000002D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1</xdr:row>
          <xdr:rowOff>47625</xdr:rowOff>
        </xdr:from>
        <xdr:to>
          <xdr:col>3</xdr:col>
          <xdr:colOff>952500</xdr:colOff>
          <xdr:row>1</xdr:row>
          <xdr:rowOff>762000</xdr:rowOff>
        </xdr:to>
        <xdr:sp macro="" textlink="">
          <xdr:nvSpPr>
            <xdr:cNvPr id="53252" name="Object 4" hidden="1">
              <a:extLst>
                <a:ext uri="{63B3BB69-23CF-44E3-9099-C40C66FF867C}">
                  <a14:compatExt spid="_x0000_s53252"/>
                </a:ext>
                <a:ext uri="{FF2B5EF4-FFF2-40B4-BE49-F238E27FC236}">
                  <a16:creationId xmlns:a16="http://schemas.microsoft.com/office/drawing/2014/main" id="{00000000-0008-0000-2000-000004D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85725</xdr:rowOff>
        </xdr:from>
        <xdr:to>
          <xdr:col>3</xdr:col>
          <xdr:colOff>962025</xdr:colOff>
          <xdr:row>3</xdr:row>
          <xdr:rowOff>752475</xdr:rowOff>
        </xdr:to>
        <xdr:sp macro="" textlink="">
          <xdr:nvSpPr>
            <xdr:cNvPr id="53253" name="Object 5" hidden="1">
              <a:extLst>
                <a:ext uri="{63B3BB69-23CF-44E3-9099-C40C66FF867C}">
                  <a14:compatExt spid="_x0000_s53253"/>
                </a:ext>
                <a:ext uri="{FF2B5EF4-FFF2-40B4-BE49-F238E27FC236}">
                  <a16:creationId xmlns:a16="http://schemas.microsoft.com/office/drawing/2014/main" id="{00000000-0008-0000-2000-000005D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5</xdr:row>
          <xdr:rowOff>142875</xdr:rowOff>
        </xdr:from>
        <xdr:to>
          <xdr:col>3</xdr:col>
          <xdr:colOff>981075</xdr:colOff>
          <xdr:row>5</xdr:row>
          <xdr:rowOff>809625</xdr:rowOff>
        </xdr:to>
        <xdr:sp macro="" textlink="">
          <xdr:nvSpPr>
            <xdr:cNvPr id="53254" name="Object 6" hidden="1">
              <a:extLst>
                <a:ext uri="{63B3BB69-23CF-44E3-9099-C40C66FF867C}">
                  <a14:compatExt spid="_x0000_s53254"/>
                </a:ext>
                <a:ext uri="{FF2B5EF4-FFF2-40B4-BE49-F238E27FC236}">
                  <a16:creationId xmlns:a16="http://schemas.microsoft.com/office/drawing/2014/main" id="{00000000-0008-0000-2000-000006D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0</xdr:rowOff>
        </xdr:from>
        <xdr:to>
          <xdr:col>1</xdr:col>
          <xdr:colOff>438150</xdr:colOff>
          <xdr:row>1</xdr:row>
          <xdr:rowOff>47625</xdr:rowOff>
        </xdr:to>
        <xdr:sp macro="" textlink="">
          <xdr:nvSpPr>
            <xdr:cNvPr id="52225" name="Hide" hidden="1">
              <a:extLst>
                <a:ext uri="{63B3BB69-23CF-44E3-9099-C40C66FF867C}">
                  <a14:compatExt spid="_x0000_s52225"/>
                </a:ext>
                <a:ext uri="{FF2B5EF4-FFF2-40B4-BE49-F238E27FC236}">
                  <a16:creationId xmlns:a16="http://schemas.microsoft.com/office/drawing/2014/main" id="{00000000-0008-0000-2100-000001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228600</xdr:rowOff>
        </xdr:from>
        <xdr:to>
          <xdr:col>0</xdr:col>
          <xdr:colOff>2476500</xdr:colOff>
          <xdr:row>2</xdr:row>
          <xdr:rowOff>47625</xdr:rowOff>
        </xdr:to>
        <xdr:sp macro="" textlink="">
          <xdr:nvSpPr>
            <xdr:cNvPr id="52229" name="APSA" hidden="1">
              <a:extLst>
                <a:ext uri="{63B3BB69-23CF-44E3-9099-C40C66FF867C}">
                  <a14:compatExt spid="_x0000_s52229"/>
                </a:ext>
                <a:ext uri="{FF2B5EF4-FFF2-40B4-BE49-F238E27FC236}">
                  <a16:creationId xmlns:a16="http://schemas.microsoft.com/office/drawing/2014/main" id="{00000000-0008-0000-2100-000005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209550</xdr:rowOff>
        </xdr:from>
        <xdr:to>
          <xdr:col>0</xdr:col>
          <xdr:colOff>2457450</xdr:colOff>
          <xdr:row>3</xdr:row>
          <xdr:rowOff>57150</xdr:rowOff>
        </xdr:to>
        <xdr:sp macro="" textlink="">
          <xdr:nvSpPr>
            <xdr:cNvPr id="52230" name="PSC" hidden="1">
              <a:extLst>
                <a:ext uri="{63B3BB69-23CF-44E3-9099-C40C66FF867C}">
                  <a14:compatExt spid="_x0000_s52230"/>
                </a:ext>
                <a:ext uri="{FF2B5EF4-FFF2-40B4-BE49-F238E27FC236}">
                  <a16:creationId xmlns:a16="http://schemas.microsoft.com/office/drawing/2014/main" id="{00000000-0008-0000-2100-000006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2743200</xdr:colOff>
          <xdr:row>4</xdr:row>
          <xdr:rowOff>76200</xdr:rowOff>
        </xdr:to>
        <xdr:sp macro="" textlink="">
          <xdr:nvSpPr>
            <xdr:cNvPr id="52231" name="RWC" hidden="1">
              <a:extLst>
                <a:ext uri="{63B3BB69-23CF-44E3-9099-C40C66FF867C}">
                  <a14:compatExt spid="_x0000_s52231"/>
                </a:ext>
                <a:ext uri="{FF2B5EF4-FFF2-40B4-BE49-F238E27FC236}">
                  <a16:creationId xmlns:a16="http://schemas.microsoft.com/office/drawing/2014/main" id="{00000000-0008-0000-2100-000007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5</xdr:row>
          <xdr:rowOff>171450</xdr:rowOff>
        </xdr:from>
        <xdr:to>
          <xdr:col>0</xdr:col>
          <xdr:colOff>2552700</xdr:colOff>
          <xdr:row>7</xdr:row>
          <xdr:rowOff>0</xdr:rowOff>
        </xdr:to>
        <xdr:sp macro="" textlink="">
          <xdr:nvSpPr>
            <xdr:cNvPr id="52232" name="AHU" hidden="1">
              <a:extLst>
                <a:ext uri="{63B3BB69-23CF-44E3-9099-C40C66FF867C}">
                  <a14:compatExt spid="_x0000_s52232"/>
                </a:ext>
                <a:ext uri="{FF2B5EF4-FFF2-40B4-BE49-F238E27FC236}">
                  <a16:creationId xmlns:a16="http://schemas.microsoft.com/office/drawing/2014/main" id="{00000000-0008-0000-2100-000008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xdr:row>
          <xdr:rowOff>152400</xdr:rowOff>
        </xdr:from>
        <xdr:to>
          <xdr:col>0</xdr:col>
          <xdr:colOff>2686050</xdr:colOff>
          <xdr:row>8</xdr:row>
          <xdr:rowOff>9525</xdr:rowOff>
        </xdr:to>
        <xdr:sp macro="" textlink="">
          <xdr:nvSpPr>
            <xdr:cNvPr id="52233" name="CM" hidden="1">
              <a:extLst>
                <a:ext uri="{63B3BB69-23CF-44E3-9099-C40C66FF867C}">
                  <a14:compatExt spid="_x0000_s52233"/>
                </a:ext>
                <a:ext uri="{FF2B5EF4-FFF2-40B4-BE49-F238E27FC236}">
                  <a16:creationId xmlns:a16="http://schemas.microsoft.com/office/drawing/2014/main" id="{00000000-0008-0000-2100-000009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152400</xdr:rowOff>
        </xdr:from>
        <xdr:to>
          <xdr:col>0</xdr:col>
          <xdr:colOff>2238375</xdr:colOff>
          <xdr:row>9</xdr:row>
          <xdr:rowOff>19050</xdr:rowOff>
        </xdr:to>
        <xdr:sp macro="" textlink="">
          <xdr:nvSpPr>
            <xdr:cNvPr id="52234" name="FCU" hidden="1">
              <a:extLst>
                <a:ext uri="{63B3BB69-23CF-44E3-9099-C40C66FF867C}">
                  <a14:compatExt spid="_x0000_s52234"/>
                </a:ext>
                <a:ext uri="{FF2B5EF4-FFF2-40B4-BE49-F238E27FC236}">
                  <a16:creationId xmlns:a16="http://schemas.microsoft.com/office/drawing/2014/main" id="{00000000-0008-0000-2100-00000A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12</xdr:row>
          <xdr:rowOff>180975</xdr:rowOff>
        </xdr:from>
        <xdr:to>
          <xdr:col>0</xdr:col>
          <xdr:colOff>2686050</xdr:colOff>
          <xdr:row>14</xdr:row>
          <xdr:rowOff>47625</xdr:rowOff>
        </xdr:to>
        <xdr:sp macro="" textlink="">
          <xdr:nvSpPr>
            <xdr:cNvPr id="52235" name="PPH" hidden="1">
              <a:extLst>
                <a:ext uri="{63B3BB69-23CF-44E3-9099-C40C66FF867C}">
                  <a14:compatExt spid="_x0000_s52235"/>
                </a:ext>
                <a:ext uri="{FF2B5EF4-FFF2-40B4-BE49-F238E27FC236}">
                  <a16:creationId xmlns:a16="http://schemas.microsoft.com/office/drawing/2014/main" id="{00000000-0008-0000-2100-00000B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15</xdr:row>
          <xdr:rowOff>66675</xdr:rowOff>
        </xdr:from>
        <xdr:to>
          <xdr:col>0</xdr:col>
          <xdr:colOff>2533650</xdr:colOff>
          <xdr:row>16</xdr:row>
          <xdr:rowOff>133350</xdr:rowOff>
        </xdr:to>
        <xdr:sp macro="" textlink="">
          <xdr:nvSpPr>
            <xdr:cNvPr id="52236" name="DSP_AHU" hidden="1">
              <a:extLst>
                <a:ext uri="{63B3BB69-23CF-44E3-9099-C40C66FF867C}">
                  <a14:compatExt spid="_x0000_s52236"/>
                </a:ext>
                <a:ext uri="{FF2B5EF4-FFF2-40B4-BE49-F238E27FC236}">
                  <a16:creationId xmlns:a16="http://schemas.microsoft.com/office/drawing/2014/main" id="{00000000-0008-0000-2100-00000C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16</xdr:row>
          <xdr:rowOff>104775</xdr:rowOff>
        </xdr:from>
        <xdr:to>
          <xdr:col>0</xdr:col>
          <xdr:colOff>2562225</xdr:colOff>
          <xdr:row>17</xdr:row>
          <xdr:rowOff>190500</xdr:rowOff>
        </xdr:to>
        <xdr:sp macro="" textlink="">
          <xdr:nvSpPr>
            <xdr:cNvPr id="52237" name="DSP_CM" hidden="1">
              <a:extLst>
                <a:ext uri="{63B3BB69-23CF-44E3-9099-C40C66FF867C}">
                  <a14:compatExt spid="_x0000_s52237"/>
                </a:ext>
                <a:ext uri="{FF2B5EF4-FFF2-40B4-BE49-F238E27FC236}">
                  <a16:creationId xmlns:a16="http://schemas.microsoft.com/office/drawing/2014/main" id="{00000000-0008-0000-2100-00000D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17</xdr:row>
          <xdr:rowOff>133350</xdr:rowOff>
        </xdr:from>
        <xdr:to>
          <xdr:col>0</xdr:col>
          <xdr:colOff>2857500</xdr:colOff>
          <xdr:row>18</xdr:row>
          <xdr:rowOff>190500</xdr:rowOff>
        </xdr:to>
        <xdr:sp macro="" textlink="">
          <xdr:nvSpPr>
            <xdr:cNvPr id="52238" name="PASC" hidden="1">
              <a:extLst>
                <a:ext uri="{63B3BB69-23CF-44E3-9099-C40C66FF867C}">
                  <a14:compatExt spid="_x0000_s52238"/>
                </a:ext>
                <a:ext uri="{FF2B5EF4-FFF2-40B4-BE49-F238E27FC236}">
                  <a16:creationId xmlns:a16="http://schemas.microsoft.com/office/drawing/2014/main" id="{00000000-0008-0000-2100-00000E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xdr:row>
          <xdr:rowOff>190500</xdr:rowOff>
        </xdr:from>
        <xdr:to>
          <xdr:col>0</xdr:col>
          <xdr:colOff>2543175</xdr:colOff>
          <xdr:row>22</xdr:row>
          <xdr:rowOff>28575</xdr:rowOff>
        </xdr:to>
        <xdr:sp macro="" textlink="">
          <xdr:nvSpPr>
            <xdr:cNvPr id="52239" name="PDU" hidden="1">
              <a:extLst>
                <a:ext uri="{63B3BB69-23CF-44E3-9099-C40C66FF867C}">
                  <a14:compatExt spid="_x0000_s52239"/>
                </a:ext>
                <a:ext uri="{FF2B5EF4-FFF2-40B4-BE49-F238E27FC236}">
                  <a16:creationId xmlns:a16="http://schemas.microsoft.com/office/drawing/2014/main" id="{00000000-0008-0000-2100-00000F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22</xdr:row>
          <xdr:rowOff>28575</xdr:rowOff>
        </xdr:from>
        <xdr:to>
          <xdr:col>0</xdr:col>
          <xdr:colOff>2667000</xdr:colOff>
          <xdr:row>23</xdr:row>
          <xdr:rowOff>114300</xdr:rowOff>
        </xdr:to>
        <xdr:sp macro="" textlink="">
          <xdr:nvSpPr>
            <xdr:cNvPr id="52240" name="PSU" hidden="1">
              <a:extLst>
                <a:ext uri="{63B3BB69-23CF-44E3-9099-C40C66FF867C}">
                  <a14:compatExt spid="_x0000_s52240"/>
                </a:ext>
                <a:ext uri="{FF2B5EF4-FFF2-40B4-BE49-F238E27FC236}">
                  <a16:creationId xmlns:a16="http://schemas.microsoft.com/office/drawing/2014/main" id="{00000000-0008-0000-2100-000010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152400</xdr:rowOff>
        </xdr:from>
        <xdr:to>
          <xdr:col>0</xdr:col>
          <xdr:colOff>2552700</xdr:colOff>
          <xdr:row>10</xdr:row>
          <xdr:rowOff>190500</xdr:rowOff>
        </xdr:to>
        <xdr:sp macro="" textlink="">
          <xdr:nvSpPr>
            <xdr:cNvPr id="52241" name="ECOLOGY" hidden="1">
              <a:extLst>
                <a:ext uri="{63B3BB69-23CF-44E3-9099-C40C66FF867C}">
                  <a14:compatExt spid="_x0000_s52241"/>
                </a:ext>
                <a:ext uri="{FF2B5EF4-FFF2-40B4-BE49-F238E27FC236}">
                  <a16:creationId xmlns:a16="http://schemas.microsoft.com/office/drawing/2014/main" id="{00000000-0008-0000-2100-000011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18</xdr:row>
          <xdr:rowOff>161925</xdr:rowOff>
        </xdr:from>
        <xdr:to>
          <xdr:col>0</xdr:col>
          <xdr:colOff>3076575</xdr:colOff>
          <xdr:row>19</xdr:row>
          <xdr:rowOff>161925</xdr:rowOff>
        </xdr:to>
        <xdr:sp macro="" textlink="">
          <xdr:nvSpPr>
            <xdr:cNvPr id="52242" name="PASC_WM" hidden="1">
              <a:extLst>
                <a:ext uri="{63B3BB69-23CF-44E3-9099-C40C66FF867C}">
                  <a14:compatExt spid="_x0000_s52242"/>
                </a:ext>
                <a:ext uri="{FF2B5EF4-FFF2-40B4-BE49-F238E27FC236}">
                  <a16:creationId xmlns:a16="http://schemas.microsoft.com/office/drawing/2014/main" id="{00000000-0008-0000-2100-00001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19</xdr:row>
          <xdr:rowOff>190500</xdr:rowOff>
        </xdr:from>
        <xdr:to>
          <xdr:col>0</xdr:col>
          <xdr:colOff>3076575</xdr:colOff>
          <xdr:row>21</xdr:row>
          <xdr:rowOff>9525</xdr:rowOff>
        </xdr:to>
        <xdr:sp macro="" textlink="">
          <xdr:nvSpPr>
            <xdr:cNvPr id="52243" name="CRAH_A" hidden="1">
              <a:extLst>
                <a:ext uri="{63B3BB69-23CF-44E3-9099-C40C66FF867C}">
                  <a14:compatExt spid="_x0000_s52243"/>
                </a:ext>
                <a:ext uri="{FF2B5EF4-FFF2-40B4-BE49-F238E27FC236}">
                  <a16:creationId xmlns:a16="http://schemas.microsoft.com/office/drawing/2014/main" id="{00000000-0008-0000-2100-000013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152400</xdr:rowOff>
        </xdr:from>
        <xdr:to>
          <xdr:col>0</xdr:col>
          <xdr:colOff>1790700</xdr:colOff>
          <xdr:row>12</xdr:row>
          <xdr:rowOff>19050</xdr:rowOff>
        </xdr:to>
        <xdr:sp macro="" textlink="">
          <xdr:nvSpPr>
            <xdr:cNvPr id="52244" name="CHEMICAL" hidden="1">
              <a:extLst>
                <a:ext uri="{63B3BB69-23CF-44E3-9099-C40C66FF867C}">
                  <a14:compatExt spid="_x0000_s52244"/>
                </a:ext>
                <a:ext uri="{FF2B5EF4-FFF2-40B4-BE49-F238E27FC236}">
                  <a16:creationId xmlns:a16="http://schemas.microsoft.com/office/drawing/2014/main" id="{00000000-0008-0000-2100-000014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14</xdr:row>
          <xdr:rowOff>28575</xdr:rowOff>
        </xdr:from>
        <xdr:to>
          <xdr:col>0</xdr:col>
          <xdr:colOff>2686050</xdr:colOff>
          <xdr:row>15</xdr:row>
          <xdr:rowOff>66675</xdr:rowOff>
        </xdr:to>
        <xdr:sp macro="" textlink="">
          <xdr:nvSpPr>
            <xdr:cNvPr id="52245" name="PWM" hidden="1">
              <a:extLst>
                <a:ext uri="{63B3BB69-23CF-44E3-9099-C40C66FF867C}">
                  <a14:compatExt spid="_x0000_s52245"/>
                </a:ext>
                <a:ext uri="{FF2B5EF4-FFF2-40B4-BE49-F238E27FC236}">
                  <a16:creationId xmlns:a16="http://schemas.microsoft.com/office/drawing/2014/main" id="{00000000-0008-0000-2100-000015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142875</xdr:rowOff>
        </xdr:from>
        <xdr:to>
          <xdr:col>0</xdr:col>
          <xdr:colOff>3000375</xdr:colOff>
          <xdr:row>41</xdr:row>
          <xdr:rowOff>114300</xdr:rowOff>
        </xdr:to>
        <xdr:sp macro="" textlink="">
          <xdr:nvSpPr>
            <xdr:cNvPr id="52252" name="Get_Data" hidden="1">
              <a:extLst>
                <a:ext uri="{63B3BB69-23CF-44E3-9099-C40C66FF867C}">
                  <a14:compatExt spid="_x0000_s52252"/>
                </a:ext>
                <a:ext uri="{FF2B5EF4-FFF2-40B4-BE49-F238E27FC236}">
                  <a16:creationId xmlns:a16="http://schemas.microsoft.com/office/drawing/2014/main" id="{00000000-0008-0000-2100-00001C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123825</xdr:rowOff>
        </xdr:from>
        <xdr:to>
          <xdr:col>0</xdr:col>
          <xdr:colOff>3000375</xdr:colOff>
          <xdr:row>43</xdr:row>
          <xdr:rowOff>38100</xdr:rowOff>
        </xdr:to>
        <xdr:sp macro="" textlink="">
          <xdr:nvSpPr>
            <xdr:cNvPr id="52253" name="ED_Calculate" hidden="1">
              <a:extLst>
                <a:ext uri="{63B3BB69-23CF-44E3-9099-C40C66FF867C}">
                  <a14:compatExt spid="_x0000_s52253"/>
                </a:ext>
                <a:ext uri="{FF2B5EF4-FFF2-40B4-BE49-F238E27FC236}">
                  <a16:creationId xmlns:a16="http://schemas.microsoft.com/office/drawing/2014/main" id="{00000000-0008-0000-2100-00001D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27</xdr:row>
          <xdr:rowOff>95250</xdr:rowOff>
        </xdr:from>
        <xdr:to>
          <xdr:col>0</xdr:col>
          <xdr:colOff>2714625</xdr:colOff>
          <xdr:row>29</xdr:row>
          <xdr:rowOff>9525</xdr:rowOff>
        </xdr:to>
        <xdr:sp macro="" textlink="">
          <xdr:nvSpPr>
            <xdr:cNvPr id="52255" name="Comp_Brand" hidden="1">
              <a:extLst>
                <a:ext uri="{63B3BB69-23CF-44E3-9099-C40C66FF867C}">
                  <a14:compatExt spid="_x0000_s52255"/>
                </a:ext>
                <a:ext uri="{FF2B5EF4-FFF2-40B4-BE49-F238E27FC236}">
                  <a16:creationId xmlns:a16="http://schemas.microsoft.com/office/drawing/2014/main" id="{00000000-0008-0000-2100-00001F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29</xdr:row>
          <xdr:rowOff>133350</xdr:rowOff>
        </xdr:from>
        <xdr:to>
          <xdr:col>0</xdr:col>
          <xdr:colOff>2714625</xdr:colOff>
          <xdr:row>31</xdr:row>
          <xdr:rowOff>28575</xdr:rowOff>
        </xdr:to>
        <xdr:sp macro="" textlink="">
          <xdr:nvSpPr>
            <xdr:cNvPr id="52256" name="Motor_Brand" hidden="1">
              <a:extLst>
                <a:ext uri="{63B3BB69-23CF-44E3-9099-C40C66FF867C}">
                  <a14:compatExt spid="_x0000_s52256"/>
                </a:ext>
                <a:ext uri="{FF2B5EF4-FFF2-40B4-BE49-F238E27FC236}">
                  <a16:creationId xmlns:a16="http://schemas.microsoft.com/office/drawing/2014/main" id="{00000000-0008-0000-2100-000020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34</xdr:row>
          <xdr:rowOff>28575</xdr:rowOff>
        </xdr:from>
        <xdr:to>
          <xdr:col>0</xdr:col>
          <xdr:colOff>2714625</xdr:colOff>
          <xdr:row>35</xdr:row>
          <xdr:rowOff>123825</xdr:rowOff>
        </xdr:to>
        <xdr:sp macro="" textlink="">
          <xdr:nvSpPr>
            <xdr:cNvPr id="52257" name="CF_Brand" hidden="1">
              <a:extLst>
                <a:ext uri="{63B3BB69-23CF-44E3-9099-C40C66FF867C}">
                  <a14:compatExt spid="_x0000_s52257"/>
                </a:ext>
                <a:ext uri="{FF2B5EF4-FFF2-40B4-BE49-F238E27FC236}">
                  <a16:creationId xmlns:a16="http://schemas.microsoft.com/office/drawing/2014/main" id="{00000000-0008-0000-2100-000021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36</xdr:row>
          <xdr:rowOff>133350</xdr:rowOff>
        </xdr:from>
        <xdr:to>
          <xdr:col>0</xdr:col>
          <xdr:colOff>2733675</xdr:colOff>
          <xdr:row>38</xdr:row>
          <xdr:rowOff>19050</xdr:rowOff>
        </xdr:to>
        <xdr:sp macro="" textlink="">
          <xdr:nvSpPr>
            <xdr:cNvPr id="52258" name="HEATER" hidden="1">
              <a:extLst>
                <a:ext uri="{63B3BB69-23CF-44E3-9099-C40C66FF867C}">
                  <a14:compatExt spid="_x0000_s52258"/>
                </a:ext>
                <a:ext uri="{FF2B5EF4-FFF2-40B4-BE49-F238E27FC236}">
                  <a16:creationId xmlns:a16="http://schemas.microsoft.com/office/drawing/2014/main" id="{00000000-0008-0000-2100-00002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23</xdr:row>
          <xdr:rowOff>123825</xdr:rowOff>
        </xdr:from>
        <xdr:to>
          <xdr:col>0</xdr:col>
          <xdr:colOff>3219450</xdr:colOff>
          <xdr:row>24</xdr:row>
          <xdr:rowOff>152400</xdr:rowOff>
        </xdr:to>
        <xdr:sp macro="" textlink="">
          <xdr:nvSpPr>
            <xdr:cNvPr id="52259" name="PASC_CM_Ceiling_elec" hidden="1">
              <a:extLst>
                <a:ext uri="{63B3BB69-23CF-44E3-9099-C40C66FF867C}">
                  <a14:compatExt spid="_x0000_s52259"/>
                </a:ext>
                <a:ext uri="{FF2B5EF4-FFF2-40B4-BE49-F238E27FC236}">
                  <a16:creationId xmlns:a16="http://schemas.microsoft.com/office/drawing/2014/main" id="{00000000-0008-0000-2100-000023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1</xdr:col>
      <xdr:colOff>742950</xdr:colOff>
      <xdr:row>6</xdr:row>
      <xdr:rowOff>180975</xdr:rowOff>
    </xdr:from>
    <xdr:to>
      <xdr:col>2</xdr:col>
      <xdr:colOff>0</xdr:colOff>
      <xdr:row>12</xdr:row>
      <xdr:rowOff>95250</xdr:rowOff>
    </xdr:to>
    <xdr:cxnSp macro="">
      <xdr:nvCxnSpPr>
        <xdr:cNvPr id="2" name="Straight Arrow Connector 1">
          <a:extLst>
            <a:ext uri="{FF2B5EF4-FFF2-40B4-BE49-F238E27FC236}">
              <a16:creationId xmlns:a16="http://schemas.microsoft.com/office/drawing/2014/main" id="{BCFC37D8-494C-4098-BE1C-EF47718A6D69}"/>
            </a:ext>
          </a:extLst>
        </xdr:cNvPr>
        <xdr:cNvCxnSpPr/>
      </xdr:nvCxnSpPr>
      <xdr:spPr>
        <a:xfrm>
          <a:off x="1933575" y="1352550"/>
          <a:ext cx="1524000" cy="105727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2181225</xdr:colOff>
      <xdr:row>6</xdr:row>
      <xdr:rowOff>0</xdr:rowOff>
    </xdr:from>
    <xdr:to>
      <xdr:col>1</xdr:col>
      <xdr:colOff>2238375</xdr:colOff>
      <xdr:row>11</xdr:row>
      <xdr:rowOff>85725</xdr:rowOff>
    </xdr:to>
    <xdr:cxnSp macro="">
      <xdr:nvCxnSpPr>
        <xdr:cNvPr id="3" name="Straight Arrow Connector 2">
          <a:extLst>
            <a:ext uri="{FF2B5EF4-FFF2-40B4-BE49-F238E27FC236}">
              <a16:creationId xmlns:a16="http://schemas.microsoft.com/office/drawing/2014/main" id="{71D1C429-F494-4765-980C-D76137CE4930}"/>
            </a:ext>
          </a:extLst>
        </xdr:cNvPr>
        <xdr:cNvCxnSpPr/>
      </xdr:nvCxnSpPr>
      <xdr:spPr>
        <a:xfrm>
          <a:off x="3371850" y="1171575"/>
          <a:ext cx="57150" cy="103822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952500</xdr:colOff>
      <xdr:row>7</xdr:row>
      <xdr:rowOff>152400</xdr:rowOff>
    </xdr:from>
    <xdr:to>
      <xdr:col>2</xdr:col>
      <xdr:colOff>85725</xdr:colOff>
      <xdr:row>14</xdr:row>
      <xdr:rowOff>66675</xdr:rowOff>
    </xdr:to>
    <xdr:cxnSp macro="">
      <xdr:nvCxnSpPr>
        <xdr:cNvPr id="4" name="Straight Arrow Connector 3">
          <a:extLst>
            <a:ext uri="{FF2B5EF4-FFF2-40B4-BE49-F238E27FC236}">
              <a16:creationId xmlns:a16="http://schemas.microsoft.com/office/drawing/2014/main" id="{3CF2745C-6471-4457-BBC9-0CCA68F2DF9D}"/>
            </a:ext>
          </a:extLst>
        </xdr:cNvPr>
        <xdr:cNvCxnSpPr/>
      </xdr:nvCxnSpPr>
      <xdr:spPr>
        <a:xfrm>
          <a:off x="952500" y="1514475"/>
          <a:ext cx="2590800" cy="124777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13</xdr:col>
      <xdr:colOff>314325</xdr:colOff>
      <xdr:row>0</xdr:row>
      <xdr:rowOff>28575</xdr:rowOff>
    </xdr:from>
    <xdr:to>
      <xdr:col>18</xdr:col>
      <xdr:colOff>609600</xdr:colOff>
      <xdr:row>5</xdr:row>
      <xdr:rowOff>135145</xdr:rowOff>
    </xdr:to>
    <xdr:pic>
      <xdr:nvPicPr>
        <xdr:cNvPr id="5" name="Picture 4">
          <a:extLst>
            <a:ext uri="{FF2B5EF4-FFF2-40B4-BE49-F238E27FC236}">
              <a16:creationId xmlns:a16="http://schemas.microsoft.com/office/drawing/2014/main" id="{287D9BC4-0133-4EF0-AC68-76DA82C63F2B}"/>
            </a:ext>
          </a:extLst>
        </xdr:cNvPr>
        <xdr:cNvPicPr>
          <a:picLocks noChangeAspect="1"/>
        </xdr:cNvPicPr>
      </xdr:nvPicPr>
      <xdr:blipFill>
        <a:blip xmlns:r="http://schemas.openxmlformats.org/officeDocument/2006/relationships" r:embed="rId1"/>
        <a:stretch>
          <a:fillRect/>
        </a:stretch>
      </xdr:blipFill>
      <xdr:spPr>
        <a:xfrm>
          <a:off x="9877425" y="28575"/>
          <a:ext cx="3552825" cy="1078120"/>
        </a:xfrm>
        <a:prstGeom prst="rect">
          <a:avLst/>
        </a:prstGeom>
        <a:ln>
          <a:solidFill>
            <a:schemeClr val="accent1"/>
          </a:solidFill>
        </a:ln>
      </xdr:spPr>
    </xdr:pic>
    <xdr:clientData/>
  </xdr:twoCellAnchor>
  <xdr:twoCellAnchor editAs="oneCell">
    <xdr:from>
      <xdr:col>2</xdr:col>
      <xdr:colOff>285750</xdr:colOff>
      <xdr:row>0</xdr:row>
      <xdr:rowOff>9525</xdr:rowOff>
    </xdr:from>
    <xdr:to>
      <xdr:col>7</xdr:col>
      <xdr:colOff>561975</xdr:colOff>
      <xdr:row>5</xdr:row>
      <xdr:rowOff>161925</xdr:rowOff>
    </xdr:to>
    <xdr:pic>
      <xdr:nvPicPr>
        <xdr:cNvPr id="6" name="Picture 5">
          <a:extLst>
            <a:ext uri="{FF2B5EF4-FFF2-40B4-BE49-F238E27FC236}">
              <a16:creationId xmlns:a16="http://schemas.microsoft.com/office/drawing/2014/main" id="{8EF578BF-EDA2-4416-A22A-9FC93D5BDAF4}"/>
            </a:ext>
          </a:extLst>
        </xdr:cNvPr>
        <xdr:cNvPicPr>
          <a:picLocks noChangeAspect="1"/>
        </xdr:cNvPicPr>
      </xdr:nvPicPr>
      <xdr:blipFill>
        <a:blip xmlns:r="http://schemas.openxmlformats.org/officeDocument/2006/relationships" r:embed="rId2"/>
        <a:stretch>
          <a:fillRect/>
        </a:stretch>
      </xdr:blipFill>
      <xdr:spPr>
        <a:xfrm>
          <a:off x="3743325" y="9525"/>
          <a:ext cx="4019550" cy="1123950"/>
        </a:xfrm>
        <a:prstGeom prst="rect">
          <a:avLst/>
        </a:prstGeom>
        <a:noFill/>
        <a:ln>
          <a:solidFill>
            <a:schemeClr val="accent1"/>
          </a:solidFill>
        </a:ln>
      </xdr:spPr>
    </xdr:pic>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1905000</xdr:colOff>
          <xdr:row>2</xdr:row>
          <xdr:rowOff>161925</xdr:rowOff>
        </xdr:to>
        <xdr:sp macro="" textlink="">
          <xdr:nvSpPr>
            <xdr:cNvPr id="112641" name="EPICOR_AUTO_DATA_FILL" hidden="1">
              <a:extLst>
                <a:ext uri="{63B3BB69-23CF-44E3-9099-C40C66FF867C}">
                  <a14:compatExt spid="_x0000_s112641"/>
                </a:ext>
                <a:ext uri="{FF2B5EF4-FFF2-40B4-BE49-F238E27FC236}">
                  <a16:creationId xmlns:a16="http://schemas.microsoft.com/office/drawing/2014/main" id="{00000000-0008-0000-2600-000001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504825</xdr:colOff>
          <xdr:row>0</xdr:row>
          <xdr:rowOff>304800</xdr:rowOff>
        </xdr:to>
        <xdr:sp macro="" textlink="">
          <xdr:nvSpPr>
            <xdr:cNvPr id="49153" name="Unit_Specs_BUT" hidden="1">
              <a:extLst>
                <a:ext uri="{63B3BB69-23CF-44E3-9099-C40C66FF867C}">
                  <a14:compatExt spid="_x0000_s49153"/>
                </a:ext>
                <a:ext uri="{FF2B5EF4-FFF2-40B4-BE49-F238E27FC236}">
                  <a16:creationId xmlns:a16="http://schemas.microsoft.com/office/drawing/2014/main" id="{00000000-0008-0000-27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28575</xdr:rowOff>
        </xdr:from>
        <xdr:to>
          <xdr:col>0</xdr:col>
          <xdr:colOff>1371600</xdr:colOff>
          <xdr:row>3</xdr:row>
          <xdr:rowOff>95250</xdr:rowOff>
        </xdr:to>
        <xdr:sp macro="" textlink="">
          <xdr:nvSpPr>
            <xdr:cNvPr id="49154" name="APSA" hidden="1">
              <a:extLst>
                <a:ext uri="{63B3BB69-23CF-44E3-9099-C40C66FF867C}">
                  <a14:compatExt spid="_x0000_s49154"/>
                </a:ext>
                <a:ext uri="{FF2B5EF4-FFF2-40B4-BE49-F238E27FC236}">
                  <a16:creationId xmlns:a16="http://schemas.microsoft.com/office/drawing/2014/main" id="{00000000-0008-0000-27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28575</xdr:rowOff>
        </xdr:from>
        <xdr:to>
          <xdr:col>0</xdr:col>
          <xdr:colOff>1371600</xdr:colOff>
          <xdr:row>4</xdr:row>
          <xdr:rowOff>104775</xdr:rowOff>
        </xdr:to>
        <xdr:sp macro="" textlink="">
          <xdr:nvSpPr>
            <xdr:cNvPr id="49155" name="PSC" hidden="1">
              <a:extLst>
                <a:ext uri="{63B3BB69-23CF-44E3-9099-C40C66FF867C}">
                  <a14:compatExt spid="_x0000_s49155"/>
                </a:ext>
                <a:ext uri="{FF2B5EF4-FFF2-40B4-BE49-F238E27FC236}">
                  <a16:creationId xmlns:a16="http://schemas.microsoft.com/office/drawing/2014/main" id="{00000000-0008-0000-2700-000003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66675</xdr:rowOff>
        </xdr:from>
        <xdr:to>
          <xdr:col>0</xdr:col>
          <xdr:colOff>1371600</xdr:colOff>
          <xdr:row>5</xdr:row>
          <xdr:rowOff>142875</xdr:rowOff>
        </xdr:to>
        <xdr:sp macro="" textlink="">
          <xdr:nvSpPr>
            <xdr:cNvPr id="49156" name="RWC" hidden="1">
              <a:extLst>
                <a:ext uri="{63B3BB69-23CF-44E3-9099-C40C66FF867C}">
                  <a14:compatExt spid="_x0000_s49156"/>
                </a:ext>
                <a:ext uri="{FF2B5EF4-FFF2-40B4-BE49-F238E27FC236}">
                  <a16:creationId xmlns:a16="http://schemas.microsoft.com/office/drawing/2014/main" id="{00000000-0008-0000-2700-000004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123825</xdr:rowOff>
        </xdr:from>
        <xdr:to>
          <xdr:col>0</xdr:col>
          <xdr:colOff>1371600</xdr:colOff>
          <xdr:row>6</xdr:row>
          <xdr:rowOff>200025</xdr:rowOff>
        </xdr:to>
        <xdr:sp macro="" textlink="">
          <xdr:nvSpPr>
            <xdr:cNvPr id="49157" name="PAH" hidden="1">
              <a:extLst>
                <a:ext uri="{63B3BB69-23CF-44E3-9099-C40C66FF867C}">
                  <a14:compatExt spid="_x0000_s49157"/>
                </a:ext>
                <a:ext uri="{FF2B5EF4-FFF2-40B4-BE49-F238E27FC236}">
                  <a16:creationId xmlns:a16="http://schemas.microsoft.com/office/drawing/2014/main" id="{00000000-0008-0000-2700-000005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200025</xdr:rowOff>
        </xdr:from>
        <xdr:to>
          <xdr:col>0</xdr:col>
          <xdr:colOff>1371600</xdr:colOff>
          <xdr:row>8</xdr:row>
          <xdr:rowOff>66675</xdr:rowOff>
        </xdr:to>
        <xdr:sp macro="" textlink="">
          <xdr:nvSpPr>
            <xdr:cNvPr id="49158" name="CM" hidden="1">
              <a:extLst>
                <a:ext uri="{63B3BB69-23CF-44E3-9099-C40C66FF867C}">
                  <a14:compatExt spid="_x0000_s49158"/>
                </a:ext>
                <a:ext uri="{FF2B5EF4-FFF2-40B4-BE49-F238E27FC236}">
                  <a16:creationId xmlns:a16="http://schemas.microsoft.com/office/drawing/2014/main" id="{00000000-0008-0000-2700-000006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76200</xdr:rowOff>
        </xdr:from>
        <xdr:to>
          <xdr:col>0</xdr:col>
          <xdr:colOff>1371600</xdr:colOff>
          <xdr:row>9</xdr:row>
          <xdr:rowOff>152400</xdr:rowOff>
        </xdr:to>
        <xdr:sp macro="" textlink="">
          <xdr:nvSpPr>
            <xdr:cNvPr id="49159" name="FCU" hidden="1">
              <a:extLst>
                <a:ext uri="{63B3BB69-23CF-44E3-9099-C40C66FF867C}">
                  <a14:compatExt spid="_x0000_s49159"/>
                </a:ext>
                <a:ext uri="{FF2B5EF4-FFF2-40B4-BE49-F238E27FC236}">
                  <a16:creationId xmlns:a16="http://schemas.microsoft.com/office/drawing/2014/main" id="{00000000-0008-0000-2700-000007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9525</xdr:rowOff>
        </xdr:from>
        <xdr:to>
          <xdr:col>0</xdr:col>
          <xdr:colOff>1371600</xdr:colOff>
          <xdr:row>12</xdr:row>
          <xdr:rowOff>85725</xdr:rowOff>
        </xdr:to>
        <xdr:sp macro="" textlink="">
          <xdr:nvSpPr>
            <xdr:cNvPr id="49160" name="Chemical" hidden="1">
              <a:extLst>
                <a:ext uri="{63B3BB69-23CF-44E3-9099-C40C66FF867C}">
                  <a14:compatExt spid="_x0000_s49160"/>
                </a:ext>
                <a:ext uri="{FF2B5EF4-FFF2-40B4-BE49-F238E27FC236}">
                  <a16:creationId xmlns:a16="http://schemas.microsoft.com/office/drawing/2014/main" id="{00000000-0008-0000-2700-000008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142875</xdr:rowOff>
        </xdr:from>
        <xdr:to>
          <xdr:col>0</xdr:col>
          <xdr:colOff>1371600</xdr:colOff>
          <xdr:row>11</xdr:row>
          <xdr:rowOff>9525</xdr:rowOff>
        </xdr:to>
        <xdr:sp macro="" textlink="">
          <xdr:nvSpPr>
            <xdr:cNvPr id="49161" name="Ecology" hidden="1">
              <a:extLst>
                <a:ext uri="{63B3BB69-23CF-44E3-9099-C40C66FF867C}">
                  <a14:compatExt spid="_x0000_s49161"/>
                </a:ext>
                <a:ext uri="{FF2B5EF4-FFF2-40B4-BE49-F238E27FC236}">
                  <a16:creationId xmlns:a16="http://schemas.microsoft.com/office/drawing/2014/main" id="{00000000-0008-0000-2700-000009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76200</xdr:rowOff>
        </xdr:from>
        <xdr:to>
          <xdr:col>0</xdr:col>
          <xdr:colOff>1371600</xdr:colOff>
          <xdr:row>13</xdr:row>
          <xdr:rowOff>152400</xdr:rowOff>
        </xdr:to>
        <xdr:sp macro="" textlink="">
          <xdr:nvSpPr>
            <xdr:cNvPr id="49162" name="PPH" hidden="1">
              <a:extLst>
                <a:ext uri="{63B3BB69-23CF-44E3-9099-C40C66FF867C}">
                  <a14:compatExt spid="_x0000_s49162"/>
                </a:ext>
                <a:ext uri="{FF2B5EF4-FFF2-40B4-BE49-F238E27FC236}">
                  <a16:creationId xmlns:a16="http://schemas.microsoft.com/office/drawing/2014/main" id="{00000000-0008-0000-2700-00000A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161925</xdr:rowOff>
        </xdr:from>
        <xdr:to>
          <xdr:col>0</xdr:col>
          <xdr:colOff>1371600</xdr:colOff>
          <xdr:row>15</xdr:row>
          <xdr:rowOff>28575</xdr:rowOff>
        </xdr:to>
        <xdr:sp macro="" textlink="">
          <xdr:nvSpPr>
            <xdr:cNvPr id="49163" name="PWM" hidden="1">
              <a:extLst>
                <a:ext uri="{63B3BB69-23CF-44E3-9099-C40C66FF867C}">
                  <a14:compatExt spid="_x0000_s49163"/>
                </a:ext>
                <a:ext uri="{FF2B5EF4-FFF2-40B4-BE49-F238E27FC236}">
                  <a16:creationId xmlns:a16="http://schemas.microsoft.com/office/drawing/2014/main" id="{00000000-0008-0000-2700-00000B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38100</xdr:rowOff>
        </xdr:from>
        <xdr:to>
          <xdr:col>0</xdr:col>
          <xdr:colOff>1371600</xdr:colOff>
          <xdr:row>16</xdr:row>
          <xdr:rowOff>114300</xdr:rowOff>
        </xdr:to>
        <xdr:sp macro="" textlink="">
          <xdr:nvSpPr>
            <xdr:cNvPr id="49164" name="DSP_AHU" hidden="1">
              <a:extLst>
                <a:ext uri="{63B3BB69-23CF-44E3-9099-C40C66FF867C}">
                  <a14:compatExt spid="_x0000_s49164"/>
                </a:ext>
                <a:ext uri="{FF2B5EF4-FFF2-40B4-BE49-F238E27FC236}">
                  <a16:creationId xmlns:a16="http://schemas.microsoft.com/office/drawing/2014/main" id="{00000000-0008-0000-2700-00000C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142875</xdr:rowOff>
        </xdr:from>
        <xdr:to>
          <xdr:col>0</xdr:col>
          <xdr:colOff>1371600</xdr:colOff>
          <xdr:row>18</xdr:row>
          <xdr:rowOff>9525</xdr:rowOff>
        </xdr:to>
        <xdr:sp macro="" textlink="">
          <xdr:nvSpPr>
            <xdr:cNvPr id="49165" name="DSP_CM" hidden="1">
              <a:extLst>
                <a:ext uri="{63B3BB69-23CF-44E3-9099-C40C66FF867C}">
                  <a14:compatExt spid="_x0000_s49165"/>
                </a:ext>
                <a:ext uri="{FF2B5EF4-FFF2-40B4-BE49-F238E27FC236}">
                  <a16:creationId xmlns:a16="http://schemas.microsoft.com/office/drawing/2014/main" id="{00000000-0008-0000-2700-00000D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76200</xdr:rowOff>
        </xdr:from>
        <xdr:to>
          <xdr:col>0</xdr:col>
          <xdr:colOff>1371600</xdr:colOff>
          <xdr:row>19</xdr:row>
          <xdr:rowOff>152400</xdr:rowOff>
        </xdr:to>
        <xdr:sp macro="" textlink="">
          <xdr:nvSpPr>
            <xdr:cNvPr id="49166" name="PASC" hidden="1">
              <a:extLst>
                <a:ext uri="{63B3BB69-23CF-44E3-9099-C40C66FF867C}">
                  <a14:compatExt spid="_x0000_s49166"/>
                </a:ext>
                <a:ext uri="{FF2B5EF4-FFF2-40B4-BE49-F238E27FC236}">
                  <a16:creationId xmlns:a16="http://schemas.microsoft.com/office/drawing/2014/main" id="{00000000-0008-0000-2700-00000E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200025</xdr:rowOff>
        </xdr:from>
        <xdr:to>
          <xdr:col>0</xdr:col>
          <xdr:colOff>1371600</xdr:colOff>
          <xdr:row>21</xdr:row>
          <xdr:rowOff>66675</xdr:rowOff>
        </xdr:to>
        <xdr:sp macro="" textlink="">
          <xdr:nvSpPr>
            <xdr:cNvPr id="49167" name="PASC_WM" hidden="1">
              <a:extLst>
                <a:ext uri="{63B3BB69-23CF-44E3-9099-C40C66FF867C}">
                  <a14:compatExt spid="_x0000_s49167"/>
                </a:ext>
                <a:ext uri="{FF2B5EF4-FFF2-40B4-BE49-F238E27FC236}">
                  <a16:creationId xmlns:a16="http://schemas.microsoft.com/office/drawing/2014/main" id="{00000000-0008-0000-2700-00000F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85725</xdr:rowOff>
        </xdr:from>
        <xdr:to>
          <xdr:col>0</xdr:col>
          <xdr:colOff>1371600</xdr:colOff>
          <xdr:row>22</xdr:row>
          <xdr:rowOff>161925</xdr:rowOff>
        </xdr:to>
        <xdr:sp macro="" textlink="">
          <xdr:nvSpPr>
            <xdr:cNvPr id="49168" name="CRAH" hidden="1">
              <a:extLst>
                <a:ext uri="{63B3BB69-23CF-44E3-9099-C40C66FF867C}">
                  <a14:compatExt spid="_x0000_s49168"/>
                </a:ext>
                <a:ext uri="{FF2B5EF4-FFF2-40B4-BE49-F238E27FC236}">
                  <a16:creationId xmlns:a16="http://schemas.microsoft.com/office/drawing/2014/main" id="{00000000-0008-0000-2700-000010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180975</xdr:rowOff>
        </xdr:from>
        <xdr:to>
          <xdr:col>0</xdr:col>
          <xdr:colOff>1371600</xdr:colOff>
          <xdr:row>24</xdr:row>
          <xdr:rowOff>47625</xdr:rowOff>
        </xdr:to>
        <xdr:sp macro="" textlink="">
          <xdr:nvSpPr>
            <xdr:cNvPr id="49169" name="PDU" hidden="1">
              <a:extLst>
                <a:ext uri="{63B3BB69-23CF-44E3-9099-C40C66FF867C}">
                  <a14:compatExt spid="_x0000_s49169"/>
                </a:ext>
                <a:ext uri="{FF2B5EF4-FFF2-40B4-BE49-F238E27FC236}">
                  <a16:creationId xmlns:a16="http://schemas.microsoft.com/office/drawing/2014/main" id="{00000000-0008-0000-2700-00001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104775</xdr:rowOff>
        </xdr:from>
        <xdr:to>
          <xdr:col>0</xdr:col>
          <xdr:colOff>1371600</xdr:colOff>
          <xdr:row>25</xdr:row>
          <xdr:rowOff>180975</xdr:rowOff>
        </xdr:to>
        <xdr:sp macro="" textlink="">
          <xdr:nvSpPr>
            <xdr:cNvPr id="49170" name="PSU" hidden="1">
              <a:extLst>
                <a:ext uri="{63B3BB69-23CF-44E3-9099-C40C66FF867C}">
                  <a14:compatExt spid="_x0000_s49170"/>
                </a:ext>
                <a:ext uri="{FF2B5EF4-FFF2-40B4-BE49-F238E27FC236}">
                  <a16:creationId xmlns:a16="http://schemas.microsoft.com/office/drawing/2014/main" id="{00000000-0008-0000-2700-00001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1371600</xdr:colOff>
          <xdr:row>27</xdr:row>
          <xdr:rowOff>76200</xdr:rowOff>
        </xdr:to>
        <xdr:sp macro="" textlink="">
          <xdr:nvSpPr>
            <xdr:cNvPr id="49171" name="Sheet_1" hidden="1">
              <a:extLst>
                <a:ext uri="{63B3BB69-23CF-44E3-9099-C40C66FF867C}">
                  <a14:compatExt spid="_x0000_s49171"/>
                </a:ext>
                <a:ext uri="{FF2B5EF4-FFF2-40B4-BE49-F238E27FC236}">
                  <a16:creationId xmlns:a16="http://schemas.microsoft.com/office/drawing/2014/main" id="{00000000-0008-0000-2700-000013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95250</xdr:rowOff>
        </xdr:from>
        <xdr:to>
          <xdr:col>0</xdr:col>
          <xdr:colOff>1371600</xdr:colOff>
          <xdr:row>28</xdr:row>
          <xdr:rowOff>171450</xdr:rowOff>
        </xdr:to>
        <xdr:sp macro="" textlink="">
          <xdr:nvSpPr>
            <xdr:cNvPr id="49172" name="Sheet_2" hidden="1">
              <a:extLst>
                <a:ext uri="{63B3BB69-23CF-44E3-9099-C40C66FF867C}">
                  <a14:compatExt spid="_x0000_s49172"/>
                </a:ext>
                <a:ext uri="{FF2B5EF4-FFF2-40B4-BE49-F238E27FC236}">
                  <a16:creationId xmlns:a16="http://schemas.microsoft.com/office/drawing/2014/main" id="{00000000-0008-0000-2700-000014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200025</xdr:rowOff>
        </xdr:from>
        <xdr:to>
          <xdr:col>0</xdr:col>
          <xdr:colOff>1371600</xdr:colOff>
          <xdr:row>30</xdr:row>
          <xdr:rowOff>66675</xdr:rowOff>
        </xdr:to>
        <xdr:sp macro="" textlink="">
          <xdr:nvSpPr>
            <xdr:cNvPr id="49173" name="Sheet_3" hidden="1">
              <a:extLst>
                <a:ext uri="{63B3BB69-23CF-44E3-9099-C40C66FF867C}">
                  <a14:compatExt spid="_x0000_s49173"/>
                </a:ext>
                <a:ext uri="{FF2B5EF4-FFF2-40B4-BE49-F238E27FC236}">
                  <a16:creationId xmlns:a16="http://schemas.microsoft.com/office/drawing/2014/main" id="{00000000-0008-0000-2700-000015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xdr:row>
          <xdr:rowOff>47625</xdr:rowOff>
        </xdr:from>
        <xdr:to>
          <xdr:col>0</xdr:col>
          <xdr:colOff>809625</xdr:colOff>
          <xdr:row>3</xdr:row>
          <xdr:rowOff>114300</xdr:rowOff>
        </xdr:to>
        <xdr:sp macro="" textlink="">
          <xdr:nvSpPr>
            <xdr:cNvPr id="60417" name="APSA" hidden="1">
              <a:extLst>
                <a:ext uri="{63B3BB69-23CF-44E3-9099-C40C66FF867C}">
                  <a14:compatExt spid="_x0000_s60417"/>
                </a:ext>
                <a:ext uri="{FF2B5EF4-FFF2-40B4-BE49-F238E27FC236}">
                  <a16:creationId xmlns:a16="http://schemas.microsoft.com/office/drawing/2014/main" id="{00000000-0008-0000-2900-00000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3</xdr:row>
          <xdr:rowOff>38100</xdr:rowOff>
        </xdr:from>
        <xdr:to>
          <xdr:col>0</xdr:col>
          <xdr:colOff>1085850</xdr:colOff>
          <xdr:row>4</xdr:row>
          <xdr:rowOff>200025</xdr:rowOff>
        </xdr:to>
        <xdr:sp macro="" textlink="">
          <xdr:nvSpPr>
            <xdr:cNvPr id="60418" name="PSC" hidden="1">
              <a:extLst>
                <a:ext uri="{63B3BB69-23CF-44E3-9099-C40C66FF867C}">
                  <a14:compatExt spid="_x0000_s60418"/>
                </a:ext>
                <a:ext uri="{FF2B5EF4-FFF2-40B4-BE49-F238E27FC236}">
                  <a16:creationId xmlns:a16="http://schemas.microsoft.com/office/drawing/2014/main" id="{00000000-0008-0000-29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4</xdr:row>
          <xdr:rowOff>114300</xdr:rowOff>
        </xdr:from>
        <xdr:to>
          <xdr:col>0</xdr:col>
          <xdr:colOff>809625</xdr:colOff>
          <xdr:row>5</xdr:row>
          <xdr:rowOff>180975</xdr:rowOff>
        </xdr:to>
        <xdr:sp macro="" textlink="">
          <xdr:nvSpPr>
            <xdr:cNvPr id="60419" name="RWC" hidden="1">
              <a:extLst>
                <a:ext uri="{63B3BB69-23CF-44E3-9099-C40C66FF867C}">
                  <a14:compatExt spid="_x0000_s60419"/>
                </a:ext>
                <a:ext uri="{FF2B5EF4-FFF2-40B4-BE49-F238E27FC236}">
                  <a16:creationId xmlns:a16="http://schemas.microsoft.com/office/drawing/2014/main" id="{00000000-0008-0000-29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xdr:row>
          <xdr:rowOff>390525</xdr:rowOff>
        </xdr:from>
        <xdr:to>
          <xdr:col>1</xdr:col>
          <xdr:colOff>1390650</xdr:colOff>
          <xdr:row>3</xdr:row>
          <xdr:rowOff>133350</xdr:rowOff>
        </xdr:to>
        <xdr:sp macro="" textlink="">
          <xdr:nvSpPr>
            <xdr:cNvPr id="60420" name="PPH" hidden="1">
              <a:extLst>
                <a:ext uri="{63B3BB69-23CF-44E3-9099-C40C66FF867C}">
                  <a14:compatExt spid="_x0000_s60420"/>
                </a:ext>
                <a:ext uri="{FF2B5EF4-FFF2-40B4-BE49-F238E27FC236}">
                  <a16:creationId xmlns:a16="http://schemas.microsoft.com/office/drawing/2014/main" id="{00000000-0008-0000-29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3</xdr:row>
          <xdr:rowOff>19050</xdr:rowOff>
        </xdr:from>
        <xdr:to>
          <xdr:col>1</xdr:col>
          <xdr:colOff>1447800</xdr:colOff>
          <xdr:row>4</xdr:row>
          <xdr:rowOff>123825</xdr:rowOff>
        </xdr:to>
        <xdr:sp macro="" textlink="">
          <xdr:nvSpPr>
            <xdr:cNvPr id="60421" name="PWM" hidden="1">
              <a:extLst>
                <a:ext uri="{63B3BB69-23CF-44E3-9099-C40C66FF867C}">
                  <a14:compatExt spid="_x0000_s60421"/>
                </a:ext>
                <a:ext uri="{FF2B5EF4-FFF2-40B4-BE49-F238E27FC236}">
                  <a16:creationId xmlns:a16="http://schemas.microsoft.com/office/drawing/2014/main" id="{00000000-0008-0000-29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xdr:row>
          <xdr:rowOff>85725</xdr:rowOff>
        </xdr:from>
        <xdr:to>
          <xdr:col>1</xdr:col>
          <xdr:colOff>1771650</xdr:colOff>
          <xdr:row>5</xdr:row>
          <xdr:rowOff>209550</xdr:rowOff>
        </xdr:to>
        <xdr:sp macro="" textlink="">
          <xdr:nvSpPr>
            <xdr:cNvPr id="60423" name="Mini_Split" hidden="1">
              <a:extLst>
                <a:ext uri="{63B3BB69-23CF-44E3-9099-C40C66FF867C}">
                  <a14:compatExt spid="_x0000_s60423"/>
                </a:ext>
                <a:ext uri="{FF2B5EF4-FFF2-40B4-BE49-F238E27FC236}">
                  <a16:creationId xmlns:a16="http://schemas.microsoft.com/office/drawing/2014/main" id="{00000000-0008-0000-29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8</xdr:row>
          <xdr:rowOff>76200</xdr:rowOff>
        </xdr:from>
        <xdr:to>
          <xdr:col>1</xdr:col>
          <xdr:colOff>1019175</xdr:colOff>
          <xdr:row>9</xdr:row>
          <xdr:rowOff>142875</xdr:rowOff>
        </xdr:to>
        <xdr:sp macro="" textlink="">
          <xdr:nvSpPr>
            <xdr:cNvPr id="60424" name="PASC" hidden="1">
              <a:extLst>
                <a:ext uri="{63B3BB69-23CF-44E3-9099-C40C66FF867C}">
                  <a14:compatExt spid="_x0000_s60424"/>
                </a:ext>
                <a:ext uri="{FF2B5EF4-FFF2-40B4-BE49-F238E27FC236}">
                  <a16:creationId xmlns:a16="http://schemas.microsoft.com/office/drawing/2014/main" id="{00000000-0008-0000-29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xdr:row>
          <xdr:rowOff>95250</xdr:rowOff>
        </xdr:from>
        <xdr:to>
          <xdr:col>1</xdr:col>
          <xdr:colOff>1028700</xdr:colOff>
          <xdr:row>10</xdr:row>
          <xdr:rowOff>161925</xdr:rowOff>
        </xdr:to>
        <xdr:sp macro="" textlink="">
          <xdr:nvSpPr>
            <xdr:cNvPr id="60425" name="PASC_WM" hidden="1">
              <a:extLst>
                <a:ext uri="{63B3BB69-23CF-44E3-9099-C40C66FF867C}">
                  <a14:compatExt spid="_x0000_s60425"/>
                </a:ext>
                <a:ext uri="{FF2B5EF4-FFF2-40B4-BE49-F238E27FC236}">
                  <a16:creationId xmlns:a16="http://schemas.microsoft.com/office/drawing/2014/main" id="{00000000-0008-0000-29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10</xdr:row>
          <xdr:rowOff>123825</xdr:rowOff>
        </xdr:from>
        <xdr:to>
          <xdr:col>1</xdr:col>
          <xdr:colOff>1285875</xdr:colOff>
          <xdr:row>10</xdr:row>
          <xdr:rowOff>400050</xdr:rowOff>
        </xdr:to>
        <xdr:sp macro="" textlink="">
          <xdr:nvSpPr>
            <xdr:cNvPr id="60426" name="PASC_InRow" hidden="1">
              <a:extLst>
                <a:ext uri="{63B3BB69-23CF-44E3-9099-C40C66FF867C}">
                  <a14:compatExt spid="_x0000_s60426"/>
                </a:ext>
                <a:ext uri="{FF2B5EF4-FFF2-40B4-BE49-F238E27FC236}">
                  <a16:creationId xmlns:a16="http://schemas.microsoft.com/office/drawing/2014/main" id="{00000000-0008-0000-29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8</xdr:row>
          <xdr:rowOff>38100</xdr:rowOff>
        </xdr:from>
        <xdr:to>
          <xdr:col>0</xdr:col>
          <xdr:colOff>1552575</xdr:colOff>
          <xdr:row>9</xdr:row>
          <xdr:rowOff>104775</xdr:rowOff>
        </xdr:to>
        <xdr:sp macro="" textlink="">
          <xdr:nvSpPr>
            <xdr:cNvPr id="60428" name="AHU_CM_FCU" hidden="1">
              <a:extLst>
                <a:ext uri="{63B3BB69-23CF-44E3-9099-C40C66FF867C}">
                  <a14:compatExt spid="_x0000_s60428"/>
                </a:ext>
                <a:ext uri="{FF2B5EF4-FFF2-40B4-BE49-F238E27FC236}">
                  <a16:creationId xmlns:a16="http://schemas.microsoft.com/office/drawing/2014/main" id="{00000000-0008-0000-2900-00000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85725</xdr:rowOff>
        </xdr:from>
        <xdr:to>
          <xdr:col>0</xdr:col>
          <xdr:colOff>1552575</xdr:colOff>
          <xdr:row>10</xdr:row>
          <xdr:rowOff>152400</xdr:rowOff>
        </xdr:to>
        <xdr:sp macro="" textlink="">
          <xdr:nvSpPr>
            <xdr:cNvPr id="60429" name="PCC" hidden="1">
              <a:extLst>
                <a:ext uri="{63B3BB69-23CF-44E3-9099-C40C66FF867C}">
                  <a14:compatExt spid="_x0000_s60429"/>
                </a:ext>
                <a:ext uri="{FF2B5EF4-FFF2-40B4-BE49-F238E27FC236}">
                  <a16:creationId xmlns:a16="http://schemas.microsoft.com/office/drawing/2014/main" id="{00000000-0008-0000-2900-00000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10</xdr:row>
          <xdr:rowOff>114300</xdr:rowOff>
        </xdr:from>
        <xdr:to>
          <xdr:col>0</xdr:col>
          <xdr:colOff>1009650</xdr:colOff>
          <xdr:row>11</xdr:row>
          <xdr:rowOff>0</xdr:rowOff>
        </xdr:to>
        <xdr:sp macro="" textlink="">
          <xdr:nvSpPr>
            <xdr:cNvPr id="60430" name="PWC" hidden="1">
              <a:extLst>
                <a:ext uri="{63B3BB69-23CF-44E3-9099-C40C66FF867C}">
                  <a14:compatExt spid="_x0000_s60430"/>
                </a:ext>
                <a:ext uri="{FF2B5EF4-FFF2-40B4-BE49-F238E27FC236}">
                  <a16:creationId xmlns:a16="http://schemas.microsoft.com/office/drawing/2014/main" id="{00000000-0008-0000-2900-00000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13</xdr:row>
          <xdr:rowOff>38100</xdr:rowOff>
        </xdr:from>
        <xdr:to>
          <xdr:col>0</xdr:col>
          <xdr:colOff>1628775</xdr:colOff>
          <xdr:row>14</xdr:row>
          <xdr:rowOff>104775</xdr:rowOff>
        </xdr:to>
        <xdr:sp macro="" textlink="">
          <xdr:nvSpPr>
            <xdr:cNvPr id="60431" name="Explosion_Proof" hidden="1">
              <a:extLst>
                <a:ext uri="{63B3BB69-23CF-44E3-9099-C40C66FF867C}">
                  <a14:compatExt spid="_x0000_s60431"/>
                </a:ext>
                <a:ext uri="{FF2B5EF4-FFF2-40B4-BE49-F238E27FC236}">
                  <a16:creationId xmlns:a16="http://schemas.microsoft.com/office/drawing/2014/main" id="{00000000-0008-0000-2900-00000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781050</xdr:colOff>
          <xdr:row>21</xdr:row>
          <xdr:rowOff>238125</xdr:rowOff>
        </xdr:from>
        <xdr:to>
          <xdr:col>1</xdr:col>
          <xdr:colOff>990600</xdr:colOff>
          <xdr:row>22</xdr:row>
          <xdr:rowOff>142875</xdr:rowOff>
        </xdr:to>
        <xdr:sp macro="" textlink="">
          <xdr:nvSpPr>
            <xdr:cNvPr id="60432" name="SASO" hidden="1">
              <a:extLst>
                <a:ext uri="{63B3BB69-23CF-44E3-9099-C40C66FF867C}">
                  <a14:compatExt spid="_x0000_s60432"/>
                </a:ext>
                <a:ext uri="{FF2B5EF4-FFF2-40B4-BE49-F238E27FC236}">
                  <a16:creationId xmlns:a16="http://schemas.microsoft.com/office/drawing/2014/main" id="{00000000-0008-0000-2900-00001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68</xdr:col>
      <xdr:colOff>57150</xdr:colOff>
      <xdr:row>39</xdr:row>
      <xdr:rowOff>57150</xdr:rowOff>
    </xdr:from>
    <xdr:to>
      <xdr:col>68</xdr:col>
      <xdr:colOff>541782</xdr:colOff>
      <xdr:row>45</xdr:row>
      <xdr:rowOff>35433</xdr:rowOff>
    </xdr:to>
    <xdr:sp macro="" textlink="">
      <xdr:nvSpPr>
        <xdr:cNvPr id="2" name="Down Arrow 1">
          <a:extLst>
            <a:ext uri="{FF2B5EF4-FFF2-40B4-BE49-F238E27FC236}">
              <a16:creationId xmlns:a16="http://schemas.microsoft.com/office/drawing/2014/main" id="{00000000-0008-0000-2200-000002000000}"/>
            </a:ext>
          </a:extLst>
        </xdr:cNvPr>
        <xdr:cNvSpPr/>
      </xdr:nvSpPr>
      <xdr:spPr>
        <a:xfrm rot="10800000">
          <a:off x="4953000" y="5791200"/>
          <a:ext cx="484632" cy="113080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vert" rtlCol="0" anchor="ctr"/>
        <a:lstStyle/>
        <a:p>
          <a:pPr algn="ctr"/>
          <a:r>
            <a:rPr lang="en-US" sz="1100" b="1">
              <a:ln>
                <a:noFill/>
              </a:ln>
            </a:rPr>
            <a:t>Water</a:t>
          </a:r>
          <a:r>
            <a:rPr lang="en-US" sz="1100">
              <a:ln>
                <a:noFill/>
              </a:ln>
            </a:rPr>
            <a:t> </a:t>
          </a:r>
          <a:r>
            <a:rPr lang="en-US" sz="1100" b="1">
              <a:ln>
                <a:noFill/>
              </a:ln>
            </a:rPr>
            <a:t>Pressure</a:t>
          </a:r>
        </a:p>
      </xdr:txBody>
    </xdr:sp>
    <xdr:clientData/>
  </xdr:twoCellAnchor>
  <xdr:twoCellAnchor>
    <xdr:from>
      <xdr:col>87</xdr:col>
      <xdr:colOff>57150</xdr:colOff>
      <xdr:row>39</xdr:row>
      <xdr:rowOff>57150</xdr:rowOff>
    </xdr:from>
    <xdr:to>
      <xdr:col>87</xdr:col>
      <xdr:colOff>541782</xdr:colOff>
      <xdr:row>45</xdr:row>
      <xdr:rowOff>35433</xdr:rowOff>
    </xdr:to>
    <xdr:sp macro="" textlink="">
      <xdr:nvSpPr>
        <xdr:cNvPr id="3" name="Down Arrow 1">
          <a:extLst>
            <a:ext uri="{FF2B5EF4-FFF2-40B4-BE49-F238E27FC236}">
              <a16:creationId xmlns:a16="http://schemas.microsoft.com/office/drawing/2014/main" id="{00000000-0008-0000-2200-000003000000}"/>
            </a:ext>
          </a:extLst>
        </xdr:cNvPr>
        <xdr:cNvSpPr/>
      </xdr:nvSpPr>
      <xdr:spPr>
        <a:xfrm rot="10800000">
          <a:off x="4667250" y="6019800"/>
          <a:ext cx="484632" cy="113080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vert" rtlCol="0" anchor="ctr"/>
        <a:lstStyle/>
        <a:p>
          <a:pPr algn="ctr"/>
          <a:r>
            <a:rPr lang="en-US" sz="1100" b="1">
              <a:ln>
                <a:noFill/>
              </a:ln>
            </a:rPr>
            <a:t>Water</a:t>
          </a:r>
          <a:r>
            <a:rPr lang="en-US" sz="1100">
              <a:ln>
                <a:noFill/>
              </a:ln>
            </a:rPr>
            <a:t> </a:t>
          </a:r>
          <a:r>
            <a:rPr lang="en-US" sz="1100" b="1">
              <a:ln>
                <a:noFill/>
              </a:ln>
            </a:rPr>
            <a:t>Pressure</a:t>
          </a:r>
        </a:p>
      </xdr:txBody>
    </xdr:sp>
    <xdr:clientData/>
  </xdr:twoCellAnchor>
  <mc:AlternateContent xmlns:mc="http://schemas.openxmlformats.org/markup-compatibility/2006">
    <mc:Choice xmlns:a14="http://schemas.microsoft.com/office/drawing/2010/main" Requires="a14">
      <xdr:twoCellAnchor editAs="oneCell">
        <xdr:from>
          <xdr:col>0</xdr:col>
          <xdr:colOff>66675</xdr:colOff>
          <xdr:row>14</xdr:row>
          <xdr:rowOff>85725</xdr:rowOff>
        </xdr:from>
        <xdr:to>
          <xdr:col>0</xdr:col>
          <xdr:colOff>1676400</xdr:colOff>
          <xdr:row>14</xdr:row>
          <xdr:rowOff>361950</xdr:rowOff>
        </xdr:to>
        <xdr:sp macro="" textlink="">
          <xdr:nvSpPr>
            <xdr:cNvPr id="60433" name="EXPROOF50" hidden="1">
              <a:extLst>
                <a:ext uri="{63B3BB69-23CF-44E3-9099-C40C66FF867C}">
                  <a14:compatExt spid="_x0000_s60433"/>
                </a:ext>
                <a:ext uri="{FF2B5EF4-FFF2-40B4-BE49-F238E27FC236}">
                  <a16:creationId xmlns:a16="http://schemas.microsoft.com/office/drawing/2014/main" id="{00000000-0008-0000-2900-00001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18</xdr:row>
          <xdr:rowOff>238125</xdr:rowOff>
        </xdr:from>
        <xdr:to>
          <xdr:col>1</xdr:col>
          <xdr:colOff>1847850</xdr:colOff>
          <xdr:row>19</xdr:row>
          <xdr:rowOff>209550</xdr:rowOff>
        </xdr:to>
        <xdr:sp macro="" textlink="">
          <xdr:nvSpPr>
            <xdr:cNvPr id="60435" name="PETRA_Cataloge" hidden="1">
              <a:extLst>
                <a:ext uri="{63B3BB69-23CF-44E3-9099-C40C66FF867C}">
                  <a14:compatExt spid="_x0000_s60435"/>
                </a:ext>
                <a:ext uri="{FF2B5EF4-FFF2-40B4-BE49-F238E27FC236}">
                  <a16:creationId xmlns:a16="http://schemas.microsoft.com/office/drawing/2014/main" id="{00000000-0008-0000-2900-00001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28</xdr:row>
          <xdr:rowOff>190500</xdr:rowOff>
        </xdr:from>
        <xdr:to>
          <xdr:col>0</xdr:col>
          <xdr:colOff>1571625</xdr:colOff>
          <xdr:row>29</xdr:row>
          <xdr:rowOff>257175</xdr:rowOff>
        </xdr:to>
        <xdr:sp macro="" textlink="">
          <xdr:nvSpPr>
            <xdr:cNvPr id="60436" name="Accessories" hidden="1">
              <a:extLst>
                <a:ext uri="{63B3BB69-23CF-44E3-9099-C40C66FF867C}">
                  <a14:compatExt spid="_x0000_s60436"/>
                </a:ext>
                <a:ext uri="{FF2B5EF4-FFF2-40B4-BE49-F238E27FC236}">
                  <a16:creationId xmlns:a16="http://schemas.microsoft.com/office/drawing/2014/main" id="{00000000-0008-0000-2900-00001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xdr:row>
          <xdr:rowOff>9525</xdr:rowOff>
        </xdr:from>
        <xdr:to>
          <xdr:col>0</xdr:col>
          <xdr:colOff>1562100</xdr:colOff>
          <xdr:row>24</xdr:row>
          <xdr:rowOff>314325</xdr:rowOff>
        </xdr:to>
        <xdr:sp macro="" textlink="">
          <xdr:nvSpPr>
            <xdr:cNvPr id="60437" name="Refrigeration" hidden="1">
              <a:extLst>
                <a:ext uri="{63B3BB69-23CF-44E3-9099-C40C66FF867C}">
                  <a14:compatExt spid="_x0000_s60437"/>
                </a:ext>
                <a:ext uri="{FF2B5EF4-FFF2-40B4-BE49-F238E27FC236}">
                  <a16:creationId xmlns:a16="http://schemas.microsoft.com/office/drawing/2014/main" id="{00000000-0008-0000-2900-00001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24</xdr:row>
          <xdr:rowOff>400050</xdr:rowOff>
        </xdr:from>
        <xdr:to>
          <xdr:col>0</xdr:col>
          <xdr:colOff>1419225</xdr:colOff>
          <xdr:row>25</xdr:row>
          <xdr:rowOff>304800</xdr:rowOff>
        </xdr:to>
        <xdr:sp macro="" textlink="">
          <xdr:nvSpPr>
            <xdr:cNvPr id="60438" name="Electrical" hidden="1">
              <a:extLst>
                <a:ext uri="{63B3BB69-23CF-44E3-9099-C40C66FF867C}">
                  <a14:compatExt spid="_x0000_s60438"/>
                </a:ext>
                <a:ext uri="{FF2B5EF4-FFF2-40B4-BE49-F238E27FC236}">
                  <a16:creationId xmlns:a16="http://schemas.microsoft.com/office/drawing/2014/main" id="{00000000-0008-0000-2900-00001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25</xdr:row>
          <xdr:rowOff>419100</xdr:rowOff>
        </xdr:from>
        <xdr:to>
          <xdr:col>0</xdr:col>
          <xdr:colOff>1571625</xdr:colOff>
          <xdr:row>26</xdr:row>
          <xdr:rowOff>304800</xdr:rowOff>
        </xdr:to>
        <xdr:sp macro="" textlink="">
          <xdr:nvSpPr>
            <xdr:cNvPr id="60439" name="Sections" hidden="1">
              <a:extLst>
                <a:ext uri="{63B3BB69-23CF-44E3-9099-C40C66FF867C}">
                  <a14:compatExt spid="_x0000_s60439"/>
                </a:ext>
                <a:ext uri="{FF2B5EF4-FFF2-40B4-BE49-F238E27FC236}">
                  <a16:creationId xmlns:a16="http://schemas.microsoft.com/office/drawing/2014/main" id="{00000000-0008-0000-2900-00001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1600200</xdr:colOff>
          <xdr:row>24</xdr:row>
          <xdr:rowOff>333375</xdr:rowOff>
        </xdr:from>
        <xdr:to>
          <xdr:col>1</xdr:col>
          <xdr:colOff>1847850</xdr:colOff>
          <xdr:row>30</xdr:row>
          <xdr:rowOff>114300</xdr:rowOff>
        </xdr:to>
        <xdr:sp macro="" textlink="">
          <xdr:nvSpPr>
            <xdr:cNvPr id="60441" name="DataSheet_Sub_Category" hidden="1">
              <a:extLst>
                <a:ext uri="{63B3BB69-23CF-44E3-9099-C40C66FF867C}">
                  <a14:compatExt spid="_x0000_s60441"/>
                </a:ext>
                <a:ext uri="{FF2B5EF4-FFF2-40B4-BE49-F238E27FC236}">
                  <a16:creationId xmlns:a16="http://schemas.microsoft.com/office/drawing/2014/main" id="{00000000-0008-0000-2900-00001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26</xdr:row>
          <xdr:rowOff>400050</xdr:rowOff>
        </xdr:from>
        <xdr:to>
          <xdr:col>0</xdr:col>
          <xdr:colOff>1581150</xdr:colOff>
          <xdr:row>28</xdr:row>
          <xdr:rowOff>57150</xdr:rowOff>
        </xdr:to>
        <xdr:sp macro="" textlink="">
          <xdr:nvSpPr>
            <xdr:cNvPr id="60442" name="Construction" hidden="1">
              <a:extLst>
                <a:ext uri="{63B3BB69-23CF-44E3-9099-C40C66FF867C}">
                  <a14:compatExt spid="_x0000_s60442"/>
                </a:ext>
                <a:ext uri="{FF2B5EF4-FFF2-40B4-BE49-F238E27FC236}">
                  <a16:creationId xmlns:a16="http://schemas.microsoft.com/office/drawing/2014/main" id="{00000000-0008-0000-2900-00001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1</xdr:row>
          <xdr:rowOff>38100</xdr:rowOff>
        </xdr:from>
        <xdr:to>
          <xdr:col>1</xdr:col>
          <xdr:colOff>752475</xdr:colOff>
          <xdr:row>2</xdr:row>
          <xdr:rowOff>85725</xdr:rowOff>
        </xdr:to>
        <xdr:sp macro="" textlink="">
          <xdr:nvSpPr>
            <xdr:cNvPr id="89089" name="PAH"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895350</xdr:colOff>
          <xdr:row>1</xdr:row>
          <xdr:rowOff>38100</xdr:rowOff>
        </xdr:from>
        <xdr:to>
          <xdr:col>1</xdr:col>
          <xdr:colOff>1600200</xdr:colOff>
          <xdr:row>2</xdr:row>
          <xdr:rowOff>85725</xdr:rowOff>
        </xdr:to>
        <xdr:sp macro="" textlink="">
          <xdr:nvSpPr>
            <xdr:cNvPr id="89090" name="PPH" hidden="1">
              <a:extLst>
                <a:ext uri="{63B3BB69-23CF-44E3-9099-C40C66FF867C}">
                  <a14:compatExt spid="_x0000_s89090"/>
                </a:ext>
                <a:ext uri="{FF2B5EF4-FFF2-40B4-BE49-F238E27FC236}">
                  <a16:creationId xmlns:a16="http://schemas.microsoft.com/office/drawing/2014/main" id="{00000000-0008-0000-2B00-000002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4</xdr:row>
          <xdr:rowOff>19050</xdr:rowOff>
        </xdr:from>
        <xdr:to>
          <xdr:col>1</xdr:col>
          <xdr:colOff>962025</xdr:colOff>
          <xdr:row>5</xdr:row>
          <xdr:rowOff>66675</xdr:rowOff>
        </xdr:to>
        <xdr:sp macro="" textlink="">
          <xdr:nvSpPr>
            <xdr:cNvPr id="89091" name="Insulation1" hidden="1">
              <a:extLst>
                <a:ext uri="{63B3BB69-23CF-44E3-9099-C40C66FF867C}">
                  <a14:compatExt spid="_x0000_s89091"/>
                </a:ext>
                <a:ext uri="{FF2B5EF4-FFF2-40B4-BE49-F238E27FC236}">
                  <a16:creationId xmlns:a16="http://schemas.microsoft.com/office/drawing/2014/main" id="{00000000-0008-0000-2B00-000003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5</xdr:row>
          <xdr:rowOff>28575</xdr:rowOff>
        </xdr:from>
        <xdr:to>
          <xdr:col>1</xdr:col>
          <xdr:colOff>1152525</xdr:colOff>
          <xdr:row>6</xdr:row>
          <xdr:rowOff>76200</xdr:rowOff>
        </xdr:to>
        <xdr:sp macro="" textlink="">
          <xdr:nvSpPr>
            <xdr:cNvPr id="89092" name="Insulation2" hidden="1">
              <a:extLst>
                <a:ext uri="{63B3BB69-23CF-44E3-9099-C40C66FF867C}">
                  <a14:compatExt spid="_x0000_s89092"/>
                </a:ext>
                <a:ext uri="{FF2B5EF4-FFF2-40B4-BE49-F238E27FC236}">
                  <a16:creationId xmlns:a16="http://schemas.microsoft.com/office/drawing/2014/main" id="{00000000-0008-0000-2B00-000004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7</xdr:row>
          <xdr:rowOff>219075</xdr:rowOff>
        </xdr:from>
        <xdr:to>
          <xdr:col>1</xdr:col>
          <xdr:colOff>1152525</xdr:colOff>
          <xdr:row>9</xdr:row>
          <xdr:rowOff>28575</xdr:rowOff>
        </xdr:to>
        <xdr:sp macro="" textlink="">
          <xdr:nvSpPr>
            <xdr:cNvPr id="89093" name="Roof_Cover" hidden="1">
              <a:extLst>
                <a:ext uri="{63B3BB69-23CF-44E3-9099-C40C66FF867C}">
                  <a14:compatExt spid="_x0000_s89093"/>
                </a:ext>
                <a:ext uri="{FF2B5EF4-FFF2-40B4-BE49-F238E27FC236}">
                  <a16:creationId xmlns:a16="http://schemas.microsoft.com/office/drawing/2014/main" id="{00000000-0008-0000-2B00-000005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8</xdr:row>
          <xdr:rowOff>190500</xdr:rowOff>
        </xdr:from>
        <xdr:to>
          <xdr:col>1</xdr:col>
          <xdr:colOff>1152525</xdr:colOff>
          <xdr:row>10</xdr:row>
          <xdr:rowOff>0</xdr:rowOff>
        </xdr:to>
        <xdr:sp macro="" textlink="">
          <xdr:nvSpPr>
            <xdr:cNvPr id="89094" name="Roof_Canopy" hidden="1">
              <a:extLst>
                <a:ext uri="{63B3BB69-23CF-44E3-9099-C40C66FF867C}">
                  <a14:compatExt spid="_x0000_s89094"/>
                </a:ext>
                <a:ext uri="{FF2B5EF4-FFF2-40B4-BE49-F238E27FC236}">
                  <a16:creationId xmlns:a16="http://schemas.microsoft.com/office/drawing/2014/main" id="{00000000-0008-0000-2B00-000006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9</xdr:row>
          <xdr:rowOff>190500</xdr:rowOff>
        </xdr:from>
        <xdr:to>
          <xdr:col>1</xdr:col>
          <xdr:colOff>1152525</xdr:colOff>
          <xdr:row>11</xdr:row>
          <xdr:rowOff>0</xdr:rowOff>
        </xdr:to>
        <xdr:sp macro="" textlink="">
          <xdr:nvSpPr>
            <xdr:cNvPr id="89095" name="Indoor" hidden="1">
              <a:extLst>
                <a:ext uri="{63B3BB69-23CF-44E3-9099-C40C66FF867C}">
                  <a14:compatExt spid="_x0000_s89095"/>
                </a:ext>
                <a:ext uri="{FF2B5EF4-FFF2-40B4-BE49-F238E27FC236}">
                  <a16:creationId xmlns:a16="http://schemas.microsoft.com/office/drawing/2014/main" id="{00000000-0008-0000-2B00-000007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14</xdr:row>
          <xdr:rowOff>0</xdr:rowOff>
        </xdr:from>
        <xdr:to>
          <xdr:col>1</xdr:col>
          <xdr:colOff>1590675</xdr:colOff>
          <xdr:row>15</xdr:row>
          <xdr:rowOff>47625</xdr:rowOff>
        </xdr:to>
        <xdr:sp macro="" textlink="">
          <xdr:nvSpPr>
            <xdr:cNvPr id="89100" name="Base140" hidden="1">
              <a:extLst>
                <a:ext uri="{63B3BB69-23CF-44E3-9099-C40C66FF867C}">
                  <a14:compatExt spid="_x0000_s89100"/>
                </a:ext>
                <a:ext uri="{FF2B5EF4-FFF2-40B4-BE49-F238E27FC236}">
                  <a16:creationId xmlns:a16="http://schemas.microsoft.com/office/drawing/2014/main" id="{00000000-0008-0000-2B00-00000C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12</xdr:row>
          <xdr:rowOff>228600</xdr:rowOff>
        </xdr:from>
        <xdr:to>
          <xdr:col>1</xdr:col>
          <xdr:colOff>1590675</xdr:colOff>
          <xdr:row>14</xdr:row>
          <xdr:rowOff>38100</xdr:rowOff>
        </xdr:to>
        <xdr:sp macro="" textlink="">
          <xdr:nvSpPr>
            <xdr:cNvPr id="89101" name="Base100" hidden="1">
              <a:extLst>
                <a:ext uri="{63B3BB69-23CF-44E3-9099-C40C66FF867C}">
                  <a14:compatExt spid="_x0000_s89101"/>
                </a:ext>
                <a:ext uri="{FF2B5EF4-FFF2-40B4-BE49-F238E27FC236}">
                  <a16:creationId xmlns:a16="http://schemas.microsoft.com/office/drawing/2014/main" id="{00000000-0008-0000-2B00-00000D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15</xdr:row>
          <xdr:rowOff>0</xdr:rowOff>
        </xdr:from>
        <xdr:to>
          <xdr:col>1</xdr:col>
          <xdr:colOff>1514475</xdr:colOff>
          <xdr:row>16</xdr:row>
          <xdr:rowOff>47625</xdr:rowOff>
        </xdr:to>
        <xdr:sp macro="" textlink="">
          <xdr:nvSpPr>
            <xdr:cNvPr id="89102" name="Base180" hidden="1">
              <a:extLst>
                <a:ext uri="{63B3BB69-23CF-44E3-9099-C40C66FF867C}">
                  <a14:compatExt spid="_x0000_s89102"/>
                </a:ext>
                <a:ext uri="{FF2B5EF4-FFF2-40B4-BE49-F238E27FC236}">
                  <a16:creationId xmlns:a16="http://schemas.microsoft.com/office/drawing/2014/main" id="{00000000-0008-0000-2B00-00000E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0</xdr:row>
          <xdr:rowOff>285750</xdr:rowOff>
        </xdr:from>
        <xdr:to>
          <xdr:col>2</xdr:col>
          <xdr:colOff>1171575</xdr:colOff>
          <xdr:row>2</xdr:row>
          <xdr:rowOff>38100</xdr:rowOff>
        </xdr:to>
        <xdr:sp macro="" textlink="">
          <xdr:nvSpPr>
            <xdr:cNvPr id="89103" name="BeltFan" hidden="1">
              <a:extLst>
                <a:ext uri="{63B3BB69-23CF-44E3-9099-C40C66FF867C}">
                  <a14:compatExt spid="_x0000_s89103"/>
                </a:ext>
                <a:ext uri="{FF2B5EF4-FFF2-40B4-BE49-F238E27FC236}">
                  <a16:creationId xmlns:a16="http://schemas.microsoft.com/office/drawing/2014/main" id="{00000000-0008-0000-2B00-00000F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1228725</xdr:colOff>
          <xdr:row>1</xdr:row>
          <xdr:rowOff>9525</xdr:rowOff>
        </xdr:from>
        <xdr:to>
          <xdr:col>2</xdr:col>
          <xdr:colOff>2286000</xdr:colOff>
          <xdr:row>2</xdr:row>
          <xdr:rowOff>57150</xdr:rowOff>
        </xdr:to>
        <xdr:sp macro="" textlink="">
          <xdr:nvSpPr>
            <xdr:cNvPr id="89104" name="ECFan" hidden="1">
              <a:extLst>
                <a:ext uri="{63B3BB69-23CF-44E3-9099-C40C66FF867C}">
                  <a14:compatExt spid="_x0000_s89104"/>
                </a:ext>
                <a:ext uri="{FF2B5EF4-FFF2-40B4-BE49-F238E27FC236}">
                  <a16:creationId xmlns:a16="http://schemas.microsoft.com/office/drawing/2014/main" id="{00000000-0008-0000-2B00-000010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xdr:row>
          <xdr:rowOff>190500</xdr:rowOff>
        </xdr:from>
        <xdr:to>
          <xdr:col>2</xdr:col>
          <xdr:colOff>1190625</xdr:colOff>
          <xdr:row>3</xdr:row>
          <xdr:rowOff>0</xdr:rowOff>
        </xdr:to>
        <xdr:sp macro="" textlink="">
          <xdr:nvSpPr>
            <xdr:cNvPr id="89105" name="PlenumFan" hidden="1">
              <a:extLst>
                <a:ext uri="{63B3BB69-23CF-44E3-9099-C40C66FF867C}">
                  <a14:compatExt spid="_x0000_s89105"/>
                </a:ext>
                <a:ext uri="{FF2B5EF4-FFF2-40B4-BE49-F238E27FC236}">
                  <a16:creationId xmlns:a16="http://schemas.microsoft.com/office/drawing/2014/main" id="{00000000-0008-0000-2B00-00001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7</xdr:row>
          <xdr:rowOff>0</xdr:rowOff>
        </xdr:from>
        <xdr:to>
          <xdr:col>2</xdr:col>
          <xdr:colOff>1171575</xdr:colOff>
          <xdr:row>8</xdr:row>
          <xdr:rowOff>47625</xdr:rowOff>
        </xdr:to>
        <xdr:sp macro="" textlink="">
          <xdr:nvSpPr>
            <xdr:cNvPr id="89106" name="Fan_Access_Door" hidden="1">
              <a:extLst>
                <a:ext uri="{63B3BB69-23CF-44E3-9099-C40C66FF867C}">
                  <a14:compatExt spid="_x0000_s89106"/>
                </a:ext>
                <a:ext uri="{FF2B5EF4-FFF2-40B4-BE49-F238E27FC236}">
                  <a16:creationId xmlns:a16="http://schemas.microsoft.com/office/drawing/2014/main" id="{00000000-0008-0000-2B00-000012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5</xdr:row>
          <xdr:rowOff>228600</xdr:rowOff>
        </xdr:from>
        <xdr:to>
          <xdr:col>2</xdr:col>
          <xdr:colOff>1171575</xdr:colOff>
          <xdr:row>7</xdr:row>
          <xdr:rowOff>38100</xdr:rowOff>
        </xdr:to>
        <xdr:sp macro="" textlink="">
          <xdr:nvSpPr>
            <xdr:cNvPr id="89107" name="Fan_Access_Panel" hidden="1">
              <a:extLst>
                <a:ext uri="{63B3BB69-23CF-44E3-9099-C40C66FF867C}">
                  <a14:compatExt spid="_x0000_s89107"/>
                </a:ext>
                <a:ext uri="{FF2B5EF4-FFF2-40B4-BE49-F238E27FC236}">
                  <a16:creationId xmlns:a16="http://schemas.microsoft.com/office/drawing/2014/main" id="{00000000-0008-0000-2B00-000013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9</xdr:row>
          <xdr:rowOff>228600</xdr:rowOff>
        </xdr:from>
        <xdr:to>
          <xdr:col>2</xdr:col>
          <xdr:colOff>1352550</xdr:colOff>
          <xdr:row>11</xdr:row>
          <xdr:rowOff>19050</xdr:rowOff>
        </xdr:to>
        <xdr:sp macro="" textlink="">
          <xdr:nvSpPr>
            <xdr:cNvPr id="89108" name="Fan_Inspection" hidden="1">
              <a:extLst>
                <a:ext uri="{63B3BB69-23CF-44E3-9099-C40C66FF867C}">
                  <a14:compatExt spid="_x0000_s89108"/>
                </a:ext>
                <a:ext uri="{FF2B5EF4-FFF2-40B4-BE49-F238E27FC236}">
                  <a16:creationId xmlns:a16="http://schemas.microsoft.com/office/drawing/2014/main" id="{00000000-0008-0000-2B00-000014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10</xdr:row>
          <xdr:rowOff>209550</xdr:rowOff>
        </xdr:from>
        <xdr:to>
          <xdr:col>2</xdr:col>
          <xdr:colOff>1352550</xdr:colOff>
          <xdr:row>12</xdr:row>
          <xdr:rowOff>0</xdr:rowOff>
        </xdr:to>
        <xdr:sp macro="" textlink="">
          <xdr:nvSpPr>
            <xdr:cNvPr id="89109" name="Fan_Bulk" hidden="1">
              <a:extLst>
                <a:ext uri="{63B3BB69-23CF-44E3-9099-C40C66FF867C}">
                  <a14:compatExt spid="_x0000_s89109"/>
                </a:ext>
                <a:ext uri="{FF2B5EF4-FFF2-40B4-BE49-F238E27FC236}">
                  <a16:creationId xmlns:a16="http://schemas.microsoft.com/office/drawing/2014/main" id="{00000000-0008-0000-2B00-000015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7</xdr:row>
          <xdr:rowOff>228600</xdr:rowOff>
        </xdr:from>
        <xdr:to>
          <xdr:col>2</xdr:col>
          <xdr:colOff>1647825</xdr:colOff>
          <xdr:row>9</xdr:row>
          <xdr:rowOff>19050</xdr:rowOff>
        </xdr:to>
        <xdr:sp macro="" textlink="">
          <xdr:nvSpPr>
            <xdr:cNvPr id="89110" name="Access_Both" hidden="1">
              <a:extLst>
                <a:ext uri="{63B3BB69-23CF-44E3-9099-C40C66FF867C}">
                  <a14:compatExt spid="_x0000_s89110"/>
                </a:ext>
                <a:ext uri="{FF2B5EF4-FFF2-40B4-BE49-F238E27FC236}">
                  <a16:creationId xmlns:a16="http://schemas.microsoft.com/office/drawing/2014/main" id="{00000000-0008-0000-2B00-000016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1438275</xdr:colOff>
          <xdr:row>6</xdr:row>
          <xdr:rowOff>0</xdr:rowOff>
        </xdr:from>
        <xdr:to>
          <xdr:col>2</xdr:col>
          <xdr:colOff>1981200</xdr:colOff>
          <xdr:row>7</xdr:row>
          <xdr:rowOff>47625</xdr:rowOff>
        </xdr:to>
        <xdr:sp macro="" textlink="">
          <xdr:nvSpPr>
            <xdr:cNvPr id="89111" name="Left_Fan" hidden="1">
              <a:extLst>
                <a:ext uri="{63B3BB69-23CF-44E3-9099-C40C66FF867C}">
                  <a14:compatExt spid="_x0000_s89111"/>
                </a:ext>
                <a:ext uri="{FF2B5EF4-FFF2-40B4-BE49-F238E27FC236}">
                  <a16:creationId xmlns:a16="http://schemas.microsoft.com/office/drawing/2014/main" id="{00000000-0008-0000-2B00-000017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1438275</xdr:colOff>
          <xdr:row>7</xdr:row>
          <xdr:rowOff>0</xdr:rowOff>
        </xdr:from>
        <xdr:to>
          <xdr:col>2</xdr:col>
          <xdr:colOff>1981200</xdr:colOff>
          <xdr:row>8</xdr:row>
          <xdr:rowOff>47625</xdr:rowOff>
        </xdr:to>
        <xdr:sp macro="" textlink="">
          <xdr:nvSpPr>
            <xdr:cNvPr id="89112" name="Right_Fan" hidden="1">
              <a:extLst>
                <a:ext uri="{63B3BB69-23CF-44E3-9099-C40C66FF867C}">
                  <a14:compatExt spid="_x0000_s89112"/>
                </a:ext>
                <a:ext uri="{FF2B5EF4-FFF2-40B4-BE49-F238E27FC236}">
                  <a16:creationId xmlns:a16="http://schemas.microsoft.com/office/drawing/2014/main" id="{00000000-0008-0000-2B00-000018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11</xdr:row>
          <xdr:rowOff>209550</xdr:rowOff>
        </xdr:from>
        <xdr:to>
          <xdr:col>2</xdr:col>
          <xdr:colOff>1638300</xdr:colOff>
          <xdr:row>13</xdr:row>
          <xdr:rowOff>0</xdr:rowOff>
        </xdr:to>
        <xdr:sp macro="" textlink="">
          <xdr:nvSpPr>
            <xdr:cNvPr id="89113" name="Supply_Damper" hidden="1">
              <a:extLst>
                <a:ext uri="{63B3BB69-23CF-44E3-9099-C40C66FF867C}">
                  <a14:compatExt spid="_x0000_s89113"/>
                </a:ext>
                <a:ext uri="{FF2B5EF4-FFF2-40B4-BE49-F238E27FC236}">
                  <a16:creationId xmlns:a16="http://schemas.microsoft.com/office/drawing/2014/main" id="{00000000-0008-0000-2B00-000019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12</xdr:row>
          <xdr:rowOff>180975</xdr:rowOff>
        </xdr:from>
        <xdr:to>
          <xdr:col>2</xdr:col>
          <xdr:colOff>1638300</xdr:colOff>
          <xdr:row>13</xdr:row>
          <xdr:rowOff>209550</xdr:rowOff>
        </xdr:to>
        <xdr:sp macro="" textlink="">
          <xdr:nvSpPr>
            <xdr:cNvPr id="89114" name="Fan_Belt" hidden="1">
              <a:extLst>
                <a:ext uri="{63B3BB69-23CF-44E3-9099-C40C66FF867C}">
                  <a14:compatExt spid="_x0000_s89114"/>
                </a:ext>
                <a:ext uri="{FF2B5EF4-FFF2-40B4-BE49-F238E27FC236}">
                  <a16:creationId xmlns:a16="http://schemas.microsoft.com/office/drawing/2014/main" id="{00000000-0008-0000-2B00-00001A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209550</xdr:rowOff>
        </xdr:from>
        <xdr:to>
          <xdr:col>2</xdr:col>
          <xdr:colOff>1114425</xdr:colOff>
          <xdr:row>17</xdr:row>
          <xdr:rowOff>19050</xdr:rowOff>
        </xdr:to>
        <xdr:sp macro="" textlink="">
          <xdr:nvSpPr>
            <xdr:cNvPr id="89115" name="Sfan_Top" hidden="1">
              <a:extLst>
                <a:ext uri="{63B3BB69-23CF-44E3-9099-C40C66FF867C}">
                  <a14:compatExt spid="_x0000_s89115"/>
                </a:ext>
                <a:ext uri="{FF2B5EF4-FFF2-40B4-BE49-F238E27FC236}">
                  <a16:creationId xmlns:a16="http://schemas.microsoft.com/office/drawing/2014/main" id="{00000000-0008-0000-2B00-00001B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15</xdr:row>
          <xdr:rowOff>9525</xdr:rowOff>
        </xdr:from>
        <xdr:to>
          <xdr:col>2</xdr:col>
          <xdr:colOff>2247900</xdr:colOff>
          <xdr:row>16</xdr:row>
          <xdr:rowOff>57150</xdr:rowOff>
        </xdr:to>
        <xdr:sp macro="" textlink="">
          <xdr:nvSpPr>
            <xdr:cNvPr id="89116" name="Sfan_Side" hidden="1">
              <a:extLst>
                <a:ext uri="{63B3BB69-23CF-44E3-9099-C40C66FF867C}">
                  <a14:compatExt spid="_x0000_s89116"/>
                </a:ext>
                <a:ext uri="{FF2B5EF4-FFF2-40B4-BE49-F238E27FC236}">
                  <a16:creationId xmlns:a16="http://schemas.microsoft.com/office/drawing/2014/main" id="{00000000-0008-0000-2B00-00001C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14</xdr:row>
          <xdr:rowOff>228600</xdr:rowOff>
        </xdr:from>
        <xdr:to>
          <xdr:col>2</xdr:col>
          <xdr:colOff>1152525</xdr:colOff>
          <xdr:row>16</xdr:row>
          <xdr:rowOff>38100</xdr:rowOff>
        </xdr:to>
        <xdr:sp macro="" textlink="">
          <xdr:nvSpPr>
            <xdr:cNvPr id="89117" name="Sfan_Front" hidden="1">
              <a:extLst>
                <a:ext uri="{63B3BB69-23CF-44E3-9099-C40C66FF867C}">
                  <a14:compatExt spid="_x0000_s89117"/>
                </a:ext>
                <a:ext uri="{FF2B5EF4-FFF2-40B4-BE49-F238E27FC236}">
                  <a16:creationId xmlns:a16="http://schemas.microsoft.com/office/drawing/2014/main" id="{00000000-0008-0000-2B00-00001D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1133475</xdr:colOff>
          <xdr:row>15</xdr:row>
          <xdr:rowOff>209550</xdr:rowOff>
        </xdr:from>
        <xdr:to>
          <xdr:col>2</xdr:col>
          <xdr:colOff>2209800</xdr:colOff>
          <xdr:row>17</xdr:row>
          <xdr:rowOff>19050</xdr:rowOff>
        </xdr:to>
        <xdr:sp macro="" textlink="">
          <xdr:nvSpPr>
            <xdr:cNvPr id="89118" name="Sfan_Bot" hidden="1">
              <a:extLst>
                <a:ext uri="{63B3BB69-23CF-44E3-9099-C40C66FF867C}">
                  <a14:compatExt spid="_x0000_s89118"/>
                </a:ext>
                <a:ext uri="{FF2B5EF4-FFF2-40B4-BE49-F238E27FC236}">
                  <a16:creationId xmlns:a16="http://schemas.microsoft.com/office/drawing/2014/main" id="{00000000-0008-0000-2B00-00001E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xdr:row>
          <xdr:rowOff>161925</xdr:rowOff>
        </xdr:from>
        <xdr:to>
          <xdr:col>2</xdr:col>
          <xdr:colOff>1619250</xdr:colOff>
          <xdr:row>3</xdr:row>
          <xdr:rowOff>190500</xdr:rowOff>
        </xdr:to>
        <xdr:sp macro="" textlink="">
          <xdr:nvSpPr>
            <xdr:cNvPr id="89120" name="Motor2_1Fan" hidden="1">
              <a:extLst>
                <a:ext uri="{63B3BB69-23CF-44E3-9099-C40C66FF867C}">
                  <a14:compatExt spid="_x0000_s89120"/>
                </a:ext>
                <a:ext uri="{FF2B5EF4-FFF2-40B4-BE49-F238E27FC236}">
                  <a16:creationId xmlns:a16="http://schemas.microsoft.com/office/drawing/2014/main" id="{00000000-0008-0000-2B00-000020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3</xdr:row>
          <xdr:rowOff>152400</xdr:rowOff>
        </xdr:from>
        <xdr:to>
          <xdr:col>2</xdr:col>
          <xdr:colOff>1619250</xdr:colOff>
          <xdr:row>4</xdr:row>
          <xdr:rowOff>180975</xdr:rowOff>
        </xdr:to>
        <xdr:sp macro="" textlink="">
          <xdr:nvSpPr>
            <xdr:cNvPr id="89121" name="Motor2_2fan" hidden="1">
              <a:extLst>
                <a:ext uri="{63B3BB69-23CF-44E3-9099-C40C66FF867C}">
                  <a14:compatExt spid="_x0000_s89121"/>
                </a:ext>
                <a:ext uri="{FF2B5EF4-FFF2-40B4-BE49-F238E27FC236}">
                  <a16:creationId xmlns:a16="http://schemas.microsoft.com/office/drawing/2014/main" id="{00000000-0008-0000-2B00-00002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18</xdr:row>
          <xdr:rowOff>38100</xdr:rowOff>
        </xdr:from>
        <xdr:to>
          <xdr:col>2</xdr:col>
          <xdr:colOff>1266825</xdr:colOff>
          <xdr:row>19</xdr:row>
          <xdr:rowOff>66675</xdr:rowOff>
        </xdr:to>
        <xdr:sp macro="" textlink="">
          <xdr:nvSpPr>
            <xdr:cNvPr id="89122" name="Sfan_Standby" hidden="1">
              <a:extLst>
                <a:ext uri="{63B3BB69-23CF-44E3-9099-C40C66FF867C}">
                  <a14:compatExt spid="_x0000_s89122"/>
                </a:ext>
                <a:ext uri="{FF2B5EF4-FFF2-40B4-BE49-F238E27FC236}">
                  <a16:creationId xmlns:a16="http://schemas.microsoft.com/office/drawing/2014/main" id="{00000000-0008-0000-2B00-000022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19050</xdr:rowOff>
        </xdr:from>
        <xdr:to>
          <xdr:col>2</xdr:col>
          <xdr:colOff>1657350</xdr:colOff>
          <xdr:row>20</xdr:row>
          <xdr:rowOff>47625</xdr:rowOff>
        </xdr:to>
        <xdr:sp macro="" textlink="">
          <xdr:nvSpPr>
            <xdr:cNvPr id="89123" name="Motor2_1RFan" hidden="1">
              <a:extLst>
                <a:ext uri="{63B3BB69-23CF-44E3-9099-C40C66FF867C}">
                  <a14:compatExt spid="_x0000_s89123"/>
                </a:ext>
                <a:ext uri="{FF2B5EF4-FFF2-40B4-BE49-F238E27FC236}">
                  <a16:creationId xmlns:a16="http://schemas.microsoft.com/office/drawing/2014/main" id="{00000000-0008-0000-2B00-000023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20</xdr:row>
          <xdr:rowOff>0</xdr:rowOff>
        </xdr:from>
        <xdr:to>
          <xdr:col>2</xdr:col>
          <xdr:colOff>1562100</xdr:colOff>
          <xdr:row>21</xdr:row>
          <xdr:rowOff>28575</xdr:rowOff>
        </xdr:to>
        <xdr:sp macro="" textlink="">
          <xdr:nvSpPr>
            <xdr:cNvPr id="89124" name="Motor2_2RFan" hidden="1">
              <a:extLst>
                <a:ext uri="{63B3BB69-23CF-44E3-9099-C40C66FF867C}">
                  <a14:compatExt spid="_x0000_s89124"/>
                </a:ext>
                <a:ext uri="{FF2B5EF4-FFF2-40B4-BE49-F238E27FC236}">
                  <a16:creationId xmlns:a16="http://schemas.microsoft.com/office/drawing/2014/main" id="{00000000-0008-0000-2B00-000024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1276350</xdr:colOff>
          <xdr:row>18</xdr:row>
          <xdr:rowOff>28575</xdr:rowOff>
        </xdr:from>
        <xdr:to>
          <xdr:col>3</xdr:col>
          <xdr:colOff>104775</xdr:colOff>
          <xdr:row>19</xdr:row>
          <xdr:rowOff>57150</xdr:rowOff>
        </xdr:to>
        <xdr:sp macro="" textlink="">
          <xdr:nvSpPr>
            <xdr:cNvPr id="89125" name="Return_Fan" hidden="1">
              <a:extLst>
                <a:ext uri="{63B3BB69-23CF-44E3-9099-C40C66FF867C}">
                  <a14:compatExt spid="_x0000_s89125"/>
                </a:ext>
                <a:ext uri="{FF2B5EF4-FFF2-40B4-BE49-F238E27FC236}">
                  <a16:creationId xmlns:a16="http://schemas.microsoft.com/office/drawing/2014/main" id="{00000000-0008-0000-2B00-000025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1228725</xdr:colOff>
          <xdr:row>1</xdr:row>
          <xdr:rowOff>209550</xdr:rowOff>
        </xdr:from>
        <xdr:to>
          <xdr:col>2</xdr:col>
          <xdr:colOff>2305050</xdr:colOff>
          <xdr:row>3</xdr:row>
          <xdr:rowOff>19050</xdr:rowOff>
        </xdr:to>
        <xdr:sp macro="" textlink="">
          <xdr:nvSpPr>
            <xdr:cNvPr id="89127" name="PlenumFanEPFN" hidden="1">
              <a:extLst>
                <a:ext uri="{63B3BB69-23CF-44E3-9099-C40C66FF867C}">
                  <a14:compatExt spid="_x0000_s89127"/>
                </a:ext>
                <a:ext uri="{FF2B5EF4-FFF2-40B4-BE49-F238E27FC236}">
                  <a16:creationId xmlns:a16="http://schemas.microsoft.com/office/drawing/2014/main" id="{00000000-0008-0000-2B00-000027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1</xdr:row>
          <xdr:rowOff>28575</xdr:rowOff>
        </xdr:from>
        <xdr:to>
          <xdr:col>3</xdr:col>
          <xdr:colOff>1152525</xdr:colOff>
          <xdr:row>2</xdr:row>
          <xdr:rowOff>76200</xdr:rowOff>
        </xdr:to>
        <xdr:sp macro="" textlink="">
          <xdr:nvSpPr>
            <xdr:cNvPr id="89128" name="Damper" hidden="1">
              <a:extLst>
                <a:ext uri="{63B3BB69-23CF-44E3-9099-C40C66FF867C}">
                  <a14:compatExt spid="_x0000_s89128"/>
                </a:ext>
                <a:ext uri="{FF2B5EF4-FFF2-40B4-BE49-F238E27FC236}">
                  <a16:creationId xmlns:a16="http://schemas.microsoft.com/office/drawing/2014/main" id="{00000000-0008-0000-2B00-000028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1257300</xdr:colOff>
          <xdr:row>1</xdr:row>
          <xdr:rowOff>38100</xdr:rowOff>
        </xdr:from>
        <xdr:to>
          <xdr:col>3</xdr:col>
          <xdr:colOff>2314575</xdr:colOff>
          <xdr:row>2</xdr:row>
          <xdr:rowOff>85725</xdr:rowOff>
        </xdr:to>
        <xdr:sp macro="" textlink="">
          <xdr:nvSpPr>
            <xdr:cNvPr id="89129" name="Mixingbox" hidden="1">
              <a:extLst>
                <a:ext uri="{63B3BB69-23CF-44E3-9099-C40C66FF867C}">
                  <a14:compatExt spid="_x0000_s89129"/>
                </a:ext>
                <a:ext uri="{FF2B5EF4-FFF2-40B4-BE49-F238E27FC236}">
                  <a16:creationId xmlns:a16="http://schemas.microsoft.com/office/drawing/2014/main" id="{00000000-0008-0000-2B00-000029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xdr:row>
          <xdr:rowOff>66675</xdr:rowOff>
        </xdr:from>
        <xdr:to>
          <xdr:col>3</xdr:col>
          <xdr:colOff>1152525</xdr:colOff>
          <xdr:row>3</xdr:row>
          <xdr:rowOff>114300</xdr:rowOff>
        </xdr:to>
        <xdr:sp macro="" textlink="">
          <xdr:nvSpPr>
            <xdr:cNvPr id="89130" name="Return_Plenum" hidden="1">
              <a:extLst>
                <a:ext uri="{63B3BB69-23CF-44E3-9099-C40C66FF867C}">
                  <a14:compatExt spid="_x0000_s89130"/>
                </a:ext>
                <a:ext uri="{FF2B5EF4-FFF2-40B4-BE49-F238E27FC236}">
                  <a16:creationId xmlns:a16="http://schemas.microsoft.com/office/drawing/2014/main" id="{00000000-0008-0000-2B00-00002A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1228725</xdr:colOff>
          <xdr:row>2</xdr:row>
          <xdr:rowOff>66675</xdr:rowOff>
        </xdr:from>
        <xdr:to>
          <xdr:col>3</xdr:col>
          <xdr:colOff>2286000</xdr:colOff>
          <xdr:row>3</xdr:row>
          <xdr:rowOff>114300</xdr:rowOff>
        </xdr:to>
        <xdr:sp macro="" textlink="">
          <xdr:nvSpPr>
            <xdr:cNvPr id="89131" name="Economizer" hidden="1">
              <a:extLst>
                <a:ext uri="{63B3BB69-23CF-44E3-9099-C40C66FF867C}">
                  <a14:compatExt spid="_x0000_s89131"/>
                </a:ext>
                <a:ext uri="{FF2B5EF4-FFF2-40B4-BE49-F238E27FC236}">
                  <a16:creationId xmlns:a16="http://schemas.microsoft.com/office/drawing/2014/main" id="{00000000-0008-0000-2B00-00002B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6</xdr:row>
          <xdr:rowOff>38100</xdr:rowOff>
        </xdr:from>
        <xdr:to>
          <xdr:col>3</xdr:col>
          <xdr:colOff>1162050</xdr:colOff>
          <xdr:row>7</xdr:row>
          <xdr:rowOff>85725</xdr:rowOff>
        </xdr:to>
        <xdr:sp macro="" textlink="">
          <xdr:nvSpPr>
            <xdr:cNvPr id="89132" name="Top_Fresh" hidden="1">
              <a:extLst>
                <a:ext uri="{63B3BB69-23CF-44E3-9099-C40C66FF867C}">
                  <a14:compatExt spid="_x0000_s89132"/>
                </a:ext>
                <a:ext uri="{FF2B5EF4-FFF2-40B4-BE49-F238E27FC236}">
                  <a16:creationId xmlns:a16="http://schemas.microsoft.com/office/drawing/2014/main" id="{00000000-0008-0000-2B00-00002C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1171575</xdr:colOff>
          <xdr:row>5</xdr:row>
          <xdr:rowOff>85725</xdr:rowOff>
        </xdr:from>
        <xdr:to>
          <xdr:col>3</xdr:col>
          <xdr:colOff>2295525</xdr:colOff>
          <xdr:row>6</xdr:row>
          <xdr:rowOff>133350</xdr:rowOff>
        </xdr:to>
        <xdr:sp macro="" textlink="">
          <xdr:nvSpPr>
            <xdr:cNvPr id="89133" name="Side_Fresh" hidden="1">
              <a:extLst>
                <a:ext uri="{63B3BB69-23CF-44E3-9099-C40C66FF867C}">
                  <a14:compatExt spid="_x0000_s89133"/>
                </a:ext>
                <a:ext uri="{FF2B5EF4-FFF2-40B4-BE49-F238E27FC236}">
                  <a16:creationId xmlns:a16="http://schemas.microsoft.com/office/drawing/2014/main" id="{00000000-0008-0000-2B00-00002D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xdr:row>
          <xdr:rowOff>66675</xdr:rowOff>
        </xdr:from>
        <xdr:to>
          <xdr:col>3</xdr:col>
          <xdr:colOff>1200150</xdr:colOff>
          <xdr:row>6</xdr:row>
          <xdr:rowOff>114300</xdr:rowOff>
        </xdr:to>
        <xdr:sp macro="" textlink="">
          <xdr:nvSpPr>
            <xdr:cNvPr id="89134" name="Back_Fresh" hidden="1">
              <a:extLst>
                <a:ext uri="{63B3BB69-23CF-44E3-9099-C40C66FF867C}">
                  <a14:compatExt spid="_x0000_s89134"/>
                </a:ext>
                <a:ext uri="{FF2B5EF4-FFF2-40B4-BE49-F238E27FC236}">
                  <a16:creationId xmlns:a16="http://schemas.microsoft.com/office/drawing/2014/main" id="{00000000-0008-0000-2B00-00002E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57150</xdr:rowOff>
        </xdr:from>
        <xdr:to>
          <xdr:col>3</xdr:col>
          <xdr:colOff>1162050</xdr:colOff>
          <xdr:row>11</xdr:row>
          <xdr:rowOff>104775</xdr:rowOff>
        </xdr:to>
        <xdr:sp macro="" textlink="">
          <xdr:nvSpPr>
            <xdr:cNvPr id="89136" name="Top_Return" hidden="1">
              <a:extLst>
                <a:ext uri="{63B3BB69-23CF-44E3-9099-C40C66FF867C}">
                  <a14:compatExt spid="_x0000_s89136"/>
                </a:ext>
                <a:ext uri="{FF2B5EF4-FFF2-40B4-BE49-F238E27FC236}">
                  <a16:creationId xmlns:a16="http://schemas.microsoft.com/office/drawing/2014/main" id="{00000000-0008-0000-2B00-000030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1171575</xdr:colOff>
          <xdr:row>9</xdr:row>
          <xdr:rowOff>95250</xdr:rowOff>
        </xdr:from>
        <xdr:to>
          <xdr:col>3</xdr:col>
          <xdr:colOff>2295525</xdr:colOff>
          <xdr:row>10</xdr:row>
          <xdr:rowOff>142875</xdr:rowOff>
        </xdr:to>
        <xdr:sp macro="" textlink="">
          <xdr:nvSpPr>
            <xdr:cNvPr id="89137" name="Side_Return" hidden="1">
              <a:extLst>
                <a:ext uri="{63B3BB69-23CF-44E3-9099-C40C66FF867C}">
                  <a14:compatExt spid="_x0000_s89137"/>
                </a:ext>
                <a:ext uri="{FF2B5EF4-FFF2-40B4-BE49-F238E27FC236}">
                  <a16:creationId xmlns:a16="http://schemas.microsoft.com/office/drawing/2014/main" id="{00000000-0008-0000-2B00-00003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xdr:row>
          <xdr:rowOff>76200</xdr:rowOff>
        </xdr:from>
        <xdr:to>
          <xdr:col>3</xdr:col>
          <xdr:colOff>1200150</xdr:colOff>
          <xdr:row>10</xdr:row>
          <xdr:rowOff>123825</xdr:rowOff>
        </xdr:to>
        <xdr:sp macro="" textlink="">
          <xdr:nvSpPr>
            <xdr:cNvPr id="89138" name="Back_Return" hidden="1">
              <a:extLst>
                <a:ext uri="{63B3BB69-23CF-44E3-9099-C40C66FF867C}">
                  <a14:compatExt spid="_x0000_s89138"/>
                </a:ext>
                <a:ext uri="{FF2B5EF4-FFF2-40B4-BE49-F238E27FC236}">
                  <a16:creationId xmlns:a16="http://schemas.microsoft.com/office/drawing/2014/main" id="{00000000-0008-0000-2B00-000032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17</xdr:row>
          <xdr:rowOff>200025</xdr:rowOff>
        </xdr:from>
        <xdr:to>
          <xdr:col>3</xdr:col>
          <xdr:colOff>1152525</xdr:colOff>
          <xdr:row>19</xdr:row>
          <xdr:rowOff>9525</xdr:rowOff>
        </xdr:to>
        <xdr:sp macro="" textlink="">
          <xdr:nvSpPr>
            <xdr:cNvPr id="89139" name="Mixing_Access_Door" hidden="1">
              <a:extLst>
                <a:ext uri="{63B3BB69-23CF-44E3-9099-C40C66FF867C}">
                  <a14:compatExt spid="_x0000_s89139"/>
                </a:ext>
                <a:ext uri="{FF2B5EF4-FFF2-40B4-BE49-F238E27FC236}">
                  <a16:creationId xmlns:a16="http://schemas.microsoft.com/office/drawing/2014/main" id="{00000000-0008-0000-2B00-000033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16</xdr:row>
          <xdr:rowOff>228600</xdr:rowOff>
        </xdr:from>
        <xdr:to>
          <xdr:col>3</xdr:col>
          <xdr:colOff>1152525</xdr:colOff>
          <xdr:row>18</xdr:row>
          <xdr:rowOff>38100</xdr:rowOff>
        </xdr:to>
        <xdr:sp macro="" textlink="">
          <xdr:nvSpPr>
            <xdr:cNvPr id="89140" name="Mixing_Access_Panel" hidden="1">
              <a:extLst>
                <a:ext uri="{63B3BB69-23CF-44E3-9099-C40C66FF867C}">
                  <a14:compatExt spid="_x0000_s89140"/>
                </a:ext>
                <a:ext uri="{FF2B5EF4-FFF2-40B4-BE49-F238E27FC236}">
                  <a16:creationId xmlns:a16="http://schemas.microsoft.com/office/drawing/2014/main" id="{00000000-0008-0000-2B00-000034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200025</xdr:rowOff>
        </xdr:from>
        <xdr:to>
          <xdr:col>3</xdr:col>
          <xdr:colOff>1609725</xdr:colOff>
          <xdr:row>19</xdr:row>
          <xdr:rowOff>228600</xdr:rowOff>
        </xdr:to>
        <xdr:sp macro="" textlink="">
          <xdr:nvSpPr>
            <xdr:cNvPr id="89141" name="Mixing_Access_Both" hidden="1">
              <a:extLst>
                <a:ext uri="{63B3BB69-23CF-44E3-9099-C40C66FF867C}">
                  <a14:compatExt spid="_x0000_s89141"/>
                </a:ext>
                <a:ext uri="{FF2B5EF4-FFF2-40B4-BE49-F238E27FC236}">
                  <a16:creationId xmlns:a16="http://schemas.microsoft.com/office/drawing/2014/main" id="{00000000-0008-0000-2B00-000035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1419225</xdr:colOff>
          <xdr:row>17</xdr:row>
          <xdr:rowOff>0</xdr:rowOff>
        </xdr:from>
        <xdr:to>
          <xdr:col>3</xdr:col>
          <xdr:colOff>1962150</xdr:colOff>
          <xdr:row>18</xdr:row>
          <xdr:rowOff>47625</xdr:rowOff>
        </xdr:to>
        <xdr:sp macro="" textlink="">
          <xdr:nvSpPr>
            <xdr:cNvPr id="89142" name="Mixing_Access_Left" hidden="1">
              <a:extLst>
                <a:ext uri="{63B3BB69-23CF-44E3-9099-C40C66FF867C}">
                  <a14:compatExt spid="_x0000_s89142"/>
                </a:ext>
                <a:ext uri="{FF2B5EF4-FFF2-40B4-BE49-F238E27FC236}">
                  <a16:creationId xmlns:a16="http://schemas.microsoft.com/office/drawing/2014/main" id="{00000000-0008-0000-2B00-000036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1419225</xdr:colOff>
          <xdr:row>17</xdr:row>
          <xdr:rowOff>200025</xdr:rowOff>
        </xdr:from>
        <xdr:to>
          <xdr:col>3</xdr:col>
          <xdr:colOff>1962150</xdr:colOff>
          <xdr:row>19</xdr:row>
          <xdr:rowOff>9525</xdr:rowOff>
        </xdr:to>
        <xdr:sp macro="" textlink="">
          <xdr:nvSpPr>
            <xdr:cNvPr id="89143" name="Mixing_Access_Right" hidden="1">
              <a:extLst>
                <a:ext uri="{63B3BB69-23CF-44E3-9099-C40C66FF867C}">
                  <a14:compatExt spid="_x0000_s89143"/>
                </a:ext>
                <a:ext uri="{FF2B5EF4-FFF2-40B4-BE49-F238E27FC236}">
                  <a16:creationId xmlns:a16="http://schemas.microsoft.com/office/drawing/2014/main" id="{00000000-0008-0000-2B00-000037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14</xdr:row>
          <xdr:rowOff>19050</xdr:rowOff>
        </xdr:from>
        <xdr:to>
          <xdr:col>3</xdr:col>
          <xdr:colOff>1162050</xdr:colOff>
          <xdr:row>15</xdr:row>
          <xdr:rowOff>66675</xdr:rowOff>
        </xdr:to>
        <xdr:sp macro="" textlink="">
          <xdr:nvSpPr>
            <xdr:cNvPr id="89144" name="Top_Exhaust" hidden="1">
              <a:extLst>
                <a:ext uri="{63B3BB69-23CF-44E3-9099-C40C66FF867C}">
                  <a14:compatExt spid="_x0000_s89144"/>
                </a:ext>
                <a:ext uri="{FF2B5EF4-FFF2-40B4-BE49-F238E27FC236}">
                  <a16:creationId xmlns:a16="http://schemas.microsoft.com/office/drawing/2014/main" id="{00000000-0008-0000-2B00-000038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1171575</xdr:colOff>
          <xdr:row>13</xdr:row>
          <xdr:rowOff>57150</xdr:rowOff>
        </xdr:from>
        <xdr:to>
          <xdr:col>3</xdr:col>
          <xdr:colOff>2295525</xdr:colOff>
          <xdr:row>14</xdr:row>
          <xdr:rowOff>104775</xdr:rowOff>
        </xdr:to>
        <xdr:sp macro="" textlink="">
          <xdr:nvSpPr>
            <xdr:cNvPr id="89145" name="Side_Exhaust" hidden="1">
              <a:extLst>
                <a:ext uri="{63B3BB69-23CF-44E3-9099-C40C66FF867C}">
                  <a14:compatExt spid="_x0000_s89145"/>
                </a:ext>
                <a:ext uri="{FF2B5EF4-FFF2-40B4-BE49-F238E27FC236}">
                  <a16:creationId xmlns:a16="http://schemas.microsoft.com/office/drawing/2014/main" id="{00000000-0008-0000-2B00-000039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38100</xdr:rowOff>
        </xdr:from>
        <xdr:to>
          <xdr:col>3</xdr:col>
          <xdr:colOff>1200150</xdr:colOff>
          <xdr:row>14</xdr:row>
          <xdr:rowOff>85725</xdr:rowOff>
        </xdr:to>
        <xdr:sp macro="" textlink="">
          <xdr:nvSpPr>
            <xdr:cNvPr id="89146" name="Back_Exhaust" hidden="1">
              <a:extLst>
                <a:ext uri="{63B3BB69-23CF-44E3-9099-C40C66FF867C}">
                  <a14:compatExt spid="_x0000_s89146"/>
                </a:ext>
                <a:ext uri="{FF2B5EF4-FFF2-40B4-BE49-F238E27FC236}">
                  <a16:creationId xmlns:a16="http://schemas.microsoft.com/office/drawing/2014/main" id="{00000000-0008-0000-2B00-00003A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19050</xdr:rowOff>
        </xdr:from>
        <xdr:to>
          <xdr:col>3</xdr:col>
          <xdr:colOff>2000250</xdr:colOff>
          <xdr:row>22</xdr:row>
          <xdr:rowOff>47625</xdr:rowOff>
        </xdr:to>
        <xdr:sp macro="" textlink="">
          <xdr:nvSpPr>
            <xdr:cNvPr id="89150" name="Damper_Return" hidden="1">
              <a:extLst>
                <a:ext uri="{63B3BB69-23CF-44E3-9099-C40C66FF867C}">
                  <a14:compatExt spid="_x0000_s89150"/>
                </a:ext>
                <a:ext uri="{FF2B5EF4-FFF2-40B4-BE49-F238E27FC236}">
                  <a16:creationId xmlns:a16="http://schemas.microsoft.com/office/drawing/2014/main" id="{00000000-0008-0000-2B00-00003E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22</xdr:row>
          <xdr:rowOff>0</xdr:rowOff>
        </xdr:from>
        <xdr:to>
          <xdr:col>3</xdr:col>
          <xdr:colOff>1304925</xdr:colOff>
          <xdr:row>23</xdr:row>
          <xdr:rowOff>38100</xdr:rowOff>
        </xdr:to>
        <xdr:sp macro="" textlink="">
          <xdr:nvSpPr>
            <xdr:cNvPr id="89151" name="Mixing_Inspection" hidden="1">
              <a:extLst>
                <a:ext uri="{63B3BB69-23CF-44E3-9099-C40C66FF867C}">
                  <a14:compatExt spid="_x0000_s89151"/>
                </a:ext>
                <a:ext uri="{FF2B5EF4-FFF2-40B4-BE49-F238E27FC236}">
                  <a16:creationId xmlns:a16="http://schemas.microsoft.com/office/drawing/2014/main" id="{00000000-0008-0000-2B00-00003F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xdr:row>
          <xdr:rowOff>200025</xdr:rowOff>
        </xdr:from>
        <xdr:to>
          <xdr:col>3</xdr:col>
          <xdr:colOff>1285875</xdr:colOff>
          <xdr:row>24</xdr:row>
          <xdr:rowOff>0</xdr:rowOff>
        </xdr:to>
        <xdr:sp macro="" textlink="">
          <xdr:nvSpPr>
            <xdr:cNvPr id="89152" name="Mixing_Bulkhead" hidden="1">
              <a:extLst>
                <a:ext uri="{63B3BB69-23CF-44E3-9099-C40C66FF867C}">
                  <a14:compatExt spid="_x0000_s89152"/>
                </a:ext>
                <a:ext uri="{FF2B5EF4-FFF2-40B4-BE49-F238E27FC236}">
                  <a16:creationId xmlns:a16="http://schemas.microsoft.com/office/drawing/2014/main" id="{00000000-0008-0000-2B00-000040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0</xdr:row>
          <xdr:rowOff>285750</xdr:rowOff>
        </xdr:from>
        <xdr:to>
          <xdr:col>4</xdr:col>
          <xdr:colOff>1152525</xdr:colOff>
          <xdr:row>2</xdr:row>
          <xdr:rowOff>38100</xdr:rowOff>
        </xdr:to>
        <xdr:sp macro="" textlink="">
          <xdr:nvSpPr>
            <xdr:cNvPr id="89153" name="STG1_AL1" hidden="1">
              <a:extLst>
                <a:ext uri="{63B3BB69-23CF-44E3-9099-C40C66FF867C}">
                  <a14:compatExt spid="_x0000_s89153"/>
                </a:ext>
                <a:ext uri="{FF2B5EF4-FFF2-40B4-BE49-F238E27FC236}">
                  <a16:creationId xmlns:a16="http://schemas.microsoft.com/office/drawing/2014/main" id="{00000000-0008-0000-2B00-00004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1247775</xdr:colOff>
          <xdr:row>1</xdr:row>
          <xdr:rowOff>0</xdr:rowOff>
        </xdr:from>
        <xdr:to>
          <xdr:col>4</xdr:col>
          <xdr:colOff>2305050</xdr:colOff>
          <xdr:row>2</xdr:row>
          <xdr:rowOff>47625</xdr:rowOff>
        </xdr:to>
        <xdr:sp macro="" textlink="">
          <xdr:nvSpPr>
            <xdr:cNvPr id="89154" name="STG1_AL2" hidden="1">
              <a:extLst>
                <a:ext uri="{63B3BB69-23CF-44E3-9099-C40C66FF867C}">
                  <a14:compatExt spid="_x0000_s89154"/>
                </a:ext>
                <a:ext uri="{FF2B5EF4-FFF2-40B4-BE49-F238E27FC236}">
                  <a16:creationId xmlns:a16="http://schemas.microsoft.com/office/drawing/2014/main" id="{00000000-0008-0000-2B00-000042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xdr:row>
          <xdr:rowOff>209550</xdr:rowOff>
        </xdr:from>
        <xdr:to>
          <xdr:col>4</xdr:col>
          <xdr:colOff>1162050</xdr:colOff>
          <xdr:row>3</xdr:row>
          <xdr:rowOff>19050</xdr:rowOff>
        </xdr:to>
        <xdr:sp macro="" textlink="">
          <xdr:nvSpPr>
            <xdr:cNvPr id="89155" name="STG1_Pleated" hidden="1">
              <a:extLst>
                <a:ext uri="{63B3BB69-23CF-44E3-9099-C40C66FF867C}">
                  <a14:compatExt spid="_x0000_s89155"/>
                </a:ext>
                <a:ext uri="{FF2B5EF4-FFF2-40B4-BE49-F238E27FC236}">
                  <a16:creationId xmlns:a16="http://schemas.microsoft.com/office/drawing/2014/main" id="{00000000-0008-0000-2B00-000043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1247775</xdr:colOff>
          <xdr:row>1</xdr:row>
          <xdr:rowOff>219075</xdr:rowOff>
        </xdr:from>
        <xdr:to>
          <xdr:col>4</xdr:col>
          <xdr:colOff>2305050</xdr:colOff>
          <xdr:row>3</xdr:row>
          <xdr:rowOff>28575</xdr:rowOff>
        </xdr:to>
        <xdr:sp macro="" textlink="">
          <xdr:nvSpPr>
            <xdr:cNvPr id="89158" name="STG1_ESP" hidden="1">
              <a:extLst>
                <a:ext uri="{63B3BB69-23CF-44E3-9099-C40C66FF867C}">
                  <a14:compatExt spid="_x0000_s89158"/>
                </a:ext>
                <a:ext uri="{FF2B5EF4-FFF2-40B4-BE49-F238E27FC236}">
                  <a16:creationId xmlns:a16="http://schemas.microsoft.com/office/drawing/2014/main" id="{00000000-0008-0000-2B00-000046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5</xdr:row>
          <xdr:rowOff>28575</xdr:rowOff>
        </xdr:from>
        <xdr:to>
          <xdr:col>4</xdr:col>
          <xdr:colOff>1152525</xdr:colOff>
          <xdr:row>6</xdr:row>
          <xdr:rowOff>76200</xdr:rowOff>
        </xdr:to>
        <xdr:sp macro="" textlink="">
          <xdr:nvSpPr>
            <xdr:cNvPr id="89159" name="STG2_AL1" hidden="1">
              <a:extLst>
                <a:ext uri="{63B3BB69-23CF-44E3-9099-C40C66FF867C}">
                  <a14:compatExt spid="_x0000_s89159"/>
                </a:ext>
                <a:ext uri="{FF2B5EF4-FFF2-40B4-BE49-F238E27FC236}">
                  <a16:creationId xmlns:a16="http://schemas.microsoft.com/office/drawing/2014/main" id="{00000000-0008-0000-2B00-000047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1247775</xdr:colOff>
          <xdr:row>5</xdr:row>
          <xdr:rowOff>38100</xdr:rowOff>
        </xdr:from>
        <xdr:to>
          <xdr:col>4</xdr:col>
          <xdr:colOff>2305050</xdr:colOff>
          <xdr:row>6</xdr:row>
          <xdr:rowOff>85725</xdr:rowOff>
        </xdr:to>
        <xdr:sp macro="" textlink="">
          <xdr:nvSpPr>
            <xdr:cNvPr id="89160" name="STG2_AL2" hidden="1">
              <a:extLst>
                <a:ext uri="{63B3BB69-23CF-44E3-9099-C40C66FF867C}">
                  <a14:compatExt spid="_x0000_s89160"/>
                </a:ext>
                <a:ext uri="{FF2B5EF4-FFF2-40B4-BE49-F238E27FC236}">
                  <a16:creationId xmlns:a16="http://schemas.microsoft.com/office/drawing/2014/main" id="{00000000-0008-0000-2B00-000048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6</xdr:row>
          <xdr:rowOff>47625</xdr:rowOff>
        </xdr:from>
        <xdr:to>
          <xdr:col>4</xdr:col>
          <xdr:colOff>1152525</xdr:colOff>
          <xdr:row>7</xdr:row>
          <xdr:rowOff>95250</xdr:rowOff>
        </xdr:to>
        <xdr:sp macro="" textlink="">
          <xdr:nvSpPr>
            <xdr:cNvPr id="89161" name="STG2_Pleated" hidden="1">
              <a:extLst>
                <a:ext uri="{63B3BB69-23CF-44E3-9099-C40C66FF867C}">
                  <a14:compatExt spid="_x0000_s89161"/>
                </a:ext>
                <a:ext uri="{FF2B5EF4-FFF2-40B4-BE49-F238E27FC236}">
                  <a16:creationId xmlns:a16="http://schemas.microsoft.com/office/drawing/2014/main" id="{00000000-0008-0000-2B00-000049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1257300</xdr:colOff>
          <xdr:row>6</xdr:row>
          <xdr:rowOff>57150</xdr:rowOff>
        </xdr:from>
        <xdr:to>
          <xdr:col>4</xdr:col>
          <xdr:colOff>2314575</xdr:colOff>
          <xdr:row>7</xdr:row>
          <xdr:rowOff>104775</xdr:rowOff>
        </xdr:to>
        <xdr:sp macro="" textlink="">
          <xdr:nvSpPr>
            <xdr:cNvPr id="89162" name="STG2_BAG" hidden="1">
              <a:extLst>
                <a:ext uri="{63B3BB69-23CF-44E3-9099-C40C66FF867C}">
                  <a14:compatExt spid="_x0000_s89162"/>
                </a:ext>
                <a:ext uri="{FF2B5EF4-FFF2-40B4-BE49-F238E27FC236}">
                  <a16:creationId xmlns:a16="http://schemas.microsoft.com/office/drawing/2014/main" id="{00000000-0008-0000-2B00-00004A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7</xdr:row>
          <xdr:rowOff>66675</xdr:rowOff>
        </xdr:from>
        <xdr:to>
          <xdr:col>4</xdr:col>
          <xdr:colOff>1152525</xdr:colOff>
          <xdr:row>8</xdr:row>
          <xdr:rowOff>114300</xdr:rowOff>
        </xdr:to>
        <xdr:sp macro="" textlink="">
          <xdr:nvSpPr>
            <xdr:cNvPr id="89163" name="STG2_BAGF9" hidden="1">
              <a:extLst>
                <a:ext uri="{63B3BB69-23CF-44E3-9099-C40C66FF867C}">
                  <a14:compatExt spid="_x0000_s89163"/>
                </a:ext>
                <a:ext uri="{FF2B5EF4-FFF2-40B4-BE49-F238E27FC236}">
                  <a16:creationId xmlns:a16="http://schemas.microsoft.com/office/drawing/2014/main" id="{00000000-0008-0000-2B00-00004B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1266825</xdr:colOff>
          <xdr:row>7</xdr:row>
          <xdr:rowOff>66675</xdr:rowOff>
        </xdr:from>
        <xdr:to>
          <xdr:col>4</xdr:col>
          <xdr:colOff>2324100</xdr:colOff>
          <xdr:row>8</xdr:row>
          <xdr:rowOff>114300</xdr:rowOff>
        </xdr:to>
        <xdr:sp macro="" textlink="">
          <xdr:nvSpPr>
            <xdr:cNvPr id="89164" name="STG2_Chemical" hidden="1">
              <a:extLst>
                <a:ext uri="{63B3BB69-23CF-44E3-9099-C40C66FF867C}">
                  <a14:compatExt spid="_x0000_s89164"/>
                </a:ext>
                <a:ext uri="{FF2B5EF4-FFF2-40B4-BE49-F238E27FC236}">
                  <a16:creationId xmlns:a16="http://schemas.microsoft.com/office/drawing/2014/main" id="{00000000-0008-0000-2B00-00004C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8</xdr:row>
          <xdr:rowOff>76200</xdr:rowOff>
        </xdr:from>
        <xdr:to>
          <xdr:col>4</xdr:col>
          <xdr:colOff>1152525</xdr:colOff>
          <xdr:row>9</xdr:row>
          <xdr:rowOff>123825</xdr:rowOff>
        </xdr:to>
        <xdr:sp macro="" textlink="">
          <xdr:nvSpPr>
            <xdr:cNvPr id="89165" name="STG2_Carbon" hidden="1">
              <a:extLst>
                <a:ext uri="{63B3BB69-23CF-44E3-9099-C40C66FF867C}">
                  <a14:compatExt spid="_x0000_s89165"/>
                </a:ext>
                <a:ext uri="{FF2B5EF4-FFF2-40B4-BE49-F238E27FC236}">
                  <a16:creationId xmlns:a16="http://schemas.microsoft.com/office/drawing/2014/main" id="{00000000-0008-0000-2B00-00004D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xdr:colOff>
          <xdr:row>11</xdr:row>
          <xdr:rowOff>9525</xdr:rowOff>
        </xdr:from>
        <xdr:to>
          <xdr:col>4</xdr:col>
          <xdr:colOff>1181100</xdr:colOff>
          <xdr:row>12</xdr:row>
          <xdr:rowOff>57150</xdr:rowOff>
        </xdr:to>
        <xdr:sp macro="" textlink="">
          <xdr:nvSpPr>
            <xdr:cNvPr id="89167" name="STG3_Pleated" hidden="1">
              <a:extLst>
                <a:ext uri="{63B3BB69-23CF-44E3-9099-C40C66FF867C}">
                  <a14:compatExt spid="_x0000_s89167"/>
                </a:ext>
                <a:ext uri="{FF2B5EF4-FFF2-40B4-BE49-F238E27FC236}">
                  <a16:creationId xmlns:a16="http://schemas.microsoft.com/office/drawing/2014/main" id="{00000000-0008-0000-2B00-00004F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1285875</xdr:colOff>
          <xdr:row>11</xdr:row>
          <xdr:rowOff>19050</xdr:rowOff>
        </xdr:from>
        <xdr:to>
          <xdr:col>4</xdr:col>
          <xdr:colOff>2343150</xdr:colOff>
          <xdr:row>12</xdr:row>
          <xdr:rowOff>66675</xdr:rowOff>
        </xdr:to>
        <xdr:sp macro="" textlink="">
          <xdr:nvSpPr>
            <xdr:cNvPr id="89168" name="STG3_BAG" hidden="1">
              <a:extLst>
                <a:ext uri="{63B3BB69-23CF-44E3-9099-C40C66FF867C}">
                  <a14:compatExt spid="_x0000_s89168"/>
                </a:ext>
                <a:ext uri="{FF2B5EF4-FFF2-40B4-BE49-F238E27FC236}">
                  <a16:creationId xmlns:a16="http://schemas.microsoft.com/office/drawing/2014/main" id="{00000000-0008-0000-2B00-000050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xdr:colOff>
          <xdr:row>12</xdr:row>
          <xdr:rowOff>9525</xdr:rowOff>
        </xdr:from>
        <xdr:to>
          <xdr:col>4</xdr:col>
          <xdr:colOff>1181100</xdr:colOff>
          <xdr:row>13</xdr:row>
          <xdr:rowOff>57150</xdr:rowOff>
        </xdr:to>
        <xdr:sp macro="" textlink="">
          <xdr:nvSpPr>
            <xdr:cNvPr id="89169" name="STG3_BAGF9" hidden="1">
              <a:extLst>
                <a:ext uri="{63B3BB69-23CF-44E3-9099-C40C66FF867C}">
                  <a14:compatExt spid="_x0000_s89169"/>
                </a:ext>
                <a:ext uri="{FF2B5EF4-FFF2-40B4-BE49-F238E27FC236}">
                  <a16:creationId xmlns:a16="http://schemas.microsoft.com/office/drawing/2014/main" id="{00000000-0008-0000-2B00-00005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1295400</xdr:colOff>
          <xdr:row>12</xdr:row>
          <xdr:rowOff>9525</xdr:rowOff>
        </xdr:from>
        <xdr:to>
          <xdr:col>4</xdr:col>
          <xdr:colOff>2352675</xdr:colOff>
          <xdr:row>13</xdr:row>
          <xdr:rowOff>57150</xdr:rowOff>
        </xdr:to>
        <xdr:sp macro="" textlink="">
          <xdr:nvSpPr>
            <xdr:cNvPr id="89170" name="STG3_Chemical" hidden="1">
              <a:extLst>
                <a:ext uri="{63B3BB69-23CF-44E3-9099-C40C66FF867C}">
                  <a14:compatExt spid="_x0000_s89170"/>
                </a:ext>
                <a:ext uri="{FF2B5EF4-FFF2-40B4-BE49-F238E27FC236}">
                  <a16:creationId xmlns:a16="http://schemas.microsoft.com/office/drawing/2014/main" id="{00000000-0008-0000-2B00-000052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xdr:colOff>
          <xdr:row>12</xdr:row>
          <xdr:rowOff>219075</xdr:rowOff>
        </xdr:from>
        <xdr:to>
          <xdr:col>4</xdr:col>
          <xdr:colOff>1181100</xdr:colOff>
          <xdr:row>14</xdr:row>
          <xdr:rowOff>28575</xdr:rowOff>
        </xdr:to>
        <xdr:sp macro="" textlink="">
          <xdr:nvSpPr>
            <xdr:cNvPr id="89171" name="STG3_Carbon" hidden="1">
              <a:extLst>
                <a:ext uri="{63B3BB69-23CF-44E3-9099-C40C66FF867C}">
                  <a14:compatExt spid="_x0000_s89171"/>
                </a:ext>
                <a:ext uri="{FF2B5EF4-FFF2-40B4-BE49-F238E27FC236}">
                  <a16:creationId xmlns:a16="http://schemas.microsoft.com/office/drawing/2014/main" id="{00000000-0008-0000-2B00-000053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1285875</xdr:colOff>
          <xdr:row>13</xdr:row>
          <xdr:rowOff>9525</xdr:rowOff>
        </xdr:from>
        <xdr:to>
          <xdr:col>4</xdr:col>
          <xdr:colOff>2343150</xdr:colOff>
          <xdr:row>14</xdr:row>
          <xdr:rowOff>57150</xdr:rowOff>
        </xdr:to>
        <xdr:sp macro="" textlink="">
          <xdr:nvSpPr>
            <xdr:cNvPr id="89172" name="STG3_HEPA" hidden="1">
              <a:extLst>
                <a:ext uri="{63B3BB69-23CF-44E3-9099-C40C66FF867C}">
                  <a14:compatExt spid="_x0000_s89172"/>
                </a:ext>
                <a:ext uri="{FF2B5EF4-FFF2-40B4-BE49-F238E27FC236}">
                  <a16:creationId xmlns:a16="http://schemas.microsoft.com/office/drawing/2014/main" id="{00000000-0008-0000-2B00-000054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xdr:colOff>
          <xdr:row>16</xdr:row>
          <xdr:rowOff>76200</xdr:rowOff>
        </xdr:from>
        <xdr:to>
          <xdr:col>4</xdr:col>
          <xdr:colOff>1181100</xdr:colOff>
          <xdr:row>17</xdr:row>
          <xdr:rowOff>123825</xdr:rowOff>
        </xdr:to>
        <xdr:sp macro="" textlink="">
          <xdr:nvSpPr>
            <xdr:cNvPr id="89174" name="STG4_BAG" hidden="1">
              <a:extLst>
                <a:ext uri="{63B3BB69-23CF-44E3-9099-C40C66FF867C}">
                  <a14:compatExt spid="_x0000_s89174"/>
                </a:ext>
                <a:ext uri="{FF2B5EF4-FFF2-40B4-BE49-F238E27FC236}">
                  <a16:creationId xmlns:a16="http://schemas.microsoft.com/office/drawing/2014/main" id="{00000000-0008-0000-2B00-000056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1276350</xdr:colOff>
          <xdr:row>16</xdr:row>
          <xdr:rowOff>66675</xdr:rowOff>
        </xdr:from>
        <xdr:to>
          <xdr:col>4</xdr:col>
          <xdr:colOff>2333625</xdr:colOff>
          <xdr:row>17</xdr:row>
          <xdr:rowOff>114300</xdr:rowOff>
        </xdr:to>
        <xdr:sp macro="" textlink="">
          <xdr:nvSpPr>
            <xdr:cNvPr id="89175" name="STG4_BAGF9" hidden="1">
              <a:extLst>
                <a:ext uri="{63B3BB69-23CF-44E3-9099-C40C66FF867C}">
                  <a14:compatExt spid="_x0000_s89175"/>
                </a:ext>
                <a:ext uri="{FF2B5EF4-FFF2-40B4-BE49-F238E27FC236}">
                  <a16:creationId xmlns:a16="http://schemas.microsoft.com/office/drawing/2014/main" id="{00000000-0008-0000-2B00-000057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1295400</xdr:colOff>
          <xdr:row>17</xdr:row>
          <xdr:rowOff>57150</xdr:rowOff>
        </xdr:from>
        <xdr:to>
          <xdr:col>4</xdr:col>
          <xdr:colOff>2352675</xdr:colOff>
          <xdr:row>18</xdr:row>
          <xdr:rowOff>104775</xdr:rowOff>
        </xdr:to>
        <xdr:sp macro="" textlink="">
          <xdr:nvSpPr>
            <xdr:cNvPr id="89176" name="STG4_Chemical" hidden="1">
              <a:extLst>
                <a:ext uri="{63B3BB69-23CF-44E3-9099-C40C66FF867C}">
                  <a14:compatExt spid="_x0000_s89176"/>
                </a:ext>
                <a:ext uri="{FF2B5EF4-FFF2-40B4-BE49-F238E27FC236}">
                  <a16:creationId xmlns:a16="http://schemas.microsoft.com/office/drawing/2014/main" id="{00000000-0008-0000-2B00-000058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xdr:colOff>
          <xdr:row>17</xdr:row>
          <xdr:rowOff>47625</xdr:rowOff>
        </xdr:from>
        <xdr:to>
          <xdr:col>4</xdr:col>
          <xdr:colOff>1181100</xdr:colOff>
          <xdr:row>18</xdr:row>
          <xdr:rowOff>95250</xdr:rowOff>
        </xdr:to>
        <xdr:sp macro="" textlink="">
          <xdr:nvSpPr>
            <xdr:cNvPr id="89177" name="STG4_Carbon" hidden="1">
              <a:extLst>
                <a:ext uri="{63B3BB69-23CF-44E3-9099-C40C66FF867C}">
                  <a14:compatExt spid="_x0000_s89177"/>
                </a:ext>
                <a:ext uri="{FF2B5EF4-FFF2-40B4-BE49-F238E27FC236}">
                  <a16:creationId xmlns:a16="http://schemas.microsoft.com/office/drawing/2014/main" id="{00000000-0008-0000-2B00-000059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18</xdr:row>
          <xdr:rowOff>38100</xdr:rowOff>
        </xdr:from>
        <xdr:to>
          <xdr:col>4</xdr:col>
          <xdr:colOff>1190625</xdr:colOff>
          <xdr:row>19</xdr:row>
          <xdr:rowOff>85725</xdr:rowOff>
        </xdr:to>
        <xdr:sp macro="" textlink="">
          <xdr:nvSpPr>
            <xdr:cNvPr id="89178" name="STG4_HEPA" hidden="1">
              <a:extLst>
                <a:ext uri="{63B3BB69-23CF-44E3-9099-C40C66FF867C}">
                  <a14:compatExt spid="_x0000_s89178"/>
                </a:ext>
                <a:ext uri="{FF2B5EF4-FFF2-40B4-BE49-F238E27FC236}">
                  <a16:creationId xmlns:a16="http://schemas.microsoft.com/office/drawing/2014/main" id="{00000000-0008-0000-2B00-00005A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xdr:row>
          <xdr:rowOff>209550</xdr:rowOff>
        </xdr:from>
        <xdr:to>
          <xdr:col>4</xdr:col>
          <xdr:colOff>1257300</xdr:colOff>
          <xdr:row>4</xdr:row>
          <xdr:rowOff>19050</xdr:rowOff>
        </xdr:to>
        <xdr:sp macro="" textlink="">
          <xdr:nvSpPr>
            <xdr:cNvPr id="89179" name="STG1_ESP1" hidden="1">
              <a:extLst>
                <a:ext uri="{63B3BB69-23CF-44E3-9099-C40C66FF867C}">
                  <a14:compatExt spid="_x0000_s89179"/>
                </a:ext>
                <a:ext uri="{FF2B5EF4-FFF2-40B4-BE49-F238E27FC236}">
                  <a16:creationId xmlns:a16="http://schemas.microsoft.com/office/drawing/2014/main" id="{00000000-0008-0000-2B00-00005B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1247775</xdr:colOff>
          <xdr:row>2</xdr:row>
          <xdr:rowOff>200025</xdr:rowOff>
        </xdr:from>
        <xdr:to>
          <xdr:col>5</xdr:col>
          <xdr:colOff>19050</xdr:colOff>
          <xdr:row>4</xdr:row>
          <xdr:rowOff>9525</xdr:rowOff>
        </xdr:to>
        <xdr:sp macro="" textlink="">
          <xdr:nvSpPr>
            <xdr:cNvPr id="89180" name="STG1_ESP2" hidden="1">
              <a:extLst>
                <a:ext uri="{63B3BB69-23CF-44E3-9099-C40C66FF867C}">
                  <a14:compatExt spid="_x0000_s89180"/>
                </a:ext>
                <a:ext uri="{FF2B5EF4-FFF2-40B4-BE49-F238E27FC236}">
                  <a16:creationId xmlns:a16="http://schemas.microsoft.com/office/drawing/2014/main" id="{00000000-0008-0000-2B00-00005C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1247775</xdr:colOff>
          <xdr:row>21</xdr:row>
          <xdr:rowOff>19050</xdr:rowOff>
        </xdr:from>
        <xdr:to>
          <xdr:col>4</xdr:col>
          <xdr:colOff>2305050</xdr:colOff>
          <xdr:row>22</xdr:row>
          <xdr:rowOff>66675</xdr:rowOff>
        </xdr:to>
        <xdr:sp macro="" textlink="">
          <xdr:nvSpPr>
            <xdr:cNvPr id="89181" name="STG5_Chemical" hidden="1">
              <a:extLst>
                <a:ext uri="{63B3BB69-23CF-44E3-9099-C40C66FF867C}">
                  <a14:compatExt spid="_x0000_s89181"/>
                </a:ext>
                <a:ext uri="{FF2B5EF4-FFF2-40B4-BE49-F238E27FC236}">
                  <a16:creationId xmlns:a16="http://schemas.microsoft.com/office/drawing/2014/main" id="{00000000-0008-0000-2B00-00005D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21</xdr:row>
          <xdr:rowOff>9525</xdr:rowOff>
        </xdr:from>
        <xdr:to>
          <xdr:col>4</xdr:col>
          <xdr:colOff>1133475</xdr:colOff>
          <xdr:row>22</xdr:row>
          <xdr:rowOff>57150</xdr:rowOff>
        </xdr:to>
        <xdr:sp macro="" textlink="">
          <xdr:nvSpPr>
            <xdr:cNvPr id="89182" name="STG5_Carbon" hidden="1">
              <a:extLst>
                <a:ext uri="{63B3BB69-23CF-44E3-9099-C40C66FF867C}">
                  <a14:compatExt spid="_x0000_s89182"/>
                </a:ext>
                <a:ext uri="{FF2B5EF4-FFF2-40B4-BE49-F238E27FC236}">
                  <a16:creationId xmlns:a16="http://schemas.microsoft.com/office/drawing/2014/main" id="{00000000-0008-0000-2B00-00005E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22</xdr:row>
          <xdr:rowOff>19050</xdr:rowOff>
        </xdr:from>
        <xdr:to>
          <xdr:col>4</xdr:col>
          <xdr:colOff>1143000</xdr:colOff>
          <xdr:row>23</xdr:row>
          <xdr:rowOff>76200</xdr:rowOff>
        </xdr:to>
        <xdr:sp macro="" textlink="">
          <xdr:nvSpPr>
            <xdr:cNvPr id="89183" name="ST5_HEPA" hidden="1">
              <a:extLst>
                <a:ext uri="{63B3BB69-23CF-44E3-9099-C40C66FF867C}">
                  <a14:compatExt spid="_x0000_s89183"/>
                </a:ext>
                <a:ext uri="{FF2B5EF4-FFF2-40B4-BE49-F238E27FC236}">
                  <a16:creationId xmlns:a16="http://schemas.microsoft.com/office/drawing/2014/main" id="{00000000-0008-0000-2B00-00005F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1295400</xdr:colOff>
          <xdr:row>25</xdr:row>
          <xdr:rowOff>9525</xdr:rowOff>
        </xdr:from>
        <xdr:to>
          <xdr:col>4</xdr:col>
          <xdr:colOff>2352675</xdr:colOff>
          <xdr:row>26</xdr:row>
          <xdr:rowOff>66675</xdr:rowOff>
        </xdr:to>
        <xdr:sp macro="" textlink="">
          <xdr:nvSpPr>
            <xdr:cNvPr id="89184" name="STG6_Chemical" hidden="1">
              <a:extLst>
                <a:ext uri="{63B3BB69-23CF-44E3-9099-C40C66FF867C}">
                  <a14:compatExt spid="_x0000_s89184"/>
                </a:ext>
                <a:ext uri="{FF2B5EF4-FFF2-40B4-BE49-F238E27FC236}">
                  <a16:creationId xmlns:a16="http://schemas.microsoft.com/office/drawing/2014/main" id="{00000000-0008-0000-2B00-000060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xdr:colOff>
          <xdr:row>25</xdr:row>
          <xdr:rowOff>0</xdr:rowOff>
        </xdr:from>
        <xdr:to>
          <xdr:col>4</xdr:col>
          <xdr:colOff>1181100</xdr:colOff>
          <xdr:row>26</xdr:row>
          <xdr:rowOff>57150</xdr:rowOff>
        </xdr:to>
        <xdr:sp macro="" textlink="">
          <xdr:nvSpPr>
            <xdr:cNvPr id="89185" name="STG6_Carbon" hidden="1">
              <a:extLst>
                <a:ext uri="{63B3BB69-23CF-44E3-9099-C40C66FF867C}">
                  <a14:compatExt spid="_x0000_s89185"/>
                </a:ext>
                <a:ext uri="{FF2B5EF4-FFF2-40B4-BE49-F238E27FC236}">
                  <a16:creationId xmlns:a16="http://schemas.microsoft.com/office/drawing/2014/main" id="{00000000-0008-0000-2B00-00006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25</xdr:row>
          <xdr:rowOff>200025</xdr:rowOff>
        </xdr:from>
        <xdr:to>
          <xdr:col>4</xdr:col>
          <xdr:colOff>1190625</xdr:colOff>
          <xdr:row>27</xdr:row>
          <xdr:rowOff>19050</xdr:rowOff>
        </xdr:to>
        <xdr:sp macro="" textlink="">
          <xdr:nvSpPr>
            <xdr:cNvPr id="89186" name="STG6_HEPA" hidden="1">
              <a:extLst>
                <a:ext uri="{63B3BB69-23CF-44E3-9099-C40C66FF867C}">
                  <a14:compatExt spid="_x0000_s89186"/>
                </a:ext>
                <a:ext uri="{FF2B5EF4-FFF2-40B4-BE49-F238E27FC236}">
                  <a16:creationId xmlns:a16="http://schemas.microsoft.com/office/drawing/2014/main" id="{00000000-0008-0000-2B00-000062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xdr:row>
          <xdr:rowOff>209550</xdr:rowOff>
        </xdr:from>
        <xdr:to>
          <xdr:col>3</xdr:col>
          <xdr:colOff>1285875</xdr:colOff>
          <xdr:row>25</xdr:row>
          <xdr:rowOff>0</xdr:rowOff>
        </xdr:to>
        <xdr:sp macro="" textlink="">
          <xdr:nvSpPr>
            <xdr:cNvPr id="89187" name="Mixing_STL" hidden="1">
              <a:extLst>
                <a:ext uri="{63B3BB69-23CF-44E3-9099-C40C66FF867C}">
                  <a14:compatExt spid="_x0000_s89187"/>
                </a:ext>
                <a:ext uri="{FF2B5EF4-FFF2-40B4-BE49-F238E27FC236}">
                  <a16:creationId xmlns:a16="http://schemas.microsoft.com/office/drawing/2014/main" id="{00000000-0008-0000-2B00-000063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xdr:row>
          <xdr:rowOff>9525</xdr:rowOff>
        </xdr:from>
        <xdr:to>
          <xdr:col>5</xdr:col>
          <xdr:colOff>1152525</xdr:colOff>
          <xdr:row>2</xdr:row>
          <xdr:rowOff>57150</xdr:rowOff>
        </xdr:to>
        <xdr:sp macro="" textlink="">
          <xdr:nvSpPr>
            <xdr:cNvPr id="89188" name="STG1_CHW" hidden="1">
              <a:extLst>
                <a:ext uri="{63B3BB69-23CF-44E3-9099-C40C66FF867C}">
                  <a14:compatExt spid="_x0000_s89188"/>
                </a:ext>
                <a:ext uri="{FF2B5EF4-FFF2-40B4-BE49-F238E27FC236}">
                  <a16:creationId xmlns:a16="http://schemas.microsoft.com/office/drawing/2014/main" id="{00000000-0008-0000-2B00-000064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1257300</xdr:colOff>
          <xdr:row>1</xdr:row>
          <xdr:rowOff>19050</xdr:rowOff>
        </xdr:from>
        <xdr:to>
          <xdr:col>5</xdr:col>
          <xdr:colOff>2057400</xdr:colOff>
          <xdr:row>2</xdr:row>
          <xdr:rowOff>66675</xdr:rowOff>
        </xdr:to>
        <xdr:sp macro="" textlink="">
          <xdr:nvSpPr>
            <xdr:cNvPr id="89189" name="STG1_DX" hidden="1">
              <a:extLst>
                <a:ext uri="{63B3BB69-23CF-44E3-9099-C40C66FF867C}">
                  <a14:compatExt spid="_x0000_s89189"/>
                </a:ext>
                <a:ext uri="{FF2B5EF4-FFF2-40B4-BE49-F238E27FC236}">
                  <a16:creationId xmlns:a16="http://schemas.microsoft.com/office/drawing/2014/main" id="{00000000-0008-0000-2B00-000065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7</xdr:row>
          <xdr:rowOff>228600</xdr:rowOff>
        </xdr:from>
        <xdr:to>
          <xdr:col>5</xdr:col>
          <xdr:colOff>1095375</xdr:colOff>
          <xdr:row>9</xdr:row>
          <xdr:rowOff>38100</xdr:rowOff>
        </xdr:to>
        <xdr:sp macro="" textlink="">
          <xdr:nvSpPr>
            <xdr:cNvPr id="89191" name="STG2_Cooling_CHW" hidden="1">
              <a:extLst>
                <a:ext uri="{63B3BB69-23CF-44E3-9099-C40C66FF867C}">
                  <a14:compatExt spid="_x0000_s89191"/>
                </a:ext>
                <a:ext uri="{FF2B5EF4-FFF2-40B4-BE49-F238E27FC236}">
                  <a16:creationId xmlns:a16="http://schemas.microsoft.com/office/drawing/2014/main" id="{00000000-0008-0000-2B00-000067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1590675</xdr:colOff>
          <xdr:row>7</xdr:row>
          <xdr:rowOff>219075</xdr:rowOff>
        </xdr:from>
        <xdr:to>
          <xdr:col>6</xdr:col>
          <xdr:colOff>9525</xdr:colOff>
          <xdr:row>9</xdr:row>
          <xdr:rowOff>28575</xdr:rowOff>
        </xdr:to>
        <xdr:sp macro="" textlink="">
          <xdr:nvSpPr>
            <xdr:cNvPr id="89192" name="STG2_Cooling_DX" hidden="1">
              <a:extLst>
                <a:ext uri="{63B3BB69-23CF-44E3-9099-C40C66FF867C}">
                  <a14:compatExt spid="_x0000_s89192"/>
                </a:ext>
                <a:ext uri="{FF2B5EF4-FFF2-40B4-BE49-F238E27FC236}">
                  <a16:creationId xmlns:a16="http://schemas.microsoft.com/office/drawing/2014/main" id="{00000000-0008-0000-2B00-000068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2</xdr:row>
          <xdr:rowOff>0</xdr:rowOff>
        </xdr:from>
        <xdr:to>
          <xdr:col>5</xdr:col>
          <xdr:colOff>1304925</xdr:colOff>
          <xdr:row>3</xdr:row>
          <xdr:rowOff>28575</xdr:rowOff>
        </xdr:to>
        <xdr:sp macro="" textlink="">
          <xdr:nvSpPr>
            <xdr:cNvPr id="89193" name="UV_Lamp" hidden="1">
              <a:extLst>
                <a:ext uri="{63B3BB69-23CF-44E3-9099-C40C66FF867C}">
                  <a14:compatExt spid="_x0000_s89193"/>
                </a:ext>
                <a:ext uri="{FF2B5EF4-FFF2-40B4-BE49-F238E27FC236}">
                  <a16:creationId xmlns:a16="http://schemas.microsoft.com/office/drawing/2014/main" id="{00000000-0008-0000-2B00-000069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2</xdr:row>
          <xdr:rowOff>200025</xdr:rowOff>
        </xdr:from>
        <xdr:to>
          <xdr:col>5</xdr:col>
          <xdr:colOff>1304925</xdr:colOff>
          <xdr:row>3</xdr:row>
          <xdr:rowOff>228600</xdr:rowOff>
        </xdr:to>
        <xdr:sp macro="" textlink="">
          <xdr:nvSpPr>
            <xdr:cNvPr id="89194" name="Horse_Shoe" hidden="1">
              <a:extLst>
                <a:ext uri="{63B3BB69-23CF-44E3-9099-C40C66FF867C}">
                  <a14:compatExt spid="_x0000_s89194"/>
                </a:ext>
                <a:ext uri="{FF2B5EF4-FFF2-40B4-BE49-F238E27FC236}">
                  <a16:creationId xmlns:a16="http://schemas.microsoft.com/office/drawing/2014/main" id="{00000000-0008-0000-2B00-00006A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3</xdr:row>
          <xdr:rowOff>180975</xdr:rowOff>
        </xdr:from>
        <xdr:to>
          <xdr:col>5</xdr:col>
          <xdr:colOff>1743075</xdr:colOff>
          <xdr:row>4</xdr:row>
          <xdr:rowOff>209550</xdr:rowOff>
        </xdr:to>
        <xdr:sp macro="" textlink="">
          <xdr:nvSpPr>
            <xdr:cNvPr id="89195" name="HGR" hidden="1">
              <a:extLst>
                <a:ext uri="{63B3BB69-23CF-44E3-9099-C40C66FF867C}">
                  <a14:compatExt spid="_x0000_s89195"/>
                </a:ext>
                <a:ext uri="{FF2B5EF4-FFF2-40B4-BE49-F238E27FC236}">
                  <a16:creationId xmlns:a16="http://schemas.microsoft.com/office/drawing/2014/main" id="{00000000-0008-0000-2B00-00006B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17</xdr:row>
          <xdr:rowOff>190500</xdr:rowOff>
        </xdr:from>
        <xdr:to>
          <xdr:col>1</xdr:col>
          <xdr:colOff>1666875</xdr:colOff>
          <xdr:row>19</xdr:row>
          <xdr:rowOff>0</xdr:rowOff>
        </xdr:to>
        <xdr:sp macro="" textlink="">
          <xdr:nvSpPr>
            <xdr:cNvPr id="89196" name="AL_Profile" hidden="1">
              <a:extLst>
                <a:ext uri="{63B3BB69-23CF-44E3-9099-C40C66FF867C}">
                  <a14:compatExt spid="_x0000_s89196"/>
                </a:ext>
                <a:ext uri="{FF2B5EF4-FFF2-40B4-BE49-F238E27FC236}">
                  <a16:creationId xmlns:a16="http://schemas.microsoft.com/office/drawing/2014/main" id="{00000000-0008-0000-2B00-00006C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18</xdr:row>
          <xdr:rowOff>161925</xdr:rowOff>
        </xdr:from>
        <xdr:to>
          <xdr:col>1</xdr:col>
          <xdr:colOff>1714500</xdr:colOff>
          <xdr:row>19</xdr:row>
          <xdr:rowOff>209550</xdr:rowOff>
        </xdr:to>
        <xdr:sp macro="" textlink="">
          <xdr:nvSpPr>
            <xdr:cNvPr id="89197" name="GI_Profile" hidden="1">
              <a:extLst>
                <a:ext uri="{63B3BB69-23CF-44E3-9099-C40C66FF867C}">
                  <a14:compatExt spid="_x0000_s89197"/>
                </a:ext>
                <a:ext uri="{FF2B5EF4-FFF2-40B4-BE49-F238E27FC236}">
                  <a16:creationId xmlns:a16="http://schemas.microsoft.com/office/drawing/2014/main" id="{00000000-0008-0000-2B00-00006D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18</xdr:row>
          <xdr:rowOff>219075</xdr:rowOff>
        </xdr:from>
        <xdr:to>
          <xdr:col>5</xdr:col>
          <xdr:colOff>1323975</xdr:colOff>
          <xdr:row>20</xdr:row>
          <xdr:rowOff>9525</xdr:rowOff>
        </xdr:to>
        <xdr:sp macro="" textlink="">
          <xdr:nvSpPr>
            <xdr:cNvPr id="89198" name="Elec_Heater" hidden="1">
              <a:extLst>
                <a:ext uri="{63B3BB69-23CF-44E3-9099-C40C66FF867C}">
                  <a14:compatExt spid="_x0000_s89198"/>
                </a:ext>
                <a:ext uri="{FF2B5EF4-FFF2-40B4-BE49-F238E27FC236}">
                  <a16:creationId xmlns:a16="http://schemas.microsoft.com/office/drawing/2014/main" id="{00000000-0008-0000-2B00-00006E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19</xdr:row>
          <xdr:rowOff>190500</xdr:rowOff>
        </xdr:from>
        <xdr:to>
          <xdr:col>5</xdr:col>
          <xdr:colOff>1323975</xdr:colOff>
          <xdr:row>20</xdr:row>
          <xdr:rowOff>219075</xdr:rowOff>
        </xdr:to>
        <xdr:sp macro="" textlink="">
          <xdr:nvSpPr>
            <xdr:cNvPr id="89199" name="Steam" hidden="1">
              <a:extLst>
                <a:ext uri="{63B3BB69-23CF-44E3-9099-C40C66FF867C}">
                  <a14:compatExt spid="_x0000_s89199"/>
                </a:ext>
                <a:ext uri="{FF2B5EF4-FFF2-40B4-BE49-F238E27FC236}">
                  <a16:creationId xmlns:a16="http://schemas.microsoft.com/office/drawing/2014/main" id="{00000000-0008-0000-2B00-00006F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20</xdr:row>
          <xdr:rowOff>190500</xdr:rowOff>
        </xdr:from>
        <xdr:to>
          <xdr:col>5</xdr:col>
          <xdr:colOff>1323975</xdr:colOff>
          <xdr:row>21</xdr:row>
          <xdr:rowOff>219075</xdr:rowOff>
        </xdr:to>
        <xdr:sp macro="" textlink="">
          <xdr:nvSpPr>
            <xdr:cNvPr id="89200" name="Droplet" hidden="1">
              <a:extLst>
                <a:ext uri="{63B3BB69-23CF-44E3-9099-C40C66FF867C}">
                  <a14:compatExt spid="_x0000_s89200"/>
                </a:ext>
                <a:ext uri="{FF2B5EF4-FFF2-40B4-BE49-F238E27FC236}">
                  <a16:creationId xmlns:a16="http://schemas.microsoft.com/office/drawing/2014/main" id="{00000000-0008-0000-2B00-000070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12</xdr:row>
          <xdr:rowOff>0</xdr:rowOff>
        </xdr:from>
        <xdr:to>
          <xdr:col>5</xdr:col>
          <xdr:colOff>1390650</xdr:colOff>
          <xdr:row>13</xdr:row>
          <xdr:rowOff>47625</xdr:rowOff>
        </xdr:to>
        <xdr:sp macro="" textlink="">
          <xdr:nvSpPr>
            <xdr:cNvPr id="89201" name="Energy_Wheel" hidden="1">
              <a:extLst>
                <a:ext uri="{63B3BB69-23CF-44E3-9099-C40C66FF867C}">
                  <a14:compatExt spid="_x0000_s89201"/>
                </a:ext>
                <a:ext uri="{FF2B5EF4-FFF2-40B4-BE49-F238E27FC236}">
                  <a16:creationId xmlns:a16="http://schemas.microsoft.com/office/drawing/2014/main" id="{00000000-0008-0000-2B00-00007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12</xdr:row>
          <xdr:rowOff>228600</xdr:rowOff>
        </xdr:from>
        <xdr:to>
          <xdr:col>5</xdr:col>
          <xdr:colOff>1924050</xdr:colOff>
          <xdr:row>14</xdr:row>
          <xdr:rowOff>38100</xdr:rowOff>
        </xdr:to>
        <xdr:sp macro="" textlink="">
          <xdr:nvSpPr>
            <xdr:cNvPr id="89202" name="Pleated_Heat_Exchanger" hidden="1">
              <a:extLst>
                <a:ext uri="{63B3BB69-23CF-44E3-9099-C40C66FF867C}">
                  <a14:compatExt spid="_x0000_s89202"/>
                </a:ext>
                <a:ext uri="{FF2B5EF4-FFF2-40B4-BE49-F238E27FC236}">
                  <a16:creationId xmlns:a16="http://schemas.microsoft.com/office/drawing/2014/main" id="{00000000-0008-0000-2B00-000072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14</xdr:row>
          <xdr:rowOff>0</xdr:rowOff>
        </xdr:from>
        <xdr:to>
          <xdr:col>5</xdr:col>
          <xdr:colOff>1933575</xdr:colOff>
          <xdr:row>15</xdr:row>
          <xdr:rowOff>47625</xdr:rowOff>
        </xdr:to>
        <xdr:sp macro="" textlink="">
          <xdr:nvSpPr>
            <xdr:cNvPr id="89203" name="Heat_Pipe_Recovery" hidden="1">
              <a:extLst>
                <a:ext uri="{63B3BB69-23CF-44E3-9099-C40C66FF867C}">
                  <a14:compatExt spid="_x0000_s89203"/>
                </a:ext>
                <a:ext uri="{FF2B5EF4-FFF2-40B4-BE49-F238E27FC236}">
                  <a16:creationId xmlns:a16="http://schemas.microsoft.com/office/drawing/2014/main" id="{00000000-0008-0000-2B00-000073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15</xdr:row>
          <xdr:rowOff>104775</xdr:rowOff>
        </xdr:from>
        <xdr:to>
          <xdr:col>5</xdr:col>
          <xdr:colOff>1571625</xdr:colOff>
          <xdr:row>16</xdr:row>
          <xdr:rowOff>133350</xdr:rowOff>
        </xdr:to>
        <xdr:sp macro="" textlink="">
          <xdr:nvSpPr>
            <xdr:cNvPr id="89204" name="Recov_2Fan_1M" hidden="1">
              <a:extLst>
                <a:ext uri="{63B3BB69-23CF-44E3-9099-C40C66FF867C}">
                  <a14:compatExt spid="_x0000_s89204"/>
                </a:ext>
                <a:ext uri="{FF2B5EF4-FFF2-40B4-BE49-F238E27FC236}">
                  <a16:creationId xmlns:a16="http://schemas.microsoft.com/office/drawing/2014/main" id="{00000000-0008-0000-2B00-000074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16</xdr:row>
          <xdr:rowOff>85725</xdr:rowOff>
        </xdr:from>
        <xdr:to>
          <xdr:col>5</xdr:col>
          <xdr:colOff>1581150</xdr:colOff>
          <xdr:row>17</xdr:row>
          <xdr:rowOff>114300</xdr:rowOff>
        </xdr:to>
        <xdr:sp macro="" textlink="">
          <xdr:nvSpPr>
            <xdr:cNvPr id="89205" name="Recov_2Fan_2M" hidden="1">
              <a:extLst>
                <a:ext uri="{63B3BB69-23CF-44E3-9099-C40C66FF867C}">
                  <a14:compatExt spid="_x0000_s89205"/>
                </a:ext>
                <a:ext uri="{FF2B5EF4-FFF2-40B4-BE49-F238E27FC236}">
                  <a16:creationId xmlns:a16="http://schemas.microsoft.com/office/drawing/2014/main" id="{00000000-0008-0000-2B00-000075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xdr:row>
          <xdr:rowOff>19050</xdr:rowOff>
        </xdr:from>
        <xdr:to>
          <xdr:col>0</xdr:col>
          <xdr:colOff>1457325</xdr:colOff>
          <xdr:row>2</xdr:row>
          <xdr:rowOff>47625</xdr:rowOff>
        </xdr:to>
        <xdr:sp macro="" textlink="">
          <xdr:nvSpPr>
            <xdr:cNvPr id="89206" name="First_Section" hidden="1">
              <a:extLst>
                <a:ext uri="{63B3BB69-23CF-44E3-9099-C40C66FF867C}">
                  <a14:compatExt spid="_x0000_s89206"/>
                </a:ext>
                <a:ext uri="{FF2B5EF4-FFF2-40B4-BE49-F238E27FC236}">
                  <a16:creationId xmlns:a16="http://schemas.microsoft.com/office/drawing/2014/main" id="{00000000-0008-0000-2B00-000076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xdr:row>
          <xdr:rowOff>19050</xdr:rowOff>
        </xdr:from>
        <xdr:to>
          <xdr:col>0</xdr:col>
          <xdr:colOff>1504950</xdr:colOff>
          <xdr:row>3</xdr:row>
          <xdr:rowOff>47625</xdr:rowOff>
        </xdr:to>
        <xdr:sp macro="" textlink="">
          <xdr:nvSpPr>
            <xdr:cNvPr id="89207" name="STG1_Filter" hidden="1">
              <a:extLst>
                <a:ext uri="{63B3BB69-23CF-44E3-9099-C40C66FF867C}">
                  <a14:compatExt spid="_x0000_s89207"/>
                </a:ext>
                <a:ext uri="{FF2B5EF4-FFF2-40B4-BE49-F238E27FC236}">
                  <a16:creationId xmlns:a16="http://schemas.microsoft.com/office/drawing/2014/main" id="{00000000-0008-0000-2B00-000077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xdr:row>
          <xdr:rowOff>0</xdr:rowOff>
        </xdr:from>
        <xdr:to>
          <xdr:col>0</xdr:col>
          <xdr:colOff>1504950</xdr:colOff>
          <xdr:row>4</xdr:row>
          <xdr:rowOff>28575</xdr:rowOff>
        </xdr:to>
        <xdr:sp macro="" textlink="">
          <xdr:nvSpPr>
            <xdr:cNvPr id="89208" name="STG2_Filter" hidden="1">
              <a:extLst>
                <a:ext uri="{63B3BB69-23CF-44E3-9099-C40C66FF867C}">
                  <a14:compatExt spid="_x0000_s89208"/>
                </a:ext>
                <a:ext uri="{FF2B5EF4-FFF2-40B4-BE49-F238E27FC236}">
                  <a16:creationId xmlns:a16="http://schemas.microsoft.com/office/drawing/2014/main" id="{00000000-0008-0000-2B00-000078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xdr:row>
          <xdr:rowOff>219075</xdr:rowOff>
        </xdr:from>
        <xdr:to>
          <xdr:col>0</xdr:col>
          <xdr:colOff>1504950</xdr:colOff>
          <xdr:row>5</xdr:row>
          <xdr:rowOff>9525</xdr:rowOff>
        </xdr:to>
        <xdr:sp macro="" textlink="">
          <xdr:nvSpPr>
            <xdr:cNvPr id="89209" name="STG3_Filter" hidden="1">
              <a:extLst>
                <a:ext uri="{63B3BB69-23CF-44E3-9099-C40C66FF867C}">
                  <a14:compatExt spid="_x0000_s89209"/>
                </a:ext>
                <a:ext uri="{FF2B5EF4-FFF2-40B4-BE49-F238E27FC236}">
                  <a16:creationId xmlns:a16="http://schemas.microsoft.com/office/drawing/2014/main" id="{00000000-0008-0000-2B00-000079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4</xdr:row>
          <xdr:rowOff>219075</xdr:rowOff>
        </xdr:from>
        <xdr:to>
          <xdr:col>0</xdr:col>
          <xdr:colOff>1504950</xdr:colOff>
          <xdr:row>6</xdr:row>
          <xdr:rowOff>9525</xdr:rowOff>
        </xdr:to>
        <xdr:sp macro="" textlink="">
          <xdr:nvSpPr>
            <xdr:cNvPr id="89210" name="STG4_Filter" hidden="1">
              <a:extLst>
                <a:ext uri="{63B3BB69-23CF-44E3-9099-C40C66FF867C}">
                  <a14:compatExt spid="_x0000_s89210"/>
                </a:ext>
                <a:ext uri="{FF2B5EF4-FFF2-40B4-BE49-F238E27FC236}">
                  <a16:creationId xmlns:a16="http://schemas.microsoft.com/office/drawing/2014/main" id="{00000000-0008-0000-2B00-00007A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5</xdr:row>
          <xdr:rowOff>219075</xdr:rowOff>
        </xdr:from>
        <xdr:to>
          <xdr:col>0</xdr:col>
          <xdr:colOff>1504950</xdr:colOff>
          <xdr:row>7</xdr:row>
          <xdr:rowOff>9525</xdr:rowOff>
        </xdr:to>
        <xdr:sp macro="" textlink="">
          <xdr:nvSpPr>
            <xdr:cNvPr id="89211" name="STG5_Filter" hidden="1">
              <a:extLst>
                <a:ext uri="{63B3BB69-23CF-44E3-9099-C40C66FF867C}">
                  <a14:compatExt spid="_x0000_s89211"/>
                </a:ext>
                <a:ext uri="{FF2B5EF4-FFF2-40B4-BE49-F238E27FC236}">
                  <a16:creationId xmlns:a16="http://schemas.microsoft.com/office/drawing/2014/main" id="{00000000-0008-0000-2B00-00007B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6</xdr:row>
          <xdr:rowOff>228600</xdr:rowOff>
        </xdr:from>
        <xdr:to>
          <xdr:col>0</xdr:col>
          <xdr:colOff>1485900</xdr:colOff>
          <xdr:row>8</xdr:row>
          <xdr:rowOff>19050</xdr:rowOff>
        </xdr:to>
        <xdr:sp macro="" textlink="">
          <xdr:nvSpPr>
            <xdr:cNvPr id="89212" name="STG6_Filter" hidden="1">
              <a:extLst>
                <a:ext uri="{63B3BB69-23CF-44E3-9099-C40C66FF867C}">
                  <a14:compatExt spid="_x0000_s89212"/>
                </a:ext>
                <a:ext uri="{FF2B5EF4-FFF2-40B4-BE49-F238E27FC236}">
                  <a16:creationId xmlns:a16="http://schemas.microsoft.com/office/drawing/2014/main" id="{00000000-0008-0000-2B00-00007C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9525</xdr:rowOff>
        </xdr:from>
        <xdr:to>
          <xdr:col>0</xdr:col>
          <xdr:colOff>1485900</xdr:colOff>
          <xdr:row>10</xdr:row>
          <xdr:rowOff>38100</xdr:rowOff>
        </xdr:to>
        <xdr:sp macro="" textlink="">
          <xdr:nvSpPr>
            <xdr:cNvPr id="89213" name="STG1_Cooling" hidden="1">
              <a:extLst>
                <a:ext uri="{63B3BB69-23CF-44E3-9099-C40C66FF867C}">
                  <a14:compatExt spid="_x0000_s89213"/>
                </a:ext>
                <a:ext uri="{FF2B5EF4-FFF2-40B4-BE49-F238E27FC236}">
                  <a16:creationId xmlns:a16="http://schemas.microsoft.com/office/drawing/2014/main" id="{00000000-0008-0000-2B00-00007D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xdr:row>
          <xdr:rowOff>228600</xdr:rowOff>
        </xdr:from>
        <xdr:to>
          <xdr:col>0</xdr:col>
          <xdr:colOff>1495425</xdr:colOff>
          <xdr:row>11</xdr:row>
          <xdr:rowOff>19050</xdr:rowOff>
        </xdr:to>
        <xdr:sp macro="" textlink="">
          <xdr:nvSpPr>
            <xdr:cNvPr id="89214" name="STG2_Cooling" hidden="1">
              <a:extLst>
                <a:ext uri="{63B3BB69-23CF-44E3-9099-C40C66FF867C}">
                  <a14:compatExt spid="_x0000_s89214"/>
                </a:ext>
                <a:ext uri="{FF2B5EF4-FFF2-40B4-BE49-F238E27FC236}">
                  <a16:creationId xmlns:a16="http://schemas.microsoft.com/office/drawing/2014/main" id="{00000000-0008-0000-2B00-00007E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xdr:row>
          <xdr:rowOff>228600</xdr:rowOff>
        </xdr:from>
        <xdr:to>
          <xdr:col>0</xdr:col>
          <xdr:colOff>1495425</xdr:colOff>
          <xdr:row>9</xdr:row>
          <xdr:rowOff>19050</xdr:rowOff>
        </xdr:to>
        <xdr:sp macro="" textlink="">
          <xdr:nvSpPr>
            <xdr:cNvPr id="89215" name="Energy_Recovery" hidden="1">
              <a:extLst>
                <a:ext uri="{63B3BB69-23CF-44E3-9099-C40C66FF867C}">
                  <a14:compatExt spid="_x0000_s89215"/>
                </a:ext>
                <a:ext uri="{FF2B5EF4-FFF2-40B4-BE49-F238E27FC236}">
                  <a16:creationId xmlns:a16="http://schemas.microsoft.com/office/drawing/2014/main" id="{00000000-0008-0000-2B00-00007F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25</xdr:row>
          <xdr:rowOff>47625</xdr:rowOff>
        </xdr:from>
        <xdr:to>
          <xdr:col>0</xdr:col>
          <xdr:colOff>2076450</xdr:colOff>
          <xdr:row>26</xdr:row>
          <xdr:rowOff>161925</xdr:rowOff>
        </xdr:to>
        <xdr:sp macro="" textlink="">
          <xdr:nvSpPr>
            <xdr:cNvPr id="89216" name="cODE" hidden="1">
              <a:extLst>
                <a:ext uri="{63B3BB69-23CF-44E3-9099-C40C66FF867C}">
                  <a14:compatExt spid="_x0000_s89216"/>
                </a:ext>
                <a:ext uri="{FF2B5EF4-FFF2-40B4-BE49-F238E27FC236}">
                  <a16:creationId xmlns:a16="http://schemas.microsoft.com/office/drawing/2014/main" id="{00000000-0008-0000-2B00-000080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21</xdr:row>
          <xdr:rowOff>171450</xdr:rowOff>
        </xdr:from>
        <xdr:to>
          <xdr:col>5</xdr:col>
          <xdr:colOff>1628775</xdr:colOff>
          <xdr:row>22</xdr:row>
          <xdr:rowOff>200025</xdr:rowOff>
        </xdr:to>
        <xdr:sp macro="" textlink="">
          <xdr:nvSpPr>
            <xdr:cNvPr id="89221" name="Access_Sec1" hidden="1">
              <a:extLst>
                <a:ext uri="{63B3BB69-23CF-44E3-9099-C40C66FF867C}">
                  <a14:compatExt spid="_x0000_s89221"/>
                </a:ext>
                <a:ext uri="{FF2B5EF4-FFF2-40B4-BE49-F238E27FC236}">
                  <a16:creationId xmlns:a16="http://schemas.microsoft.com/office/drawing/2014/main" id="{00000000-0008-0000-2B00-000085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22</xdr:row>
          <xdr:rowOff>180975</xdr:rowOff>
        </xdr:from>
        <xdr:to>
          <xdr:col>5</xdr:col>
          <xdr:colOff>1609725</xdr:colOff>
          <xdr:row>23</xdr:row>
          <xdr:rowOff>219075</xdr:rowOff>
        </xdr:to>
        <xdr:sp macro="" textlink="">
          <xdr:nvSpPr>
            <xdr:cNvPr id="89222" name="Access_Sec2" hidden="1">
              <a:extLst>
                <a:ext uri="{63B3BB69-23CF-44E3-9099-C40C66FF867C}">
                  <a14:compatExt spid="_x0000_s89222"/>
                </a:ext>
                <a:ext uri="{FF2B5EF4-FFF2-40B4-BE49-F238E27FC236}">
                  <a16:creationId xmlns:a16="http://schemas.microsoft.com/office/drawing/2014/main" id="{00000000-0008-0000-2B00-000086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1276350</xdr:colOff>
          <xdr:row>8</xdr:row>
          <xdr:rowOff>95250</xdr:rowOff>
        </xdr:from>
        <xdr:to>
          <xdr:col>4</xdr:col>
          <xdr:colOff>2333625</xdr:colOff>
          <xdr:row>9</xdr:row>
          <xdr:rowOff>142875</xdr:rowOff>
        </xdr:to>
        <xdr:sp macro="" textlink="">
          <xdr:nvSpPr>
            <xdr:cNvPr id="89223" name="STG2_Pleated4" hidden="1">
              <a:extLst>
                <a:ext uri="{63B3BB69-23CF-44E3-9099-C40C66FF867C}">
                  <a14:compatExt spid="_x0000_s89223"/>
                </a:ext>
                <a:ext uri="{FF2B5EF4-FFF2-40B4-BE49-F238E27FC236}">
                  <a16:creationId xmlns:a16="http://schemas.microsoft.com/office/drawing/2014/main" id="{00000000-0008-0000-2B00-000087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1295400</xdr:colOff>
          <xdr:row>18</xdr:row>
          <xdr:rowOff>38100</xdr:rowOff>
        </xdr:from>
        <xdr:to>
          <xdr:col>4</xdr:col>
          <xdr:colOff>2352675</xdr:colOff>
          <xdr:row>19</xdr:row>
          <xdr:rowOff>85725</xdr:rowOff>
        </xdr:to>
        <xdr:sp macro="" textlink="">
          <xdr:nvSpPr>
            <xdr:cNvPr id="89224" name="STG4_Pleated4" hidden="1">
              <a:extLst>
                <a:ext uri="{63B3BB69-23CF-44E3-9099-C40C66FF867C}">
                  <a14:compatExt spid="_x0000_s89224"/>
                </a:ext>
                <a:ext uri="{FF2B5EF4-FFF2-40B4-BE49-F238E27FC236}">
                  <a16:creationId xmlns:a16="http://schemas.microsoft.com/office/drawing/2014/main" id="{00000000-0008-0000-2B00-000088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xdr:colOff>
          <xdr:row>13</xdr:row>
          <xdr:rowOff>190500</xdr:rowOff>
        </xdr:from>
        <xdr:to>
          <xdr:col>4</xdr:col>
          <xdr:colOff>1181100</xdr:colOff>
          <xdr:row>15</xdr:row>
          <xdr:rowOff>0</xdr:rowOff>
        </xdr:to>
        <xdr:sp macro="" textlink="">
          <xdr:nvSpPr>
            <xdr:cNvPr id="89225" name="STG3_Pleated4" hidden="1">
              <a:extLst>
                <a:ext uri="{63B3BB69-23CF-44E3-9099-C40C66FF867C}">
                  <a14:compatExt spid="_x0000_s89225"/>
                </a:ext>
                <a:ext uri="{FF2B5EF4-FFF2-40B4-BE49-F238E27FC236}">
                  <a16:creationId xmlns:a16="http://schemas.microsoft.com/office/drawing/2014/main" id="{00000000-0008-0000-2B00-000089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12</xdr:row>
          <xdr:rowOff>0</xdr:rowOff>
        </xdr:from>
        <xdr:to>
          <xdr:col>1</xdr:col>
          <xdr:colOff>1152525</xdr:colOff>
          <xdr:row>13</xdr:row>
          <xdr:rowOff>47625</xdr:rowOff>
        </xdr:to>
        <xdr:sp macro="" textlink="">
          <xdr:nvSpPr>
            <xdr:cNvPr id="89226" name="STD_Base" hidden="1">
              <a:extLst>
                <a:ext uri="{63B3BB69-23CF-44E3-9099-C40C66FF867C}">
                  <a14:compatExt spid="_x0000_s89226"/>
                </a:ext>
                <a:ext uri="{FF2B5EF4-FFF2-40B4-BE49-F238E27FC236}">
                  <a16:creationId xmlns:a16="http://schemas.microsoft.com/office/drawing/2014/main" id="{00000000-0008-0000-2B00-00008A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28575</xdr:rowOff>
        </xdr:from>
        <xdr:to>
          <xdr:col>2</xdr:col>
          <xdr:colOff>1362075</xdr:colOff>
          <xdr:row>23</xdr:row>
          <xdr:rowOff>85725</xdr:rowOff>
        </xdr:to>
        <xdr:sp macro="" textlink="">
          <xdr:nvSpPr>
            <xdr:cNvPr id="89227" name="Spring1" hidden="1">
              <a:extLst>
                <a:ext uri="{63B3BB69-23CF-44E3-9099-C40C66FF867C}">
                  <a14:compatExt spid="_x0000_s89227"/>
                </a:ext>
                <a:ext uri="{FF2B5EF4-FFF2-40B4-BE49-F238E27FC236}">
                  <a16:creationId xmlns:a16="http://schemas.microsoft.com/office/drawing/2014/main" id="{00000000-0008-0000-2B00-00008B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38100</xdr:rowOff>
        </xdr:from>
        <xdr:to>
          <xdr:col>2</xdr:col>
          <xdr:colOff>1362075</xdr:colOff>
          <xdr:row>24</xdr:row>
          <xdr:rowOff>85725</xdr:rowOff>
        </xdr:to>
        <xdr:sp macro="" textlink="">
          <xdr:nvSpPr>
            <xdr:cNvPr id="89228" name="Spring2" hidden="1">
              <a:extLst>
                <a:ext uri="{63B3BB69-23CF-44E3-9099-C40C66FF867C}">
                  <a14:compatExt spid="_x0000_s89228"/>
                </a:ext>
                <a:ext uri="{FF2B5EF4-FFF2-40B4-BE49-F238E27FC236}">
                  <a16:creationId xmlns:a16="http://schemas.microsoft.com/office/drawing/2014/main" id="{00000000-0008-0000-2B00-00008C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228600</xdr:rowOff>
        </xdr:from>
        <xdr:to>
          <xdr:col>2</xdr:col>
          <xdr:colOff>1362075</xdr:colOff>
          <xdr:row>25</xdr:row>
          <xdr:rowOff>38100</xdr:rowOff>
        </xdr:to>
        <xdr:sp macro="" textlink="">
          <xdr:nvSpPr>
            <xdr:cNvPr id="89229" name="Rubber_Pad" hidden="1">
              <a:extLst>
                <a:ext uri="{63B3BB69-23CF-44E3-9099-C40C66FF867C}">
                  <a14:compatExt spid="_x0000_s89229"/>
                </a:ext>
                <a:ext uri="{FF2B5EF4-FFF2-40B4-BE49-F238E27FC236}">
                  <a16:creationId xmlns:a16="http://schemas.microsoft.com/office/drawing/2014/main" id="{00000000-0008-0000-2B00-00008D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24</xdr:row>
          <xdr:rowOff>200025</xdr:rowOff>
        </xdr:from>
        <xdr:to>
          <xdr:col>2</xdr:col>
          <xdr:colOff>1352550</xdr:colOff>
          <xdr:row>26</xdr:row>
          <xdr:rowOff>19050</xdr:rowOff>
        </xdr:to>
        <xdr:sp macro="" textlink="">
          <xdr:nvSpPr>
            <xdr:cNvPr id="89230" name="WOIsolator" hidden="1">
              <a:extLst>
                <a:ext uri="{63B3BB69-23CF-44E3-9099-C40C66FF867C}">
                  <a14:compatExt spid="_x0000_s89230"/>
                </a:ext>
                <a:ext uri="{FF2B5EF4-FFF2-40B4-BE49-F238E27FC236}">
                  <a16:creationId xmlns:a16="http://schemas.microsoft.com/office/drawing/2014/main" id="{00000000-0008-0000-2B00-00008E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12</xdr:row>
          <xdr:rowOff>66675</xdr:rowOff>
        </xdr:from>
        <xdr:to>
          <xdr:col>0</xdr:col>
          <xdr:colOff>1485900</xdr:colOff>
          <xdr:row>13</xdr:row>
          <xdr:rowOff>95250</xdr:rowOff>
        </xdr:to>
        <xdr:sp macro="" textlink="">
          <xdr:nvSpPr>
            <xdr:cNvPr id="89233" name="STD" hidden="1">
              <a:extLst>
                <a:ext uri="{63B3BB69-23CF-44E3-9099-C40C66FF867C}">
                  <a14:compatExt spid="_x0000_s89233"/>
                </a:ext>
                <a:ext uri="{FF2B5EF4-FFF2-40B4-BE49-F238E27FC236}">
                  <a16:creationId xmlns:a16="http://schemas.microsoft.com/office/drawing/2014/main" id="{00000000-0008-0000-2B00-00009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5</xdr:row>
          <xdr:rowOff>190500</xdr:rowOff>
        </xdr:from>
        <xdr:to>
          <xdr:col>0</xdr:col>
          <xdr:colOff>561975</xdr:colOff>
          <xdr:row>7</xdr:row>
          <xdr:rowOff>0</xdr:rowOff>
        </xdr:to>
        <xdr:sp macro="" textlink="">
          <xdr:nvSpPr>
            <xdr:cNvPr id="105473" name="Quick_Hz_60" hidden="1">
              <a:extLst>
                <a:ext uri="{63B3BB69-23CF-44E3-9099-C40C66FF867C}">
                  <a14:compatExt spid="_x0000_s105473"/>
                </a:ext>
                <a:ext uri="{FF2B5EF4-FFF2-40B4-BE49-F238E27FC236}">
                  <a16:creationId xmlns:a16="http://schemas.microsoft.com/office/drawing/2014/main" id="{00000000-0008-0000-2C00-000001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200025</xdr:rowOff>
        </xdr:from>
        <xdr:to>
          <xdr:col>0</xdr:col>
          <xdr:colOff>581025</xdr:colOff>
          <xdr:row>8</xdr:row>
          <xdr:rowOff>19050</xdr:rowOff>
        </xdr:to>
        <xdr:sp macro="" textlink="">
          <xdr:nvSpPr>
            <xdr:cNvPr id="105474" name="Quick_Hz_50" hidden="1">
              <a:extLst>
                <a:ext uri="{63B3BB69-23CF-44E3-9099-C40C66FF867C}">
                  <a14:compatExt spid="_x0000_s105474"/>
                </a:ext>
                <a:ext uri="{FF2B5EF4-FFF2-40B4-BE49-F238E27FC236}">
                  <a16:creationId xmlns:a16="http://schemas.microsoft.com/office/drawing/2014/main" id="{00000000-0008-0000-2C00-000002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xdr:row>
          <xdr:rowOff>0</xdr:rowOff>
        </xdr:from>
        <xdr:to>
          <xdr:col>1</xdr:col>
          <xdr:colOff>638175</xdr:colOff>
          <xdr:row>7</xdr:row>
          <xdr:rowOff>38100</xdr:rowOff>
        </xdr:to>
        <xdr:sp macro="" textlink="">
          <xdr:nvSpPr>
            <xdr:cNvPr id="105475" name="Quick_Power_220" hidden="1">
              <a:extLst>
                <a:ext uri="{63B3BB69-23CF-44E3-9099-C40C66FF867C}">
                  <a14:compatExt spid="_x0000_s105475"/>
                </a:ext>
                <a:ext uri="{FF2B5EF4-FFF2-40B4-BE49-F238E27FC236}">
                  <a16:creationId xmlns:a16="http://schemas.microsoft.com/office/drawing/2014/main" id="{00000000-0008-0000-2C00-000003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6</xdr:row>
          <xdr:rowOff>200025</xdr:rowOff>
        </xdr:from>
        <xdr:to>
          <xdr:col>1</xdr:col>
          <xdr:colOff>666750</xdr:colOff>
          <xdr:row>8</xdr:row>
          <xdr:rowOff>19050</xdr:rowOff>
        </xdr:to>
        <xdr:sp macro="" textlink="">
          <xdr:nvSpPr>
            <xdr:cNvPr id="105476" name="Quick_Power_380" hidden="1">
              <a:extLst>
                <a:ext uri="{63B3BB69-23CF-44E3-9099-C40C66FF867C}">
                  <a14:compatExt spid="_x0000_s105476"/>
                </a:ext>
                <a:ext uri="{FF2B5EF4-FFF2-40B4-BE49-F238E27FC236}">
                  <a16:creationId xmlns:a16="http://schemas.microsoft.com/office/drawing/2014/main" id="{00000000-0008-0000-2C00-000004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xdr:row>
          <xdr:rowOff>0</xdr:rowOff>
        </xdr:from>
        <xdr:to>
          <xdr:col>1</xdr:col>
          <xdr:colOff>657225</xdr:colOff>
          <xdr:row>9</xdr:row>
          <xdr:rowOff>28575</xdr:rowOff>
        </xdr:to>
        <xdr:sp macro="" textlink="">
          <xdr:nvSpPr>
            <xdr:cNvPr id="105477" name="Quick_Power_460" hidden="1">
              <a:extLst>
                <a:ext uri="{63B3BB69-23CF-44E3-9099-C40C66FF867C}">
                  <a14:compatExt spid="_x0000_s105477"/>
                </a:ext>
                <a:ext uri="{FF2B5EF4-FFF2-40B4-BE49-F238E27FC236}">
                  <a16:creationId xmlns:a16="http://schemas.microsoft.com/office/drawing/2014/main" id="{00000000-0008-0000-2C00-000005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0</xdr:col>
          <xdr:colOff>676275</xdr:colOff>
          <xdr:row>1</xdr:row>
          <xdr:rowOff>247650</xdr:rowOff>
        </xdr:to>
        <xdr:sp macro="" textlink="">
          <xdr:nvSpPr>
            <xdr:cNvPr id="105478" name="QUICK_Chiller_R134a" hidden="1">
              <a:extLst>
                <a:ext uri="{63B3BB69-23CF-44E3-9099-C40C66FF867C}">
                  <a14:compatExt spid="_x0000_s105478"/>
                </a:ext>
                <a:ext uri="{FF2B5EF4-FFF2-40B4-BE49-F238E27FC236}">
                  <a16:creationId xmlns:a16="http://schemas.microsoft.com/office/drawing/2014/main" id="{00000000-0008-0000-2C00-000006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161925</xdr:rowOff>
        </xdr:from>
        <xdr:to>
          <xdr:col>0</xdr:col>
          <xdr:colOff>676275</xdr:colOff>
          <xdr:row>3</xdr:row>
          <xdr:rowOff>200025</xdr:rowOff>
        </xdr:to>
        <xdr:sp macro="" textlink="">
          <xdr:nvSpPr>
            <xdr:cNvPr id="105479" name="QUICK_Chiller_R410A" hidden="1">
              <a:extLst>
                <a:ext uri="{63B3BB69-23CF-44E3-9099-C40C66FF867C}">
                  <a14:compatExt spid="_x0000_s105479"/>
                </a:ext>
                <a:ext uri="{FF2B5EF4-FFF2-40B4-BE49-F238E27FC236}">
                  <a16:creationId xmlns:a16="http://schemas.microsoft.com/office/drawing/2014/main" id="{00000000-0008-0000-2C00-000007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266700</xdr:rowOff>
        </xdr:from>
        <xdr:to>
          <xdr:col>0</xdr:col>
          <xdr:colOff>676275</xdr:colOff>
          <xdr:row>3</xdr:row>
          <xdr:rowOff>9525</xdr:rowOff>
        </xdr:to>
        <xdr:sp macro="" textlink="">
          <xdr:nvSpPr>
            <xdr:cNvPr id="105480" name="QUICK_Chiller_R407C" hidden="1">
              <a:extLst>
                <a:ext uri="{63B3BB69-23CF-44E3-9099-C40C66FF867C}">
                  <a14:compatExt spid="_x0000_s105480"/>
                </a:ext>
                <a:ext uri="{FF2B5EF4-FFF2-40B4-BE49-F238E27FC236}">
                  <a16:creationId xmlns:a16="http://schemas.microsoft.com/office/drawing/2014/main" id="{00000000-0008-0000-2C00-000008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xdr:row>
          <xdr:rowOff>266700</xdr:rowOff>
        </xdr:from>
        <xdr:to>
          <xdr:col>2</xdr:col>
          <xdr:colOff>9525</xdr:colOff>
          <xdr:row>3</xdr:row>
          <xdr:rowOff>9525</xdr:rowOff>
        </xdr:to>
        <xdr:sp macro="" textlink="">
          <xdr:nvSpPr>
            <xdr:cNvPr id="105481" name="QUICK_Chiller_PSC" hidden="1">
              <a:extLst>
                <a:ext uri="{63B3BB69-23CF-44E3-9099-C40C66FF867C}">
                  <a14:compatExt spid="_x0000_s105481"/>
                </a:ext>
                <a:ext uri="{FF2B5EF4-FFF2-40B4-BE49-F238E27FC236}">
                  <a16:creationId xmlns:a16="http://schemas.microsoft.com/office/drawing/2014/main" id="{00000000-0008-0000-2C00-000009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xdr:row>
          <xdr:rowOff>161925</xdr:rowOff>
        </xdr:from>
        <xdr:to>
          <xdr:col>2</xdr:col>
          <xdr:colOff>9525</xdr:colOff>
          <xdr:row>3</xdr:row>
          <xdr:rowOff>200025</xdr:rowOff>
        </xdr:to>
        <xdr:sp macro="" textlink="">
          <xdr:nvSpPr>
            <xdr:cNvPr id="105482" name="QUICK_Chiller_RWC" hidden="1">
              <a:extLst>
                <a:ext uri="{63B3BB69-23CF-44E3-9099-C40C66FF867C}">
                  <a14:compatExt spid="_x0000_s105482"/>
                </a:ext>
                <a:ext uri="{FF2B5EF4-FFF2-40B4-BE49-F238E27FC236}">
                  <a16:creationId xmlns:a16="http://schemas.microsoft.com/office/drawing/2014/main" id="{00000000-0008-0000-2C00-00000A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xdr:row>
          <xdr:rowOff>0</xdr:rowOff>
        </xdr:from>
        <xdr:to>
          <xdr:col>2</xdr:col>
          <xdr:colOff>0</xdr:colOff>
          <xdr:row>1</xdr:row>
          <xdr:rowOff>238125</xdr:rowOff>
        </xdr:to>
        <xdr:sp macro="" textlink="">
          <xdr:nvSpPr>
            <xdr:cNvPr id="105483" name="QUICK_Chiller_APSA" hidden="1">
              <a:extLst>
                <a:ext uri="{63B3BB69-23CF-44E3-9099-C40C66FF867C}">
                  <a14:compatExt spid="_x0000_s105483"/>
                </a:ext>
                <a:ext uri="{FF2B5EF4-FFF2-40B4-BE49-F238E27FC236}">
                  <a16:creationId xmlns:a16="http://schemas.microsoft.com/office/drawing/2014/main" id="{00000000-0008-0000-2C00-00000B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12</xdr:row>
          <xdr:rowOff>323850</xdr:rowOff>
        </xdr:from>
        <xdr:to>
          <xdr:col>0</xdr:col>
          <xdr:colOff>771525</xdr:colOff>
          <xdr:row>14</xdr:row>
          <xdr:rowOff>28575</xdr:rowOff>
        </xdr:to>
        <xdr:sp macro="" textlink="">
          <xdr:nvSpPr>
            <xdr:cNvPr id="105484" name="SASO_JO" hidden="1">
              <a:extLst>
                <a:ext uri="{63B3BB69-23CF-44E3-9099-C40C66FF867C}">
                  <a14:compatExt spid="_x0000_s105484"/>
                </a:ext>
                <a:ext uri="{FF2B5EF4-FFF2-40B4-BE49-F238E27FC236}">
                  <a16:creationId xmlns:a16="http://schemas.microsoft.com/office/drawing/2014/main" id="{00000000-0008-0000-2C00-00000C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14</xdr:row>
          <xdr:rowOff>0</xdr:rowOff>
        </xdr:from>
        <xdr:to>
          <xdr:col>0</xdr:col>
          <xdr:colOff>742950</xdr:colOff>
          <xdr:row>15</xdr:row>
          <xdr:rowOff>28575</xdr:rowOff>
        </xdr:to>
        <xdr:sp macro="" textlink="">
          <xdr:nvSpPr>
            <xdr:cNvPr id="105485" name="SASO_KSA" hidden="1">
              <a:extLst>
                <a:ext uri="{63B3BB69-23CF-44E3-9099-C40C66FF867C}">
                  <a14:compatExt spid="_x0000_s105485"/>
                </a:ext>
                <a:ext uri="{FF2B5EF4-FFF2-40B4-BE49-F238E27FC236}">
                  <a16:creationId xmlns:a16="http://schemas.microsoft.com/office/drawing/2014/main" id="{00000000-0008-0000-2C00-00000D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0</xdr:row>
          <xdr:rowOff>38100</xdr:rowOff>
        </xdr:from>
        <xdr:to>
          <xdr:col>11</xdr:col>
          <xdr:colOff>495300</xdr:colOff>
          <xdr:row>3</xdr:row>
          <xdr:rowOff>114300</xdr:rowOff>
        </xdr:to>
        <xdr:sp macro="" textlink="">
          <xdr:nvSpPr>
            <xdr:cNvPr id="105486" name="Chiller_Quick_Pricing" hidden="1">
              <a:extLst>
                <a:ext uri="{63B3BB69-23CF-44E3-9099-C40C66FF867C}">
                  <a14:compatExt spid="_x0000_s105486"/>
                </a:ext>
                <a:ext uri="{FF2B5EF4-FFF2-40B4-BE49-F238E27FC236}">
                  <a16:creationId xmlns:a16="http://schemas.microsoft.com/office/drawing/2014/main" id="{00000000-0008-0000-2C00-00000E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xdr:row>
          <xdr:rowOff>314325</xdr:rowOff>
        </xdr:from>
        <xdr:to>
          <xdr:col>4</xdr:col>
          <xdr:colOff>476250</xdr:colOff>
          <xdr:row>14</xdr:row>
          <xdr:rowOff>38100</xdr:rowOff>
        </xdr:to>
        <xdr:sp macro="" textlink="">
          <xdr:nvSpPr>
            <xdr:cNvPr id="105488" name="Q_Suction_Valve" hidden="1">
              <a:extLst>
                <a:ext uri="{63B3BB69-23CF-44E3-9099-C40C66FF867C}">
                  <a14:compatExt spid="_x0000_s105488"/>
                </a:ext>
                <a:ext uri="{FF2B5EF4-FFF2-40B4-BE49-F238E27FC236}">
                  <a16:creationId xmlns:a16="http://schemas.microsoft.com/office/drawing/2014/main" id="{00000000-0008-0000-2C00-000010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8</xdr:row>
          <xdr:rowOff>133350</xdr:rowOff>
        </xdr:from>
        <xdr:to>
          <xdr:col>8</xdr:col>
          <xdr:colOff>9525</xdr:colOff>
          <xdr:row>9</xdr:row>
          <xdr:rowOff>190500</xdr:rowOff>
        </xdr:to>
        <xdr:sp macro="" textlink="">
          <xdr:nvSpPr>
            <xdr:cNvPr id="105489" name="Q_Elec_Heater_Trap" hidden="1">
              <a:extLst>
                <a:ext uri="{63B3BB69-23CF-44E3-9099-C40C66FF867C}">
                  <a14:compatExt spid="_x0000_s105489"/>
                </a:ext>
                <a:ext uri="{FF2B5EF4-FFF2-40B4-BE49-F238E27FC236}">
                  <a16:creationId xmlns:a16="http://schemas.microsoft.com/office/drawing/2014/main" id="{00000000-0008-0000-2C00-000011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xdr:row>
          <xdr:rowOff>38100</xdr:rowOff>
        </xdr:from>
        <xdr:to>
          <xdr:col>4</xdr:col>
          <xdr:colOff>523875</xdr:colOff>
          <xdr:row>3</xdr:row>
          <xdr:rowOff>95250</xdr:rowOff>
        </xdr:to>
        <xdr:sp macro="" textlink="">
          <xdr:nvSpPr>
            <xdr:cNvPr id="105490" name="Q_Wire_Mesh" hidden="1">
              <a:extLst>
                <a:ext uri="{63B3BB69-23CF-44E3-9099-C40C66FF867C}">
                  <a14:compatExt spid="_x0000_s105490"/>
                </a:ext>
                <a:ext uri="{FF2B5EF4-FFF2-40B4-BE49-F238E27FC236}">
                  <a16:creationId xmlns:a16="http://schemas.microsoft.com/office/drawing/2014/main" id="{00000000-0008-0000-2C00-000012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xdr:row>
          <xdr:rowOff>76200</xdr:rowOff>
        </xdr:from>
        <xdr:to>
          <xdr:col>7</xdr:col>
          <xdr:colOff>600075</xdr:colOff>
          <xdr:row>4</xdr:row>
          <xdr:rowOff>133350</xdr:rowOff>
        </xdr:to>
        <xdr:sp macro="" textlink="">
          <xdr:nvSpPr>
            <xdr:cNvPr id="105491" name="Q_EOL_Comp" hidden="1">
              <a:extLst>
                <a:ext uri="{63B3BB69-23CF-44E3-9099-C40C66FF867C}">
                  <a14:compatExt spid="_x0000_s105491"/>
                </a:ext>
                <a:ext uri="{FF2B5EF4-FFF2-40B4-BE49-F238E27FC236}">
                  <a16:creationId xmlns:a16="http://schemas.microsoft.com/office/drawing/2014/main" id="{00000000-0008-0000-2C00-000013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9</xdr:row>
          <xdr:rowOff>142875</xdr:rowOff>
        </xdr:from>
        <xdr:to>
          <xdr:col>8</xdr:col>
          <xdr:colOff>47625</xdr:colOff>
          <xdr:row>10</xdr:row>
          <xdr:rowOff>200025</xdr:rowOff>
        </xdr:to>
        <xdr:sp macro="" textlink="">
          <xdr:nvSpPr>
            <xdr:cNvPr id="105492" name="Q_WFS" hidden="1">
              <a:extLst>
                <a:ext uri="{63B3BB69-23CF-44E3-9099-C40C66FF867C}">
                  <a14:compatExt spid="_x0000_s105492"/>
                </a:ext>
                <a:ext uri="{FF2B5EF4-FFF2-40B4-BE49-F238E27FC236}">
                  <a16:creationId xmlns:a16="http://schemas.microsoft.com/office/drawing/2014/main" id="{00000000-0008-0000-2C00-000014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xdr:row>
          <xdr:rowOff>85725</xdr:rowOff>
        </xdr:from>
        <xdr:to>
          <xdr:col>5</xdr:col>
          <xdr:colOff>190500</xdr:colOff>
          <xdr:row>4</xdr:row>
          <xdr:rowOff>142875</xdr:rowOff>
        </xdr:to>
        <xdr:sp macro="" textlink="">
          <xdr:nvSpPr>
            <xdr:cNvPr id="105493" name="Q_Cooler_Jacket" hidden="1">
              <a:extLst>
                <a:ext uri="{63B3BB69-23CF-44E3-9099-C40C66FF867C}">
                  <a14:compatExt spid="_x0000_s105493"/>
                </a:ext>
                <a:ext uri="{FF2B5EF4-FFF2-40B4-BE49-F238E27FC236}">
                  <a16:creationId xmlns:a16="http://schemas.microsoft.com/office/drawing/2014/main" id="{00000000-0008-0000-2C00-000015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xdr:row>
          <xdr:rowOff>95250</xdr:rowOff>
        </xdr:from>
        <xdr:to>
          <xdr:col>5</xdr:col>
          <xdr:colOff>190500</xdr:colOff>
          <xdr:row>5</xdr:row>
          <xdr:rowOff>152400</xdr:rowOff>
        </xdr:to>
        <xdr:sp macro="" textlink="">
          <xdr:nvSpPr>
            <xdr:cNvPr id="105494" name="Q_Cooler_Jacket_SS" hidden="1">
              <a:extLst>
                <a:ext uri="{63B3BB69-23CF-44E3-9099-C40C66FF867C}">
                  <a14:compatExt spid="_x0000_s105494"/>
                </a:ext>
                <a:ext uri="{FF2B5EF4-FFF2-40B4-BE49-F238E27FC236}">
                  <a16:creationId xmlns:a16="http://schemas.microsoft.com/office/drawing/2014/main" id="{00000000-0008-0000-2C00-000016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xdr:row>
          <xdr:rowOff>28575</xdr:rowOff>
        </xdr:from>
        <xdr:to>
          <xdr:col>5</xdr:col>
          <xdr:colOff>552450</xdr:colOff>
          <xdr:row>16</xdr:row>
          <xdr:rowOff>85725</xdr:rowOff>
        </xdr:to>
        <xdr:sp macro="" textlink="">
          <xdr:nvSpPr>
            <xdr:cNvPr id="105495" name="Q_High_Pressure_Relef" hidden="1">
              <a:extLst>
                <a:ext uri="{63B3BB69-23CF-44E3-9099-C40C66FF867C}">
                  <a14:compatExt spid="_x0000_s105495"/>
                </a:ext>
                <a:ext uri="{FF2B5EF4-FFF2-40B4-BE49-F238E27FC236}">
                  <a16:creationId xmlns:a16="http://schemas.microsoft.com/office/drawing/2014/main" id="{00000000-0008-0000-2C00-000017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5</xdr:row>
          <xdr:rowOff>142875</xdr:rowOff>
        </xdr:from>
        <xdr:to>
          <xdr:col>5</xdr:col>
          <xdr:colOff>438150</xdr:colOff>
          <xdr:row>6</xdr:row>
          <xdr:rowOff>180975</xdr:rowOff>
        </xdr:to>
        <xdr:sp macro="" textlink="">
          <xdr:nvSpPr>
            <xdr:cNvPr id="105496" name="Q_Cooler_Insu" hidden="1">
              <a:extLst>
                <a:ext uri="{63B3BB69-23CF-44E3-9099-C40C66FF867C}">
                  <a14:compatExt spid="_x0000_s105496"/>
                </a:ext>
                <a:ext uri="{FF2B5EF4-FFF2-40B4-BE49-F238E27FC236}">
                  <a16:creationId xmlns:a16="http://schemas.microsoft.com/office/drawing/2014/main" id="{00000000-0008-0000-2C00-000018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6</xdr:row>
          <xdr:rowOff>114300</xdr:rowOff>
        </xdr:from>
        <xdr:to>
          <xdr:col>5</xdr:col>
          <xdr:colOff>438150</xdr:colOff>
          <xdr:row>7</xdr:row>
          <xdr:rowOff>171450</xdr:rowOff>
        </xdr:to>
        <xdr:sp macro="" textlink="">
          <xdr:nvSpPr>
            <xdr:cNvPr id="105497" name="Q_Comp_Compart" hidden="1">
              <a:extLst>
                <a:ext uri="{63B3BB69-23CF-44E3-9099-C40C66FF867C}">
                  <a14:compatExt spid="_x0000_s105497"/>
                </a:ext>
                <a:ext uri="{FF2B5EF4-FFF2-40B4-BE49-F238E27FC236}">
                  <a16:creationId xmlns:a16="http://schemas.microsoft.com/office/drawing/2014/main" id="{00000000-0008-0000-2C00-000019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xdr:row>
          <xdr:rowOff>114300</xdr:rowOff>
        </xdr:from>
        <xdr:to>
          <xdr:col>5</xdr:col>
          <xdr:colOff>428625</xdr:colOff>
          <xdr:row>8</xdr:row>
          <xdr:rowOff>171450</xdr:rowOff>
        </xdr:to>
        <xdr:sp macro="" textlink="">
          <xdr:nvSpPr>
            <xdr:cNvPr id="105498" name="Q_Comp_Jacket" hidden="1">
              <a:extLst>
                <a:ext uri="{63B3BB69-23CF-44E3-9099-C40C66FF867C}">
                  <a14:compatExt spid="_x0000_s105498"/>
                </a:ext>
                <a:ext uri="{FF2B5EF4-FFF2-40B4-BE49-F238E27FC236}">
                  <a16:creationId xmlns:a16="http://schemas.microsoft.com/office/drawing/2014/main" id="{00000000-0008-0000-2C00-00001A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16</xdr:row>
          <xdr:rowOff>38100</xdr:rowOff>
        </xdr:from>
        <xdr:to>
          <xdr:col>4</xdr:col>
          <xdr:colOff>104775</xdr:colOff>
          <xdr:row>17</xdr:row>
          <xdr:rowOff>95250</xdr:rowOff>
        </xdr:to>
        <xdr:sp macro="" textlink="">
          <xdr:nvSpPr>
            <xdr:cNvPr id="105499" name="Q_HLPG" hidden="1">
              <a:extLst>
                <a:ext uri="{63B3BB69-23CF-44E3-9099-C40C66FF867C}">
                  <a14:compatExt spid="_x0000_s105499"/>
                </a:ext>
                <a:ext uri="{FF2B5EF4-FFF2-40B4-BE49-F238E27FC236}">
                  <a16:creationId xmlns:a16="http://schemas.microsoft.com/office/drawing/2014/main" id="{00000000-0008-0000-2C00-00001B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xdr:row>
          <xdr:rowOff>38100</xdr:rowOff>
        </xdr:from>
        <xdr:to>
          <xdr:col>7</xdr:col>
          <xdr:colOff>104775</xdr:colOff>
          <xdr:row>3</xdr:row>
          <xdr:rowOff>95250</xdr:rowOff>
        </xdr:to>
        <xdr:sp macro="" textlink="">
          <xdr:nvSpPr>
            <xdr:cNvPr id="105500" name="Q_CB_CFM" hidden="1">
              <a:extLst>
                <a:ext uri="{63B3BB69-23CF-44E3-9099-C40C66FF867C}">
                  <a14:compatExt spid="_x0000_s105500"/>
                </a:ext>
                <a:ext uri="{FF2B5EF4-FFF2-40B4-BE49-F238E27FC236}">
                  <a16:creationId xmlns:a16="http://schemas.microsoft.com/office/drawing/2014/main" id="{00000000-0008-0000-2C00-00001C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xdr:row>
          <xdr:rowOff>95250</xdr:rowOff>
        </xdr:from>
        <xdr:to>
          <xdr:col>7</xdr:col>
          <xdr:colOff>295275</xdr:colOff>
          <xdr:row>5</xdr:row>
          <xdr:rowOff>152400</xdr:rowOff>
        </xdr:to>
        <xdr:sp macro="" textlink="">
          <xdr:nvSpPr>
            <xdr:cNvPr id="105501" name="Q_EOL_CFM" hidden="1">
              <a:extLst>
                <a:ext uri="{63B3BB69-23CF-44E3-9099-C40C66FF867C}">
                  <a14:compatExt spid="_x0000_s105501"/>
                </a:ext>
                <a:ext uri="{FF2B5EF4-FFF2-40B4-BE49-F238E27FC236}">
                  <a16:creationId xmlns:a16="http://schemas.microsoft.com/office/drawing/2014/main" id="{00000000-0008-0000-2C00-00001D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13</xdr:row>
          <xdr:rowOff>152400</xdr:rowOff>
        </xdr:from>
        <xdr:to>
          <xdr:col>5</xdr:col>
          <xdr:colOff>552450</xdr:colOff>
          <xdr:row>15</xdr:row>
          <xdr:rowOff>76200</xdr:rowOff>
        </xdr:to>
        <xdr:sp macro="" textlink="">
          <xdr:nvSpPr>
            <xdr:cNvPr id="105502" name="Q_HGBP" hidden="1">
              <a:extLst>
                <a:ext uri="{63B3BB69-23CF-44E3-9099-C40C66FF867C}">
                  <a14:compatExt spid="_x0000_s105502"/>
                </a:ext>
                <a:ext uri="{FF2B5EF4-FFF2-40B4-BE49-F238E27FC236}">
                  <a16:creationId xmlns:a16="http://schemas.microsoft.com/office/drawing/2014/main" id="{00000000-0008-0000-2C00-00001E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18</xdr:row>
          <xdr:rowOff>19050</xdr:rowOff>
        </xdr:from>
        <xdr:to>
          <xdr:col>1</xdr:col>
          <xdr:colOff>304800</xdr:colOff>
          <xdr:row>19</xdr:row>
          <xdr:rowOff>9525</xdr:rowOff>
        </xdr:to>
        <xdr:sp macro="" textlink="">
          <xdr:nvSpPr>
            <xdr:cNvPr id="105503" name="Q_Chiller_MicroChannel" hidden="1">
              <a:extLst>
                <a:ext uri="{63B3BB69-23CF-44E3-9099-C40C66FF867C}">
                  <a14:compatExt spid="_x0000_s105503"/>
                </a:ext>
                <a:ext uri="{FF2B5EF4-FFF2-40B4-BE49-F238E27FC236}">
                  <a16:creationId xmlns:a16="http://schemas.microsoft.com/office/drawing/2014/main" id="{00000000-0008-0000-2C00-00001F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20</xdr:row>
          <xdr:rowOff>0</xdr:rowOff>
        </xdr:from>
        <xdr:to>
          <xdr:col>1</xdr:col>
          <xdr:colOff>85725</xdr:colOff>
          <xdr:row>21</xdr:row>
          <xdr:rowOff>0</xdr:rowOff>
        </xdr:to>
        <xdr:sp macro="" textlink="">
          <xdr:nvSpPr>
            <xdr:cNvPr id="105504" name="Q_Chiller_Cu_Cu" hidden="1">
              <a:extLst>
                <a:ext uri="{63B3BB69-23CF-44E3-9099-C40C66FF867C}">
                  <a14:compatExt spid="_x0000_s105504"/>
                </a:ext>
                <a:ext uri="{FF2B5EF4-FFF2-40B4-BE49-F238E27FC236}">
                  <a16:creationId xmlns:a16="http://schemas.microsoft.com/office/drawing/2014/main" id="{00000000-0008-0000-2C00-000020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18</xdr:row>
          <xdr:rowOff>228600</xdr:rowOff>
        </xdr:from>
        <xdr:to>
          <xdr:col>1</xdr:col>
          <xdr:colOff>371475</xdr:colOff>
          <xdr:row>19</xdr:row>
          <xdr:rowOff>228600</xdr:rowOff>
        </xdr:to>
        <xdr:sp macro="" textlink="">
          <xdr:nvSpPr>
            <xdr:cNvPr id="105505" name="Q_Chiller_CU_Al" hidden="1">
              <a:extLst>
                <a:ext uri="{63B3BB69-23CF-44E3-9099-C40C66FF867C}">
                  <a14:compatExt spid="_x0000_s105505"/>
                </a:ext>
                <a:ext uri="{FF2B5EF4-FFF2-40B4-BE49-F238E27FC236}">
                  <a16:creationId xmlns:a16="http://schemas.microsoft.com/office/drawing/2014/main" id="{00000000-0008-0000-2C00-000021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21</xdr:row>
          <xdr:rowOff>0</xdr:rowOff>
        </xdr:from>
        <xdr:to>
          <xdr:col>1</xdr:col>
          <xdr:colOff>685800</xdr:colOff>
          <xdr:row>22</xdr:row>
          <xdr:rowOff>0</xdr:rowOff>
        </xdr:to>
        <xdr:sp macro="" textlink="">
          <xdr:nvSpPr>
            <xdr:cNvPr id="105506" name="Q_Chiller_CU_Pre_Coated" hidden="1">
              <a:extLst>
                <a:ext uri="{63B3BB69-23CF-44E3-9099-C40C66FF867C}">
                  <a14:compatExt spid="_x0000_s105506"/>
                </a:ext>
                <a:ext uri="{FF2B5EF4-FFF2-40B4-BE49-F238E27FC236}">
                  <a16:creationId xmlns:a16="http://schemas.microsoft.com/office/drawing/2014/main" id="{00000000-0008-0000-2C00-000022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5</xdr:row>
          <xdr:rowOff>123825</xdr:rowOff>
        </xdr:from>
        <xdr:to>
          <xdr:col>7</xdr:col>
          <xdr:colOff>590550</xdr:colOff>
          <xdr:row>6</xdr:row>
          <xdr:rowOff>161925</xdr:rowOff>
        </xdr:to>
        <xdr:sp macro="" textlink="">
          <xdr:nvSpPr>
            <xdr:cNvPr id="105507" name="Q_MDS_Non_Fused" hidden="1">
              <a:extLst>
                <a:ext uri="{63B3BB69-23CF-44E3-9099-C40C66FF867C}">
                  <a14:compatExt spid="_x0000_s105507"/>
                </a:ext>
                <a:ext uri="{FF2B5EF4-FFF2-40B4-BE49-F238E27FC236}">
                  <a16:creationId xmlns:a16="http://schemas.microsoft.com/office/drawing/2014/main" id="{00000000-0008-0000-2C00-000023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6</xdr:row>
          <xdr:rowOff>104775</xdr:rowOff>
        </xdr:from>
        <xdr:to>
          <xdr:col>7</xdr:col>
          <xdr:colOff>600075</xdr:colOff>
          <xdr:row>7</xdr:row>
          <xdr:rowOff>161925</xdr:rowOff>
        </xdr:to>
        <xdr:sp macro="" textlink="">
          <xdr:nvSpPr>
            <xdr:cNvPr id="105508" name="Q_MDS_Fused" hidden="1">
              <a:extLst>
                <a:ext uri="{63B3BB69-23CF-44E3-9099-C40C66FF867C}">
                  <a14:compatExt spid="_x0000_s105508"/>
                </a:ext>
                <a:ext uri="{FF2B5EF4-FFF2-40B4-BE49-F238E27FC236}">
                  <a16:creationId xmlns:a16="http://schemas.microsoft.com/office/drawing/2014/main" id="{00000000-0008-0000-2C00-000024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7</xdr:row>
          <xdr:rowOff>104775</xdr:rowOff>
        </xdr:from>
        <xdr:to>
          <xdr:col>7</xdr:col>
          <xdr:colOff>600075</xdr:colOff>
          <xdr:row>8</xdr:row>
          <xdr:rowOff>161925</xdr:rowOff>
        </xdr:to>
        <xdr:sp macro="" textlink="">
          <xdr:nvSpPr>
            <xdr:cNvPr id="105509" name="Q_MCB" hidden="1">
              <a:extLst>
                <a:ext uri="{63B3BB69-23CF-44E3-9099-C40C66FF867C}">
                  <a14:compatExt spid="_x0000_s105509"/>
                </a:ext>
                <a:ext uri="{FF2B5EF4-FFF2-40B4-BE49-F238E27FC236}">
                  <a16:creationId xmlns:a16="http://schemas.microsoft.com/office/drawing/2014/main" id="{00000000-0008-0000-2C00-000025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57150</xdr:rowOff>
        </xdr:from>
        <xdr:to>
          <xdr:col>5</xdr:col>
          <xdr:colOff>571500</xdr:colOff>
          <xdr:row>11</xdr:row>
          <xdr:rowOff>104775</xdr:rowOff>
        </xdr:to>
        <xdr:sp macro="" textlink="">
          <xdr:nvSpPr>
            <xdr:cNvPr id="105510" name="Q_Post_Coating" hidden="1">
              <a:extLst>
                <a:ext uri="{63B3BB69-23CF-44E3-9099-C40C66FF867C}">
                  <a14:compatExt spid="_x0000_s105510"/>
                </a:ext>
                <a:ext uri="{FF2B5EF4-FFF2-40B4-BE49-F238E27FC236}">
                  <a16:creationId xmlns:a16="http://schemas.microsoft.com/office/drawing/2014/main" id="{00000000-0008-0000-2C00-000026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xdr:row>
          <xdr:rowOff>133350</xdr:rowOff>
        </xdr:from>
        <xdr:to>
          <xdr:col>5</xdr:col>
          <xdr:colOff>114300</xdr:colOff>
          <xdr:row>9</xdr:row>
          <xdr:rowOff>190500</xdr:rowOff>
        </xdr:to>
        <xdr:sp macro="" textlink="">
          <xdr:nvSpPr>
            <xdr:cNvPr id="105512" name="Q_Chiller_Coil_Coating" hidden="1">
              <a:extLst>
                <a:ext uri="{63B3BB69-23CF-44E3-9099-C40C66FF867C}">
                  <a14:compatExt spid="_x0000_s105512"/>
                </a:ext>
                <a:ext uri="{FF2B5EF4-FFF2-40B4-BE49-F238E27FC236}">
                  <a16:creationId xmlns:a16="http://schemas.microsoft.com/office/drawing/2014/main" id="{00000000-0008-0000-2C00-000028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17</xdr:row>
          <xdr:rowOff>57150</xdr:rowOff>
        </xdr:from>
        <xdr:to>
          <xdr:col>5</xdr:col>
          <xdr:colOff>542925</xdr:colOff>
          <xdr:row>18</xdr:row>
          <xdr:rowOff>200025</xdr:rowOff>
        </xdr:to>
        <xdr:sp macro="" textlink="">
          <xdr:nvSpPr>
            <xdr:cNvPr id="105513" name="Q_Suc_Line_Accu" hidden="1">
              <a:extLst>
                <a:ext uri="{63B3BB69-23CF-44E3-9099-C40C66FF867C}">
                  <a14:compatExt spid="_x0000_s105513"/>
                </a:ext>
                <a:ext uri="{FF2B5EF4-FFF2-40B4-BE49-F238E27FC236}">
                  <a16:creationId xmlns:a16="http://schemas.microsoft.com/office/drawing/2014/main" id="{00000000-0008-0000-2C00-000029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xdr:row>
          <xdr:rowOff>142875</xdr:rowOff>
        </xdr:from>
        <xdr:to>
          <xdr:col>9</xdr:col>
          <xdr:colOff>0</xdr:colOff>
          <xdr:row>11</xdr:row>
          <xdr:rowOff>190500</xdr:rowOff>
        </xdr:to>
        <xdr:sp macro="" textlink="">
          <xdr:nvSpPr>
            <xdr:cNvPr id="105514" name="Q_BACnet" hidden="1">
              <a:extLst>
                <a:ext uri="{63B3BB69-23CF-44E3-9099-C40C66FF867C}">
                  <a14:compatExt spid="_x0000_s105514"/>
                </a:ext>
                <a:ext uri="{FF2B5EF4-FFF2-40B4-BE49-F238E27FC236}">
                  <a16:creationId xmlns:a16="http://schemas.microsoft.com/office/drawing/2014/main" id="{00000000-0008-0000-2C00-00002A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52</xdr:row>
          <xdr:rowOff>9525</xdr:rowOff>
        </xdr:from>
        <xdr:to>
          <xdr:col>4</xdr:col>
          <xdr:colOff>76200</xdr:colOff>
          <xdr:row>53</xdr:row>
          <xdr:rowOff>57150</xdr:rowOff>
        </xdr:to>
        <xdr:sp macro="" textlink="">
          <xdr:nvSpPr>
            <xdr:cNvPr id="96257" name="Q_PPH_R134A" hidden="1">
              <a:extLst>
                <a:ext uri="{63B3BB69-23CF-44E3-9099-C40C66FF867C}">
                  <a14:compatExt spid="_x0000_s96257"/>
                </a:ext>
                <a:ext uri="{FF2B5EF4-FFF2-40B4-BE49-F238E27FC236}">
                  <a16:creationId xmlns:a16="http://schemas.microsoft.com/office/drawing/2014/main" id="{00000000-0008-0000-2D00-000001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0</xdr:rowOff>
        </xdr:from>
        <xdr:to>
          <xdr:col>4</xdr:col>
          <xdr:colOff>66675</xdr:colOff>
          <xdr:row>56</xdr:row>
          <xdr:rowOff>38100</xdr:rowOff>
        </xdr:to>
        <xdr:sp macro="" textlink="">
          <xdr:nvSpPr>
            <xdr:cNvPr id="96258" name="Q_PPH_R410A" hidden="1">
              <a:extLst>
                <a:ext uri="{63B3BB69-23CF-44E3-9099-C40C66FF867C}">
                  <a14:compatExt spid="_x0000_s96258"/>
                </a:ext>
                <a:ext uri="{FF2B5EF4-FFF2-40B4-BE49-F238E27FC236}">
                  <a16:creationId xmlns:a16="http://schemas.microsoft.com/office/drawing/2014/main" id="{00000000-0008-0000-2D00-00000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4</xdr:col>
          <xdr:colOff>66675</xdr:colOff>
          <xdr:row>55</xdr:row>
          <xdr:rowOff>38100</xdr:rowOff>
        </xdr:to>
        <xdr:sp macro="" textlink="">
          <xdr:nvSpPr>
            <xdr:cNvPr id="96259" name="Q_PPH_R407C" hidden="1">
              <a:extLst>
                <a:ext uri="{63B3BB69-23CF-44E3-9099-C40C66FF867C}">
                  <a14:compatExt spid="_x0000_s96259"/>
                </a:ext>
                <a:ext uri="{FF2B5EF4-FFF2-40B4-BE49-F238E27FC236}">
                  <a16:creationId xmlns:a16="http://schemas.microsoft.com/office/drawing/2014/main" id="{00000000-0008-0000-2D00-000003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57</xdr:row>
          <xdr:rowOff>0</xdr:rowOff>
        </xdr:from>
        <xdr:to>
          <xdr:col>3</xdr:col>
          <xdr:colOff>571500</xdr:colOff>
          <xdr:row>58</xdr:row>
          <xdr:rowOff>38100</xdr:rowOff>
        </xdr:to>
        <xdr:sp macro="" textlink="">
          <xdr:nvSpPr>
            <xdr:cNvPr id="96260" name="Q_PPH_60Hz" hidden="1">
              <a:extLst>
                <a:ext uri="{63B3BB69-23CF-44E3-9099-C40C66FF867C}">
                  <a14:compatExt spid="_x0000_s96260"/>
                </a:ext>
                <a:ext uri="{FF2B5EF4-FFF2-40B4-BE49-F238E27FC236}">
                  <a16:creationId xmlns:a16="http://schemas.microsoft.com/office/drawing/2014/main" id="{00000000-0008-0000-2D00-00000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58</xdr:row>
          <xdr:rowOff>0</xdr:rowOff>
        </xdr:from>
        <xdr:to>
          <xdr:col>3</xdr:col>
          <xdr:colOff>571500</xdr:colOff>
          <xdr:row>59</xdr:row>
          <xdr:rowOff>38100</xdr:rowOff>
        </xdr:to>
        <xdr:sp macro="" textlink="">
          <xdr:nvSpPr>
            <xdr:cNvPr id="96261" name="Q_PPH_50Hz" hidden="1">
              <a:extLst>
                <a:ext uri="{63B3BB69-23CF-44E3-9099-C40C66FF867C}">
                  <a14:compatExt spid="_x0000_s96261"/>
                </a:ext>
                <a:ext uri="{FF2B5EF4-FFF2-40B4-BE49-F238E27FC236}">
                  <a16:creationId xmlns:a16="http://schemas.microsoft.com/office/drawing/2014/main" id="{00000000-0008-0000-2D00-00000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57</xdr:row>
          <xdr:rowOff>0</xdr:rowOff>
        </xdr:from>
        <xdr:to>
          <xdr:col>4</xdr:col>
          <xdr:colOff>600075</xdr:colOff>
          <xdr:row>58</xdr:row>
          <xdr:rowOff>38100</xdr:rowOff>
        </xdr:to>
        <xdr:sp macro="" textlink="">
          <xdr:nvSpPr>
            <xdr:cNvPr id="96262" name="Q_PPH_220" hidden="1">
              <a:extLst>
                <a:ext uri="{63B3BB69-23CF-44E3-9099-C40C66FF867C}">
                  <a14:compatExt spid="_x0000_s96262"/>
                </a:ext>
                <a:ext uri="{FF2B5EF4-FFF2-40B4-BE49-F238E27FC236}">
                  <a16:creationId xmlns:a16="http://schemas.microsoft.com/office/drawing/2014/main" id="{00000000-0008-0000-2D00-00000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58</xdr:row>
          <xdr:rowOff>0</xdr:rowOff>
        </xdr:from>
        <xdr:to>
          <xdr:col>4</xdr:col>
          <xdr:colOff>581025</xdr:colOff>
          <xdr:row>59</xdr:row>
          <xdr:rowOff>38100</xdr:rowOff>
        </xdr:to>
        <xdr:sp macro="" textlink="">
          <xdr:nvSpPr>
            <xdr:cNvPr id="96263" name="Q_PPH_380" hidden="1">
              <a:extLst>
                <a:ext uri="{63B3BB69-23CF-44E3-9099-C40C66FF867C}">
                  <a14:compatExt spid="_x0000_s96263"/>
                </a:ext>
                <a:ext uri="{FF2B5EF4-FFF2-40B4-BE49-F238E27FC236}">
                  <a16:creationId xmlns:a16="http://schemas.microsoft.com/office/drawing/2014/main" id="{00000000-0008-0000-2D00-00000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59</xdr:row>
          <xdr:rowOff>0</xdr:rowOff>
        </xdr:from>
        <xdr:to>
          <xdr:col>4</xdr:col>
          <xdr:colOff>600075</xdr:colOff>
          <xdr:row>60</xdr:row>
          <xdr:rowOff>38100</xdr:rowOff>
        </xdr:to>
        <xdr:sp macro="" textlink="">
          <xdr:nvSpPr>
            <xdr:cNvPr id="96264" name="Q_PPH_460" hidden="1">
              <a:extLst>
                <a:ext uri="{63B3BB69-23CF-44E3-9099-C40C66FF867C}">
                  <a14:compatExt spid="_x0000_s96264"/>
                </a:ext>
                <a:ext uri="{FF2B5EF4-FFF2-40B4-BE49-F238E27FC236}">
                  <a16:creationId xmlns:a16="http://schemas.microsoft.com/office/drawing/2014/main" id="{00000000-0008-0000-2D00-000008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62</xdr:row>
          <xdr:rowOff>0</xdr:rowOff>
        </xdr:from>
        <xdr:to>
          <xdr:col>4</xdr:col>
          <xdr:colOff>171450</xdr:colOff>
          <xdr:row>63</xdr:row>
          <xdr:rowOff>38100</xdr:rowOff>
        </xdr:to>
        <xdr:sp macro="" textlink="">
          <xdr:nvSpPr>
            <xdr:cNvPr id="96265" name="Q_PPH_SASO_JO" hidden="1">
              <a:extLst>
                <a:ext uri="{63B3BB69-23CF-44E3-9099-C40C66FF867C}">
                  <a14:compatExt spid="_x0000_s96265"/>
                </a:ext>
                <a:ext uri="{FF2B5EF4-FFF2-40B4-BE49-F238E27FC236}">
                  <a16:creationId xmlns:a16="http://schemas.microsoft.com/office/drawing/2014/main" id="{00000000-0008-0000-2D00-000009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63</xdr:row>
          <xdr:rowOff>0</xdr:rowOff>
        </xdr:from>
        <xdr:to>
          <xdr:col>4</xdr:col>
          <xdr:colOff>133350</xdr:colOff>
          <xdr:row>64</xdr:row>
          <xdr:rowOff>38100</xdr:rowOff>
        </xdr:to>
        <xdr:sp macro="" textlink="">
          <xdr:nvSpPr>
            <xdr:cNvPr id="96266" name="SAOS_KSA" hidden="1">
              <a:extLst>
                <a:ext uri="{63B3BB69-23CF-44E3-9099-C40C66FF867C}">
                  <a14:compatExt spid="_x0000_s96266"/>
                </a:ext>
                <a:ext uri="{FF2B5EF4-FFF2-40B4-BE49-F238E27FC236}">
                  <a16:creationId xmlns:a16="http://schemas.microsoft.com/office/drawing/2014/main" id="{00000000-0008-0000-2D00-00000A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42</xdr:row>
          <xdr:rowOff>19050</xdr:rowOff>
        </xdr:from>
        <xdr:to>
          <xdr:col>5</xdr:col>
          <xdr:colOff>1038225</xdr:colOff>
          <xdr:row>43</xdr:row>
          <xdr:rowOff>19050</xdr:rowOff>
        </xdr:to>
        <xdr:sp macro="" textlink="">
          <xdr:nvSpPr>
            <xdr:cNvPr id="96267" name="Q_PPH_Microchannel" hidden="1">
              <a:extLst>
                <a:ext uri="{63B3BB69-23CF-44E3-9099-C40C66FF867C}">
                  <a14:compatExt spid="_x0000_s96267"/>
                </a:ext>
                <a:ext uri="{FF2B5EF4-FFF2-40B4-BE49-F238E27FC236}">
                  <a16:creationId xmlns:a16="http://schemas.microsoft.com/office/drawing/2014/main" id="{00000000-0008-0000-2D00-00000B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43</xdr:row>
          <xdr:rowOff>209550</xdr:rowOff>
        </xdr:from>
        <xdr:to>
          <xdr:col>5</xdr:col>
          <xdr:colOff>1390650</xdr:colOff>
          <xdr:row>44</xdr:row>
          <xdr:rowOff>247650</xdr:rowOff>
        </xdr:to>
        <xdr:sp macro="" textlink="">
          <xdr:nvSpPr>
            <xdr:cNvPr id="96268" name="Q_PPH_CU_CU" hidden="1">
              <a:extLst>
                <a:ext uri="{63B3BB69-23CF-44E3-9099-C40C66FF867C}">
                  <a14:compatExt spid="_x0000_s96268"/>
                </a:ext>
                <a:ext uri="{FF2B5EF4-FFF2-40B4-BE49-F238E27FC236}">
                  <a16:creationId xmlns:a16="http://schemas.microsoft.com/office/drawing/2014/main" id="{00000000-0008-0000-2D00-00000C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43</xdr:row>
          <xdr:rowOff>19050</xdr:rowOff>
        </xdr:from>
        <xdr:to>
          <xdr:col>5</xdr:col>
          <xdr:colOff>1266825</xdr:colOff>
          <xdr:row>44</xdr:row>
          <xdr:rowOff>19050</xdr:rowOff>
        </xdr:to>
        <xdr:sp macro="" textlink="">
          <xdr:nvSpPr>
            <xdr:cNvPr id="96269" name="Q_PPH_CU_AL" hidden="1">
              <a:extLst>
                <a:ext uri="{63B3BB69-23CF-44E3-9099-C40C66FF867C}">
                  <a14:compatExt spid="_x0000_s96269"/>
                </a:ext>
                <a:ext uri="{FF2B5EF4-FFF2-40B4-BE49-F238E27FC236}">
                  <a16:creationId xmlns:a16="http://schemas.microsoft.com/office/drawing/2014/main" id="{00000000-0008-0000-2D00-00000D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44</xdr:row>
          <xdr:rowOff>209550</xdr:rowOff>
        </xdr:from>
        <xdr:to>
          <xdr:col>5</xdr:col>
          <xdr:colOff>1447800</xdr:colOff>
          <xdr:row>45</xdr:row>
          <xdr:rowOff>152400</xdr:rowOff>
        </xdr:to>
        <xdr:sp macro="" textlink="">
          <xdr:nvSpPr>
            <xdr:cNvPr id="96270" name="Q_PPH_CU_Pre_Coating" hidden="1">
              <a:extLst>
                <a:ext uri="{63B3BB69-23CF-44E3-9099-C40C66FF867C}">
                  <a14:compatExt spid="_x0000_s96270"/>
                </a:ext>
                <a:ext uri="{FF2B5EF4-FFF2-40B4-BE49-F238E27FC236}">
                  <a16:creationId xmlns:a16="http://schemas.microsoft.com/office/drawing/2014/main" id="{00000000-0008-0000-2D00-00000E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24</xdr:row>
          <xdr:rowOff>66675</xdr:rowOff>
        </xdr:from>
        <xdr:to>
          <xdr:col>5</xdr:col>
          <xdr:colOff>581025</xdr:colOff>
          <xdr:row>25</xdr:row>
          <xdr:rowOff>104775</xdr:rowOff>
        </xdr:to>
        <xdr:sp macro="" textlink="">
          <xdr:nvSpPr>
            <xdr:cNvPr id="96271" name="Q_PPH_Suction_Valve" hidden="1">
              <a:extLst>
                <a:ext uri="{63B3BB69-23CF-44E3-9099-C40C66FF867C}">
                  <a14:compatExt spid="_x0000_s96271"/>
                </a:ext>
                <a:ext uri="{FF2B5EF4-FFF2-40B4-BE49-F238E27FC236}">
                  <a16:creationId xmlns:a16="http://schemas.microsoft.com/office/drawing/2014/main" id="{00000000-0008-0000-2D00-00000F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xdr:row>
          <xdr:rowOff>0</xdr:rowOff>
        </xdr:from>
        <xdr:to>
          <xdr:col>8</xdr:col>
          <xdr:colOff>1257300</xdr:colOff>
          <xdr:row>6</xdr:row>
          <xdr:rowOff>19050</xdr:rowOff>
        </xdr:to>
        <xdr:sp macro="" textlink="">
          <xdr:nvSpPr>
            <xdr:cNvPr id="96272" name="Q_PPH_Wire_Mesh" hidden="1">
              <a:extLst>
                <a:ext uri="{63B3BB69-23CF-44E3-9099-C40C66FF867C}">
                  <a14:compatExt spid="_x0000_s96272"/>
                </a:ext>
                <a:ext uri="{FF2B5EF4-FFF2-40B4-BE49-F238E27FC236}">
                  <a16:creationId xmlns:a16="http://schemas.microsoft.com/office/drawing/2014/main" id="{00000000-0008-0000-2D00-000010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69</xdr:row>
          <xdr:rowOff>114300</xdr:rowOff>
        </xdr:from>
        <xdr:to>
          <xdr:col>5</xdr:col>
          <xdr:colOff>381000</xdr:colOff>
          <xdr:row>70</xdr:row>
          <xdr:rowOff>161925</xdr:rowOff>
        </xdr:to>
        <xdr:sp macro="" textlink="">
          <xdr:nvSpPr>
            <xdr:cNvPr id="96273" name="Q_PPH_EOL_Comp" hidden="1">
              <a:extLst>
                <a:ext uri="{63B3BB69-23CF-44E3-9099-C40C66FF867C}">
                  <a14:compatExt spid="_x0000_s96273"/>
                </a:ext>
                <a:ext uri="{FF2B5EF4-FFF2-40B4-BE49-F238E27FC236}">
                  <a16:creationId xmlns:a16="http://schemas.microsoft.com/office/drawing/2014/main" id="{00000000-0008-0000-2D00-000011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29</xdr:row>
          <xdr:rowOff>133350</xdr:rowOff>
        </xdr:from>
        <xdr:to>
          <xdr:col>12</xdr:col>
          <xdr:colOff>1438275</xdr:colOff>
          <xdr:row>30</xdr:row>
          <xdr:rowOff>180975</xdr:rowOff>
        </xdr:to>
        <xdr:sp macro="" textlink="">
          <xdr:nvSpPr>
            <xdr:cNvPr id="96274" name="Q_PPH_PFS" hidden="1">
              <a:extLst>
                <a:ext uri="{63B3BB69-23CF-44E3-9099-C40C66FF867C}">
                  <a14:compatExt spid="_x0000_s96274"/>
                </a:ext>
                <a:ext uri="{FF2B5EF4-FFF2-40B4-BE49-F238E27FC236}">
                  <a16:creationId xmlns:a16="http://schemas.microsoft.com/office/drawing/2014/main" id="{00000000-0008-0000-2D00-00001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30</xdr:row>
          <xdr:rowOff>123825</xdr:rowOff>
        </xdr:from>
        <xdr:to>
          <xdr:col>12</xdr:col>
          <xdr:colOff>1428750</xdr:colOff>
          <xdr:row>31</xdr:row>
          <xdr:rowOff>161925</xdr:rowOff>
        </xdr:to>
        <xdr:sp macro="" textlink="">
          <xdr:nvSpPr>
            <xdr:cNvPr id="96275" name="Q_PPH_AFS" hidden="1">
              <a:extLst>
                <a:ext uri="{63B3BB69-23CF-44E3-9099-C40C66FF867C}">
                  <a14:compatExt spid="_x0000_s96275"/>
                </a:ext>
                <a:ext uri="{FF2B5EF4-FFF2-40B4-BE49-F238E27FC236}">
                  <a16:creationId xmlns:a16="http://schemas.microsoft.com/office/drawing/2014/main" id="{00000000-0008-0000-2D00-000013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26</xdr:row>
          <xdr:rowOff>19050</xdr:rowOff>
        </xdr:from>
        <xdr:to>
          <xdr:col>5</xdr:col>
          <xdr:colOff>885825</xdr:colOff>
          <xdr:row>27</xdr:row>
          <xdr:rowOff>85725</xdr:rowOff>
        </xdr:to>
        <xdr:sp macro="" textlink="">
          <xdr:nvSpPr>
            <xdr:cNvPr id="96276" name="Q_PPH_HPR" hidden="1">
              <a:extLst>
                <a:ext uri="{63B3BB69-23CF-44E3-9099-C40C66FF867C}">
                  <a14:compatExt spid="_x0000_s96276"/>
                </a:ext>
                <a:ext uri="{FF2B5EF4-FFF2-40B4-BE49-F238E27FC236}">
                  <a16:creationId xmlns:a16="http://schemas.microsoft.com/office/drawing/2014/main" id="{00000000-0008-0000-2D00-00001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67</xdr:row>
          <xdr:rowOff>0</xdr:rowOff>
        </xdr:from>
        <xdr:to>
          <xdr:col>5</xdr:col>
          <xdr:colOff>590550</xdr:colOff>
          <xdr:row>68</xdr:row>
          <xdr:rowOff>47625</xdr:rowOff>
        </xdr:to>
        <xdr:sp macro="" textlink="">
          <xdr:nvSpPr>
            <xdr:cNvPr id="96277" name="Q_PPh_CB_Comp" hidden="1">
              <a:extLst>
                <a:ext uri="{63B3BB69-23CF-44E3-9099-C40C66FF867C}">
                  <a14:compatExt spid="_x0000_s96277"/>
                </a:ext>
                <a:ext uri="{FF2B5EF4-FFF2-40B4-BE49-F238E27FC236}">
                  <a16:creationId xmlns:a16="http://schemas.microsoft.com/office/drawing/2014/main" id="{00000000-0008-0000-2D00-00001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0</xdr:rowOff>
        </xdr:from>
        <xdr:to>
          <xdr:col>5</xdr:col>
          <xdr:colOff>1371600</xdr:colOff>
          <xdr:row>21</xdr:row>
          <xdr:rowOff>276225</xdr:rowOff>
        </xdr:to>
        <xdr:sp macro="" textlink="">
          <xdr:nvSpPr>
            <xdr:cNvPr id="96278" name="Q_PPH_Fully_Fresh" hidden="1">
              <a:extLst>
                <a:ext uri="{63B3BB69-23CF-44E3-9099-C40C66FF867C}">
                  <a14:compatExt spid="_x0000_s96278"/>
                </a:ext>
                <a:ext uri="{FF2B5EF4-FFF2-40B4-BE49-F238E27FC236}">
                  <a16:creationId xmlns:a16="http://schemas.microsoft.com/office/drawing/2014/main" id="{00000000-0008-0000-2D00-00001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6</xdr:row>
          <xdr:rowOff>219075</xdr:rowOff>
        </xdr:from>
        <xdr:to>
          <xdr:col>8</xdr:col>
          <xdr:colOff>1123950</xdr:colOff>
          <xdr:row>7</xdr:row>
          <xdr:rowOff>209550</xdr:rowOff>
        </xdr:to>
        <xdr:sp macro="" textlink="">
          <xdr:nvSpPr>
            <xdr:cNvPr id="96279" name="Q_PPH_DS_1" hidden="1">
              <a:extLst>
                <a:ext uri="{63B3BB69-23CF-44E3-9099-C40C66FF867C}">
                  <a14:compatExt spid="_x0000_s96279"/>
                </a:ext>
                <a:ext uri="{FF2B5EF4-FFF2-40B4-BE49-F238E27FC236}">
                  <a16:creationId xmlns:a16="http://schemas.microsoft.com/office/drawing/2014/main" id="{00000000-0008-0000-2D00-00001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228600</xdr:rowOff>
        </xdr:from>
        <xdr:to>
          <xdr:col>5</xdr:col>
          <xdr:colOff>1419225</xdr:colOff>
          <xdr:row>22</xdr:row>
          <xdr:rowOff>190500</xdr:rowOff>
        </xdr:to>
        <xdr:sp macro="" textlink="">
          <xdr:nvSpPr>
            <xdr:cNvPr id="96280" name="Q_PPH_HLPG" hidden="1">
              <a:extLst>
                <a:ext uri="{63B3BB69-23CF-44E3-9099-C40C66FF867C}">
                  <a14:compatExt spid="_x0000_s96280"/>
                </a:ext>
                <a:ext uri="{FF2B5EF4-FFF2-40B4-BE49-F238E27FC236}">
                  <a16:creationId xmlns:a16="http://schemas.microsoft.com/office/drawing/2014/main" id="{00000000-0008-0000-2D00-000018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67</xdr:row>
          <xdr:rowOff>190500</xdr:rowOff>
        </xdr:from>
        <xdr:to>
          <xdr:col>4</xdr:col>
          <xdr:colOff>419100</xdr:colOff>
          <xdr:row>69</xdr:row>
          <xdr:rowOff>28575</xdr:rowOff>
        </xdr:to>
        <xdr:sp macro="" textlink="">
          <xdr:nvSpPr>
            <xdr:cNvPr id="96281" name="Q_PPH_CB_CFM" hidden="1">
              <a:extLst>
                <a:ext uri="{63B3BB69-23CF-44E3-9099-C40C66FF867C}">
                  <a14:compatExt spid="_x0000_s96281"/>
                </a:ext>
                <a:ext uri="{FF2B5EF4-FFF2-40B4-BE49-F238E27FC236}">
                  <a16:creationId xmlns:a16="http://schemas.microsoft.com/office/drawing/2014/main" id="{00000000-0008-0000-2D00-000019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70</xdr:row>
          <xdr:rowOff>76200</xdr:rowOff>
        </xdr:from>
        <xdr:to>
          <xdr:col>5</xdr:col>
          <xdr:colOff>9525</xdr:colOff>
          <xdr:row>71</xdr:row>
          <xdr:rowOff>133350</xdr:rowOff>
        </xdr:to>
        <xdr:sp macro="" textlink="">
          <xdr:nvSpPr>
            <xdr:cNvPr id="96282" name="Q_PPH_EOL_CFM" hidden="1">
              <a:extLst>
                <a:ext uri="{63B3BB69-23CF-44E3-9099-C40C66FF867C}">
                  <a14:compatExt spid="_x0000_s96282"/>
                </a:ext>
                <a:ext uri="{FF2B5EF4-FFF2-40B4-BE49-F238E27FC236}">
                  <a16:creationId xmlns:a16="http://schemas.microsoft.com/office/drawing/2014/main" id="{00000000-0008-0000-2D00-00001A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27</xdr:row>
          <xdr:rowOff>9525</xdr:rowOff>
        </xdr:from>
        <xdr:to>
          <xdr:col>5</xdr:col>
          <xdr:colOff>1371600</xdr:colOff>
          <xdr:row>28</xdr:row>
          <xdr:rowOff>76200</xdr:rowOff>
        </xdr:to>
        <xdr:sp macro="" textlink="">
          <xdr:nvSpPr>
            <xdr:cNvPr id="96283" name="Q_PPh_HGBP" hidden="1">
              <a:extLst>
                <a:ext uri="{63B3BB69-23CF-44E3-9099-C40C66FF867C}">
                  <a14:compatExt spid="_x0000_s96283"/>
                </a:ext>
                <a:ext uri="{FF2B5EF4-FFF2-40B4-BE49-F238E27FC236}">
                  <a16:creationId xmlns:a16="http://schemas.microsoft.com/office/drawing/2014/main" id="{00000000-0008-0000-2D00-00001B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xdr:row>
          <xdr:rowOff>28575</xdr:rowOff>
        </xdr:from>
        <xdr:to>
          <xdr:col>11</xdr:col>
          <xdr:colOff>323850</xdr:colOff>
          <xdr:row>6</xdr:row>
          <xdr:rowOff>57150</xdr:rowOff>
        </xdr:to>
        <xdr:sp macro="" textlink="">
          <xdr:nvSpPr>
            <xdr:cNvPr id="96284" name="Q_PPH_MDS" hidden="1">
              <a:extLst>
                <a:ext uri="{63B3BB69-23CF-44E3-9099-C40C66FF867C}">
                  <a14:compatExt spid="_x0000_s96284"/>
                </a:ext>
                <a:ext uri="{FF2B5EF4-FFF2-40B4-BE49-F238E27FC236}">
                  <a16:creationId xmlns:a16="http://schemas.microsoft.com/office/drawing/2014/main" id="{00000000-0008-0000-2D00-00001C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23</xdr:row>
          <xdr:rowOff>104775</xdr:rowOff>
        </xdr:from>
        <xdr:to>
          <xdr:col>5</xdr:col>
          <xdr:colOff>1190625</xdr:colOff>
          <xdr:row>24</xdr:row>
          <xdr:rowOff>142875</xdr:rowOff>
        </xdr:to>
        <xdr:sp macro="" textlink="">
          <xdr:nvSpPr>
            <xdr:cNvPr id="96285" name="Q_PPH_Replaceble_filter" hidden="1">
              <a:extLst>
                <a:ext uri="{63B3BB69-23CF-44E3-9099-C40C66FF867C}">
                  <a14:compatExt spid="_x0000_s96285"/>
                </a:ext>
                <a:ext uri="{FF2B5EF4-FFF2-40B4-BE49-F238E27FC236}">
                  <a16:creationId xmlns:a16="http://schemas.microsoft.com/office/drawing/2014/main" id="{00000000-0008-0000-2D00-00001D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6</xdr:row>
          <xdr:rowOff>47625</xdr:rowOff>
        </xdr:from>
        <xdr:to>
          <xdr:col>10</xdr:col>
          <xdr:colOff>1333500</xdr:colOff>
          <xdr:row>7</xdr:row>
          <xdr:rowOff>85725</xdr:rowOff>
        </xdr:to>
        <xdr:sp macro="" textlink="">
          <xdr:nvSpPr>
            <xdr:cNvPr id="96286" name="Q_PPH_MCB" hidden="1">
              <a:extLst>
                <a:ext uri="{63B3BB69-23CF-44E3-9099-C40C66FF867C}">
                  <a14:compatExt spid="_x0000_s96286"/>
                </a:ext>
                <a:ext uri="{FF2B5EF4-FFF2-40B4-BE49-F238E27FC236}">
                  <a16:creationId xmlns:a16="http://schemas.microsoft.com/office/drawing/2014/main" id="{00000000-0008-0000-2D00-00001E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142875</xdr:rowOff>
        </xdr:from>
        <xdr:to>
          <xdr:col>5</xdr:col>
          <xdr:colOff>1371600</xdr:colOff>
          <xdr:row>47</xdr:row>
          <xdr:rowOff>171450</xdr:rowOff>
        </xdr:to>
        <xdr:sp macro="" textlink="">
          <xdr:nvSpPr>
            <xdr:cNvPr id="96287" name="Q_PPH_Cond_coating" hidden="1">
              <a:extLst>
                <a:ext uri="{63B3BB69-23CF-44E3-9099-C40C66FF867C}">
                  <a14:compatExt spid="_x0000_s96287"/>
                </a:ext>
                <a:ext uri="{FF2B5EF4-FFF2-40B4-BE49-F238E27FC236}">
                  <a16:creationId xmlns:a16="http://schemas.microsoft.com/office/drawing/2014/main" id="{00000000-0008-0000-2D00-00001F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1714500</xdr:colOff>
          <xdr:row>0</xdr:row>
          <xdr:rowOff>114300</xdr:rowOff>
        </xdr:from>
        <xdr:to>
          <xdr:col>12</xdr:col>
          <xdr:colOff>2381250</xdr:colOff>
          <xdr:row>2</xdr:row>
          <xdr:rowOff>180975</xdr:rowOff>
        </xdr:to>
        <xdr:sp macro="" textlink="">
          <xdr:nvSpPr>
            <xdr:cNvPr id="96288" name="Quick_PPH_Pricing" hidden="1">
              <a:extLst>
                <a:ext uri="{63B3BB69-23CF-44E3-9099-C40C66FF867C}">
                  <a14:compatExt spid="_x0000_s96288"/>
                </a:ext>
                <a:ext uri="{FF2B5EF4-FFF2-40B4-BE49-F238E27FC236}">
                  <a16:creationId xmlns:a16="http://schemas.microsoft.com/office/drawing/2014/main" id="{00000000-0008-0000-2D00-0000207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68</xdr:row>
          <xdr:rowOff>142875</xdr:rowOff>
        </xdr:from>
        <xdr:to>
          <xdr:col>5</xdr:col>
          <xdr:colOff>457200</xdr:colOff>
          <xdr:row>69</xdr:row>
          <xdr:rowOff>200025</xdr:rowOff>
        </xdr:to>
        <xdr:sp macro="" textlink="">
          <xdr:nvSpPr>
            <xdr:cNvPr id="96290" name="Q_PPH_CM_EFM" hidden="1">
              <a:extLst>
                <a:ext uri="{63B3BB69-23CF-44E3-9099-C40C66FF867C}">
                  <a14:compatExt spid="_x0000_s96290"/>
                </a:ext>
                <a:ext uri="{FF2B5EF4-FFF2-40B4-BE49-F238E27FC236}">
                  <a16:creationId xmlns:a16="http://schemas.microsoft.com/office/drawing/2014/main" id="{00000000-0008-0000-2D00-00002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71</xdr:row>
          <xdr:rowOff>95250</xdr:rowOff>
        </xdr:from>
        <xdr:to>
          <xdr:col>5</xdr:col>
          <xdr:colOff>647700</xdr:colOff>
          <xdr:row>72</xdr:row>
          <xdr:rowOff>152400</xdr:rowOff>
        </xdr:to>
        <xdr:sp macro="" textlink="">
          <xdr:nvSpPr>
            <xdr:cNvPr id="96291" name="Q_PPH_EOL_EFM" hidden="1">
              <a:extLst>
                <a:ext uri="{63B3BB69-23CF-44E3-9099-C40C66FF867C}">
                  <a14:compatExt spid="_x0000_s96291"/>
                </a:ext>
                <a:ext uri="{FF2B5EF4-FFF2-40B4-BE49-F238E27FC236}">
                  <a16:creationId xmlns:a16="http://schemas.microsoft.com/office/drawing/2014/main" id="{00000000-0008-0000-2D00-000023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219075</xdr:rowOff>
        </xdr:from>
        <xdr:to>
          <xdr:col>8</xdr:col>
          <xdr:colOff>933450</xdr:colOff>
          <xdr:row>8</xdr:row>
          <xdr:rowOff>219075</xdr:rowOff>
        </xdr:to>
        <xdr:sp macro="" textlink="">
          <xdr:nvSpPr>
            <xdr:cNvPr id="96292" name="Q_PPH_DS_2" hidden="1">
              <a:extLst>
                <a:ext uri="{63B3BB69-23CF-44E3-9099-C40C66FF867C}">
                  <a14:compatExt spid="_x0000_s96292"/>
                </a:ext>
                <a:ext uri="{FF2B5EF4-FFF2-40B4-BE49-F238E27FC236}">
                  <a16:creationId xmlns:a16="http://schemas.microsoft.com/office/drawing/2014/main" id="{00000000-0008-0000-2D00-00002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25</xdr:row>
          <xdr:rowOff>76200</xdr:rowOff>
        </xdr:from>
        <xdr:to>
          <xdr:col>12</xdr:col>
          <xdr:colOff>1295400</xdr:colOff>
          <xdr:row>26</xdr:row>
          <xdr:rowOff>114300</xdr:rowOff>
        </xdr:to>
        <xdr:sp macro="" textlink="">
          <xdr:nvSpPr>
            <xdr:cNvPr id="96293" name="Q_PPH_Free_Terminal" hidden="1">
              <a:extLst>
                <a:ext uri="{63B3BB69-23CF-44E3-9099-C40C66FF867C}">
                  <a14:compatExt spid="_x0000_s96293"/>
                </a:ext>
                <a:ext uri="{FF2B5EF4-FFF2-40B4-BE49-F238E27FC236}">
                  <a16:creationId xmlns:a16="http://schemas.microsoft.com/office/drawing/2014/main" id="{00000000-0008-0000-2D00-00002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21</xdr:row>
          <xdr:rowOff>257175</xdr:rowOff>
        </xdr:from>
        <xdr:to>
          <xdr:col>12</xdr:col>
          <xdr:colOff>990600</xdr:colOff>
          <xdr:row>23</xdr:row>
          <xdr:rowOff>57150</xdr:rowOff>
        </xdr:to>
        <xdr:sp macro="" textlink="">
          <xdr:nvSpPr>
            <xdr:cNvPr id="96294" name="Q_PPH_Fire_Alarm" hidden="1">
              <a:extLst>
                <a:ext uri="{63B3BB69-23CF-44E3-9099-C40C66FF867C}">
                  <a14:compatExt spid="_x0000_s96294"/>
                </a:ext>
                <a:ext uri="{FF2B5EF4-FFF2-40B4-BE49-F238E27FC236}">
                  <a16:creationId xmlns:a16="http://schemas.microsoft.com/office/drawing/2014/main" id="{00000000-0008-0000-2D00-00002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5</xdr:row>
          <xdr:rowOff>180975</xdr:rowOff>
        </xdr:from>
        <xdr:to>
          <xdr:col>12</xdr:col>
          <xdr:colOff>1514475</xdr:colOff>
          <xdr:row>6</xdr:row>
          <xdr:rowOff>219075</xdr:rowOff>
        </xdr:to>
        <xdr:sp macro="" textlink="">
          <xdr:nvSpPr>
            <xdr:cNvPr id="96295" name="Q_PPH_ADV_Controller" hidden="1">
              <a:extLst>
                <a:ext uri="{63B3BB69-23CF-44E3-9099-C40C66FF867C}">
                  <a14:compatExt spid="_x0000_s96295"/>
                </a:ext>
                <a:ext uri="{FF2B5EF4-FFF2-40B4-BE49-F238E27FC236}">
                  <a16:creationId xmlns:a16="http://schemas.microsoft.com/office/drawing/2014/main" id="{00000000-0008-0000-2D00-00002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32</xdr:row>
          <xdr:rowOff>0</xdr:rowOff>
        </xdr:from>
        <xdr:to>
          <xdr:col>8</xdr:col>
          <xdr:colOff>1390650</xdr:colOff>
          <xdr:row>33</xdr:row>
          <xdr:rowOff>47625</xdr:rowOff>
        </xdr:to>
        <xdr:sp macro="" textlink="">
          <xdr:nvSpPr>
            <xdr:cNvPr id="96297" name="Q_PPH_Lubricant_line" hidden="1">
              <a:extLst>
                <a:ext uri="{63B3BB69-23CF-44E3-9099-C40C66FF867C}">
                  <a14:compatExt spid="_x0000_s96297"/>
                </a:ext>
                <a:ext uri="{FF2B5EF4-FFF2-40B4-BE49-F238E27FC236}">
                  <a16:creationId xmlns:a16="http://schemas.microsoft.com/office/drawing/2014/main" id="{00000000-0008-0000-2D00-000029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28</xdr:row>
          <xdr:rowOff>200025</xdr:rowOff>
        </xdr:from>
        <xdr:to>
          <xdr:col>5</xdr:col>
          <xdr:colOff>466725</xdr:colOff>
          <xdr:row>29</xdr:row>
          <xdr:rowOff>180975</xdr:rowOff>
        </xdr:to>
        <xdr:sp macro="" textlink="">
          <xdr:nvSpPr>
            <xdr:cNvPr id="96298" name="Q_PPH_Liquid_reciver" hidden="1">
              <a:extLst>
                <a:ext uri="{63B3BB69-23CF-44E3-9099-C40C66FF867C}">
                  <a14:compatExt spid="_x0000_s96298"/>
                </a:ext>
                <a:ext uri="{FF2B5EF4-FFF2-40B4-BE49-F238E27FC236}">
                  <a16:creationId xmlns:a16="http://schemas.microsoft.com/office/drawing/2014/main" id="{00000000-0008-0000-2D00-00002A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22</xdr:row>
          <xdr:rowOff>209550</xdr:rowOff>
        </xdr:from>
        <xdr:to>
          <xdr:col>8</xdr:col>
          <xdr:colOff>1038225</xdr:colOff>
          <xdr:row>24</xdr:row>
          <xdr:rowOff>0</xdr:rowOff>
        </xdr:to>
        <xdr:sp macro="" textlink="">
          <xdr:nvSpPr>
            <xdr:cNvPr id="96299" name="Q_PPH_Manometer" hidden="1">
              <a:extLst>
                <a:ext uri="{63B3BB69-23CF-44E3-9099-C40C66FF867C}">
                  <a14:compatExt spid="_x0000_s96299"/>
                </a:ext>
                <a:ext uri="{FF2B5EF4-FFF2-40B4-BE49-F238E27FC236}">
                  <a16:creationId xmlns:a16="http://schemas.microsoft.com/office/drawing/2014/main" id="{00000000-0008-0000-2D00-00002B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22</xdr:row>
          <xdr:rowOff>0</xdr:rowOff>
        </xdr:from>
        <xdr:to>
          <xdr:col>8</xdr:col>
          <xdr:colOff>1200150</xdr:colOff>
          <xdr:row>23</xdr:row>
          <xdr:rowOff>28575</xdr:rowOff>
        </xdr:to>
        <xdr:sp macro="" textlink="">
          <xdr:nvSpPr>
            <xdr:cNvPr id="96300" name="Q_PPH_Diff_Pressure" hidden="1">
              <a:extLst>
                <a:ext uri="{63B3BB69-23CF-44E3-9099-C40C66FF867C}">
                  <a14:compatExt spid="_x0000_s96300"/>
                </a:ext>
                <a:ext uri="{FF2B5EF4-FFF2-40B4-BE49-F238E27FC236}">
                  <a16:creationId xmlns:a16="http://schemas.microsoft.com/office/drawing/2014/main" id="{00000000-0008-0000-2D00-00002C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152400</xdr:rowOff>
        </xdr:from>
        <xdr:to>
          <xdr:col>8</xdr:col>
          <xdr:colOff>1038225</xdr:colOff>
          <xdr:row>14</xdr:row>
          <xdr:rowOff>152400</xdr:rowOff>
        </xdr:to>
        <xdr:sp macro="" textlink="">
          <xdr:nvSpPr>
            <xdr:cNvPr id="96301" name="Q_PPH_Name_PSS" hidden="1">
              <a:extLst>
                <a:ext uri="{63B3BB69-23CF-44E3-9099-C40C66FF867C}">
                  <a14:compatExt spid="_x0000_s96301"/>
                </a:ext>
                <a:ext uri="{FF2B5EF4-FFF2-40B4-BE49-F238E27FC236}">
                  <a16:creationId xmlns:a16="http://schemas.microsoft.com/office/drawing/2014/main" id="{00000000-0008-0000-2D00-00002D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8</xdr:row>
          <xdr:rowOff>142875</xdr:rowOff>
        </xdr:from>
        <xdr:to>
          <xdr:col>12</xdr:col>
          <xdr:colOff>2209800</xdr:colOff>
          <xdr:row>9</xdr:row>
          <xdr:rowOff>133350</xdr:rowOff>
        </xdr:to>
        <xdr:sp macro="" textlink="">
          <xdr:nvSpPr>
            <xdr:cNvPr id="96303" name="Q_PPH_Automatic_Change_Over" hidden="1">
              <a:extLst>
                <a:ext uri="{63B3BB69-23CF-44E3-9099-C40C66FF867C}">
                  <a14:compatExt spid="_x0000_s96303"/>
                </a:ext>
                <a:ext uri="{FF2B5EF4-FFF2-40B4-BE49-F238E27FC236}">
                  <a16:creationId xmlns:a16="http://schemas.microsoft.com/office/drawing/2014/main" id="{00000000-0008-0000-2D00-00002F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32</xdr:row>
          <xdr:rowOff>200025</xdr:rowOff>
        </xdr:from>
        <xdr:to>
          <xdr:col>8</xdr:col>
          <xdr:colOff>466725</xdr:colOff>
          <xdr:row>33</xdr:row>
          <xdr:rowOff>238125</xdr:rowOff>
        </xdr:to>
        <xdr:sp macro="" textlink="">
          <xdr:nvSpPr>
            <xdr:cNvPr id="96304" name="Q_PPH_Belt_Guard" hidden="1">
              <a:extLst>
                <a:ext uri="{63B3BB69-23CF-44E3-9099-C40C66FF867C}">
                  <a14:compatExt spid="_x0000_s96304"/>
                </a:ext>
                <a:ext uri="{FF2B5EF4-FFF2-40B4-BE49-F238E27FC236}">
                  <a16:creationId xmlns:a16="http://schemas.microsoft.com/office/drawing/2014/main" id="{00000000-0008-0000-2D00-000030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28</xdr:row>
          <xdr:rowOff>219075</xdr:rowOff>
        </xdr:from>
        <xdr:to>
          <xdr:col>12</xdr:col>
          <xdr:colOff>1447800</xdr:colOff>
          <xdr:row>29</xdr:row>
          <xdr:rowOff>190500</xdr:rowOff>
        </xdr:to>
        <xdr:sp macro="" textlink="">
          <xdr:nvSpPr>
            <xdr:cNvPr id="96305" name="Q_PPH_Emer_switch" hidden="1">
              <a:extLst>
                <a:ext uri="{63B3BB69-23CF-44E3-9099-C40C66FF867C}">
                  <a14:compatExt spid="_x0000_s96305"/>
                </a:ext>
                <a:ext uri="{FF2B5EF4-FFF2-40B4-BE49-F238E27FC236}">
                  <a16:creationId xmlns:a16="http://schemas.microsoft.com/office/drawing/2014/main" id="{00000000-0008-0000-2D00-000031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72</xdr:row>
          <xdr:rowOff>152400</xdr:rowOff>
        </xdr:from>
        <xdr:to>
          <xdr:col>5</xdr:col>
          <xdr:colOff>38100</xdr:colOff>
          <xdr:row>74</xdr:row>
          <xdr:rowOff>0</xdr:rowOff>
        </xdr:to>
        <xdr:sp macro="" textlink="">
          <xdr:nvSpPr>
            <xdr:cNvPr id="96306" name="Q_PPH_Bird_Screen" hidden="1">
              <a:extLst>
                <a:ext uri="{63B3BB69-23CF-44E3-9099-C40C66FF867C}">
                  <a14:compatExt spid="_x0000_s96306"/>
                </a:ext>
                <a:ext uri="{FF2B5EF4-FFF2-40B4-BE49-F238E27FC236}">
                  <a16:creationId xmlns:a16="http://schemas.microsoft.com/office/drawing/2014/main" id="{00000000-0008-0000-2D00-00003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30</xdr:row>
          <xdr:rowOff>152400</xdr:rowOff>
        </xdr:from>
        <xdr:to>
          <xdr:col>8</xdr:col>
          <xdr:colOff>1276350</xdr:colOff>
          <xdr:row>31</xdr:row>
          <xdr:rowOff>180975</xdr:rowOff>
        </xdr:to>
        <xdr:sp macro="" textlink="">
          <xdr:nvSpPr>
            <xdr:cNvPr id="96307" name="Q_PPH_1Spring" hidden="1">
              <a:extLst>
                <a:ext uri="{63B3BB69-23CF-44E3-9099-C40C66FF867C}">
                  <a14:compatExt spid="_x0000_s96307"/>
                </a:ext>
                <a:ext uri="{FF2B5EF4-FFF2-40B4-BE49-F238E27FC236}">
                  <a16:creationId xmlns:a16="http://schemas.microsoft.com/office/drawing/2014/main" id="{00000000-0008-0000-2D00-000033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31</xdr:row>
          <xdr:rowOff>123825</xdr:rowOff>
        </xdr:from>
        <xdr:to>
          <xdr:col>8</xdr:col>
          <xdr:colOff>1476375</xdr:colOff>
          <xdr:row>32</xdr:row>
          <xdr:rowOff>85725</xdr:rowOff>
        </xdr:to>
        <xdr:sp macro="" textlink="">
          <xdr:nvSpPr>
            <xdr:cNvPr id="96308" name="Q_PPH_2Spring" hidden="1">
              <a:extLst>
                <a:ext uri="{63B3BB69-23CF-44E3-9099-C40C66FF867C}">
                  <a14:compatExt spid="_x0000_s96308"/>
                </a:ext>
                <a:ext uri="{FF2B5EF4-FFF2-40B4-BE49-F238E27FC236}">
                  <a16:creationId xmlns:a16="http://schemas.microsoft.com/office/drawing/2014/main" id="{00000000-0008-0000-2D00-00003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23</xdr:row>
          <xdr:rowOff>161925</xdr:rowOff>
        </xdr:from>
        <xdr:to>
          <xdr:col>8</xdr:col>
          <xdr:colOff>1219200</xdr:colOff>
          <xdr:row>25</xdr:row>
          <xdr:rowOff>19050</xdr:rowOff>
        </xdr:to>
        <xdr:sp macro="" textlink="">
          <xdr:nvSpPr>
            <xdr:cNvPr id="96309" name="Q_PPH_SS_Filter" hidden="1">
              <a:extLst>
                <a:ext uri="{63B3BB69-23CF-44E3-9099-C40C66FF867C}">
                  <a14:compatExt spid="_x0000_s96309"/>
                </a:ext>
                <a:ext uri="{FF2B5EF4-FFF2-40B4-BE49-F238E27FC236}">
                  <a16:creationId xmlns:a16="http://schemas.microsoft.com/office/drawing/2014/main" id="{00000000-0008-0000-2D00-00003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24</xdr:row>
          <xdr:rowOff>114300</xdr:rowOff>
        </xdr:from>
        <xdr:to>
          <xdr:col>12</xdr:col>
          <xdr:colOff>1181100</xdr:colOff>
          <xdr:row>25</xdr:row>
          <xdr:rowOff>152400</xdr:rowOff>
        </xdr:to>
        <xdr:sp macro="" textlink="">
          <xdr:nvSpPr>
            <xdr:cNvPr id="96310" name="Q_PPH_Humidity_Sensor" hidden="1">
              <a:extLst>
                <a:ext uri="{63B3BB69-23CF-44E3-9099-C40C66FF867C}">
                  <a14:compatExt spid="_x0000_s96310"/>
                </a:ext>
                <a:ext uri="{FF2B5EF4-FFF2-40B4-BE49-F238E27FC236}">
                  <a16:creationId xmlns:a16="http://schemas.microsoft.com/office/drawing/2014/main" id="{00000000-0008-0000-2D00-00003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29</xdr:row>
          <xdr:rowOff>0</xdr:rowOff>
        </xdr:from>
        <xdr:to>
          <xdr:col>8</xdr:col>
          <xdr:colOff>571500</xdr:colOff>
          <xdr:row>30</xdr:row>
          <xdr:rowOff>9525</xdr:rowOff>
        </xdr:to>
        <xdr:sp macro="" textlink="">
          <xdr:nvSpPr>
            <xdr:cNvPr id="96311" name="Q_PPH_SS_Coil" hidden="1">
              <a:extLst>
                <a:ext uri="{63B3BB69-23CF-44E3-9099-C40C66FF867C}">
                  <a14:compatExt spid="_x0000_s96311"/>
                </a:ext>
                <a:ext uri="{FF2B5EF4-FFF2-40B4-BE49-F238E27FC236}">
                  <a16:creationId xmlns:a16="http://schemas.microsoft.com/office/drawing/2014/main" id="{00000000-0008-0000-2D00-00003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27</xdr:row>
          <xdr:rowOff>19050</xdr:rowOff>
        </xdr:from>
        <xdr:to>
          <xdr:col>12</xdr:col>
          <xdr:colOff>1390650</xdr:colOff>
          <xdr:row>28</xdr:row>
          <xdr:rowOff>47625</xdr:rowOff>
        </xdr:to>
        <xdr:sp macro="" textlink="">
          <xdr:nvSpPr>
            <xdr:cNvPr id="96313" name="Q_PPH_Smoke_Detector" hidden="1">
              <a:extLst>
                <a:ext uri="{63B3BB69-23CF-44E3-9099-C40C66FF867C}">
                  <a14:compatExt spid="_x0000_s96313"/>
                </a:ext>
                <a:ext uri="{FF2B5EF4-FFF2-40B4-BE49-F238E27FC236}">
                  <a16:creationId xmlns:a16="http://schemas.microsoft.com/office/drawing/2014/main" id="{00000000-0008-0000-2D00-000039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28575</xdr:rowOff>
        </xdr:from>
        <xdr:to>
          <xdr:col>5</xdr:col>
          <xdr:colOff>571500</xdr:colOff>
          <xdr:row>11</xdr:row>
          <xdr:rowOff>57150</xdr:rowOff>
        </xdr:to>
        <xdr:sp macro="" textlink="">
          <xdr:nvSpPr>
            <xdr:cNvPr id="96314" name="Q_PPH_Bag_Filter" hidden="1">
              <a:extLst>
                <a:ext uri="{63B3BB69-23CF-44E3-9099-C40C66FF867C}">
                  <a14:compatExt spid="_x0000_s96314"/>
                </a:ext>
                <a:ext uri="{FF2B5EF4-FFF2-40B4-BE49-F238E27FC236}">
                  <a16:creationId xmlns:a16="http://schemas.microsoft.com/office/drawing/2014/main" id="{00000000-0008-0000-2D00-00003A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9</xdr:row>
          <xdr:rowOff>57150</xdr:rowOff>
        </xdr:from>
        <xdr:to>
          <xdr:col>5</xdr:col>
          <xdr:colOff>628650</xdr:colOff>
          <xdr:row>10</xdr:row>
          <xdr:rowOff>85725</xdr:rowOff>
        </xdr:to>
        <xdr:sp macro="" textlink="">
          <xdr:nvSpPr>
            <xdr:cNvPr id="96315" name="Q_PPH_Flat2" hidden="1">
              <a:extLst>
                <a:ext uri="{63B3BB69-23CF-44E3-9099-C40C66FF867C}">
                  <a14:compatExt spid="_x0000_s96315"/>
                </a:ext>
                <a:ext uri="{FF2B5EF4-FFF2-40B4-BE49-F238E27FC236}">
                  <a16:creationId xmlns:a16="http://schemas.microsoft.com/office/drawing/2014/main" id="{00000000-0008-0000-2D00-00003B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xdr:row>
          <xdr:rowOff>152400</xdr:rowOff>
        </xdr:from>
        <xdr:to>
          <xdr:col>5</xdr:col>
          <xdr:colOff>619125</xdr:colOff>
          <xdr:row>7</xdr:row>
          <xdr:rowOff>180975</xdr:rowOff>
        </xdr:to>
        <xdr:sp macro="" textlink="">
          <xdr:nvSpPr>
            <xdr:cNvPr id="96316" name="Q_PPH_Inlet_Damper" hidden="1">
              <a:extLst>
                <a:ext uri="{63B3BB69-23CF-44E3-9099-C40C66FF867C}">
                  <a14:compatExt spid="_x0000_s96316"/>
                </a:ext>
                <a:ext uri="{FF2B5EF4-FFF2-40B4-BE49-F238E27FC236}">
                  <a16:creationId xmlns:a16="http://schemas.microsoft.com/office/drawing/2014/main" id="{00000000-0008-0000-2D00-00003C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7</xdr:row>
          <xdr:rowOff>123825</xdr:rowOff>
        </xdr:from>
        <xdr:to>
          <xdr:col>5</xdr:col>
          <xdr:colOff>1228725</xdr:colOff>
          <xdr:row>8</xdr:row>
          <xdr:rowOff>114300</xdr:rowOff>
        </xdr:to>
        <xdr:sp macro="" textlink="">
          <xdr:nvSpPr>
            <xdr:cNvPr id="96317" name="Q_PPH_Mixing_Box" hidden="1">
              <a:extLst>
                <a:ext uri="{63B3BB69-23CF-44E3-9099-C40C66FF867C}">
                  <a14:compatExt spid="_x0000_s96317"/>
                </a:ext>
                <a:ext uri="{FF2B5EF4-FFF2-40B4-BE49-F238E27FC236}">
                  <a16:creationId xmlns:a16="http://schemas.microsoft.com/office/drawing/2014/main" id="{00000000-0008-0000-2D00-00003D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xdr:row>
          <xdr:rowOff>9525</xdr:rowOff>
        </xdr:from>
        <xdr:to>
          <xdr:col>4</xdr:col>
          <xdr:colOff>266700</xdr:colOff>
          <xdr:row>6</xdr:row>
          <xdr:rowOff>38100</xdr:rowOff>
        </xdr:to>
        <xdr:sp macro="" textlink="">
          <xdr:nvSpPr>
            <xdr:cNvPr id="96318" name="Q_PPH_Rian_Hood" hidden="1">
              <a:extLst>
                <a:ext uri="{63B3BB69-23CF-44E3-9099-C40C66FF867C}">
                  <a14:compatExt spid="_x0000_s96318"/>
                </a:ext>
                <a:ext uri="{FF2B5EF4-FFF2-40B4-BE49-F238E27FC236}">
                  <a16:creationId xmlns:a16="http://schemas.microsoft.com/office/drawing/2014/main" id="{00000000-0008-0000-2D00-00003E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xdr:row>
          <xdr:rowOff>190500</xdr:rowOff>
        </xdr:from>
        <xdr:to>
          <xdr:col>5</xdr:col>
          <xdr:colOff>142875</xdr:colOff>
          <xdr:row>6</xdr:row>
          <xdr:rowOff>219075</xdr:rowOff>
        </xdr:to>
        <xdr:sp macro="" textlink="">
          <xdr:nvSpPr>
            <xdr:cNvPr id="96319" name="Q_PPH_STL" hidden="1">
              <a:extLst>
                <a:ext uri="{63B3BB69-23CF-44E3-9099-C40C66FF867C}">
                  <a14:compatExt spid="_x0000_s96319"/>
                </a:ext>
                <a:ext uri="{FF2B5EF4-FFF2-40B4-BE49-F238E27FC236}">
                  <a16:creationId xmlns:a16="http://schemas.microsoft.com/office/drawing/2014/main" id="{00000000-0008-0000-2D00-00003F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37</xdr:row>
          <xdr:rowOff>0</xdr:rowOff>
        </xdr:from>
        <xdr:to>
          <xdr:col>8</xdr:col>
          <xdr:colOff>1095375</xdr:colOff>
          <xdr:row>38</xdr:row>
          <xdr:rowOff>28575</xdr:rowOff>
        </xdr:to>
        <xdr:sp macro="" textlink="">
          <xdr:nvSpPr>
            <xdr:cNvPr id="96320" name="Q_PPH_SS_Drain_Pan" hidden="1">
              <a:extLst>
                <a:ext uri="{63B3BB69-23CF-44E3-9099-C40C66FF867C}">
                  <a14:compatExt spid="_x0000_s96320"/>
                </a:ext>
                <a:ext uri="{FF2B5EF4-FFF2-40B4-BE49-F238E27FC236}">
                  <a16:creationId xmlns:a16="http://schemas.microsoft.com/office/drawing/2014/main" id="{00000000-0008-0000-2D00-000040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8</xdr:row>
          <xdr:rowOff>95250</xdr:rowOff>
        </xdr:from>
        <xdr:to>
          <xdr:col>4</xdr:col>
          <xdr:colOff>361950</xdr:colOff>
          <xdr:row>9</xdr:row>
          <xdr:rowOff>123825</xdr:rowOff>
        </xdr:to>
        <xdr:sp macro="" textlink="">
          <xdr:nvSpPr>
            <xdr:cNvPr id="96321" name="Q_PPH_Economizer" hidden="1">
              <a:extLst>
                <a:ext uri="{63B3BB69-23CF-44E3-9099-C40C66FF867C}">
                  <a14:compatExt spid="_x0000_s96321"/>
                </a:ext>
                <a:ext uri="{FF2B5EF4-FFF2-40B4-BE49-F238E27FC236}">
                  <a16:creationId xmlns:a16="http://schemas.microsoft.com/office/drawing/2014/main" id="{00000000-0008-0000-2D00-000041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22</xdr:row>
          <xdr:rowOff>142875</xdr:rowOff>
        </xdr:from>
        <xdr:to>
          <xdr:col>5</xdr:col>
          <xdr:colOff>1371600</xdr:colOff>
          <xdr:row>23</xdr:row>
          <xdr:rowOff>152400</xdr:rowOff>
        </xdr:to>
        <xdr:sp macro="" textlink="">
          <xdr:nvSpPr>
            <xdr:cNvPr id="96322" name="Q_PPH_Sight_Glass" hidden="1">
              <a:extLst>
                <a:ext uri="{63B3BB69-23CF-44E3-9099-C40C66FF867C}">
                  <a14:compatExt spid="_x0000_s96322"/>
                </a:ext>
                <a:ext uri="{FF2B5EF4-FFF2-40B4-BE49-F238E27FC236}">
                  <a16:creationId xmlns:a16="http://schemas.microsoft.com/office/drawing/2014/main" id="{00000000-0008-0000-2D00-00004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51</xdr:row>
          <xdr:rowOff>238125</xdr:rowOff>
        </xdr:from>
        <xdr:to>
          <xdr:col>5</xdr:col>
          <xdr:colOff>142875</xdr:colOff>
          <xdr:row>53</xdr:row>
          <xdr:rowOff>57150</xdr:rowOff>
        </xdr:to>
        <xdr:sp macro="" textlink="">
          <xdr:nvSpPr>
            <xdr:cNvPr id="96323" name="Q_PPH_Screw" hidden="1">
              <a:extLst>
                <a:ext uri="{63B3BB69-23CF-44E3-9099-C40C66FF867C}">
                  <a14:compatExt spid="_x0000_s96323"/>
                </a:ext>
                <a:ext uri="{FF2B5EF4-FFF2-40B4-BE49-F238E27FC236}">
                  <a16:creationId xmlns:a16="http://schemas.microsoft.com/office/drawing/2014/main" id="{00000000-0008-0000-2D00-000043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43</xdr:row>
          <xdr:rowOff>57150</xdr:rowOff>
        </xdr:from>
        <xdr:to>
          <xdr:col>8</xdr:col>
          <xdr:colOff>1504950</xdr:colOff>
          <xdr:row>44</xdr:row>
          <xdr:rowOff>114300</xdr:rowOff>
        </xdr:to>
        <xdr:sp macro="" textlink="">
          <xdr:nvSpPr>
            <xdr:cNvPr id="96324" name="Q_PPH_CU_CU_Evap" hidden="1">
              <a:extLst>
                <a:ext uri="{63B3BB69-23CF-44E3-9099-C40C66FF867C}">
                  <a14:compatExt spid="_x0000_s96324"/>
                </a:ext>
                <a:ext uri="{FF2B5EF4-FFF2-40B4-BE49-F238E27FC236}">
                  <a16:creationId xmlns:a16="http://schemas.microsoft.com/office/drawing/2014/main" id="{00000000-0008-0000-2D00-00004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42</xdr:row>
          <xdr:rowOff>38100</xdr:rowOff>
        </xdr:from>
        <xdr:to>
          <xdr:col>8</xdr:col>
          <xdr:colOff>1514475</xdr:colOff>
          <xdr:row>43</xdr:row>
          <xdr:rowOff>57150</xdr:rowOff>
        </xdr:to>
        <xdr:sp macro="" textlink="">
          <xdr:nvSpPr>
            <xdr:cNvPr id="96325" name="Q_PPH_CU_AL_Evap" hidden="1">
              <a:extLst>
                <a:ext uri="{63B3BB69-23CF-44E3-9099-C40C66FF867C}">
                  <a14:compatExt spid="_x0000_s96325"/>
                </a:ext>
                <a:ext uri="{FF2B5EF4-FFF2-40B4-BE49-F238E27FC236}">
                  <a16:creationId xmlns:a16="http://schemas.microsoft.com/office/drawing/2014/main" id="{00000000-0008-0000-2D00-00004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44</xdr:row>
          <xdr:rowOff>104775</xdr:rowOff>
        </xdr:from>
        <xdr:to>
          <xdr:col>8</xdr:col>
          <xdr:colOff>1600200</xdr:colOff>
          <xdr:row>45</xdr:row>
          <xdr:rowOff>76200</xdr:rowOff>
        </xdr:to>
        <xdr:sp macro="" textlink="">
          <xdr:nvSpPr>
            <xdr:cNvPr id="96326" name="Q_PPH_CU_PRE_Evap" hidden="1">
              <a:extLst>
                <a:ext uri="{63B3BB69-23CF-44E3-9099-C40C66FF867C}">
                  <a14:compatExt spid="_x0000_s96326"/>
                </a:ext>
                <a:ext uri="{FF2B5EF4-FFF2-40B4-BE49-F238E27FC236}">
                  <a16:creationId xmlns:a16="http://schemas.microsoft.com/office/drawing/2014/main" id="{00000000-0008-0000-2D00-00004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46</xdr:row>
          <xdr:rowOff>142875</xdr:rowOff>
        </xdr:from>
        <xdr:to>
          <xdr:col>8</xdr:col>
          <xdr:colOff>1419225</xdr:colOff>
          <xdr:row>47</xdr:row>
          <xdr:rowOff>171450</xdr:rowOff>
        </xdr:to>
        <xdr:sp macro="" textlink="">
          <xdr:nvSpPr>
            <xdr:cNvPr id="96327" name="Q_PPH_Evap_Coating" hidden="1">
              <a:extLst>
                <a:ext uri="{63B3BB69-23CF-44E3-9099-C40C66FF867C}">
                  <a14:compatExt spid="_x0000_s96327"/>
                </a:ext>
                <a:ext uri="{FF2B5EF4-FFF2-40B4-BE49-F238E27FC236}">
                  <a16:creationId xmlns:a16="http://schemas.microsoft.com/office/drawing/2014/main" id="{00000000-0008-0000-2D00-00004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30</xdr:row>
          <xdr:rowOff>104775</xdr:rowOff>
        </xdr:from>
        <xdr:to>
          <xdr:col>5</xdr:col>
          <xdr:colOff>304800</xdr:colOff>
          <xdr:row>31</xdr:row>
          <xdr:rowOff>142875</xdr:rowOff>
        </xdr:to>
        <xdr:sp macro="" textlink="">
          <xdr:nvSpPr>
            <xdr:cNvPr id="96328" name="Q_PPH_Heat_Pump" hidden="1">
              <a:extLst>
                <a:ext uri="{63B3BB69-23CF-44E3-9099-C40C66FF867C}">
                  <a14:compatExt spid="_x0000_s96328"/>
                </a:ext>
                <a:ext uri="{FF2B5EF4-FFF2-40B4-BE49-F238E27FC236}">
                  <a16:creationId xmlns:a16="http://schemas.microsoft.com/office/drawing/2014/main" id="{00000000-0008-0000-2D00-000048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45</xdr:row>
          <xdr:rowOff>133350</xdr:rowOff>
        </xdr:from>
        <xdr:to>
          <xdr:col>5</xdr:col>
          <xdr:colOff>676275</xdr:colOff>
          <xdr:row>46</xdr:row>
          <xdr:rowOff>180975</xdr:rowOff>
        </xdr:to>
        <xdr:sp macro="" textlink="">
          <xdr:nvSpPr>
            <xdr:cNvPr id="96329" name="Q_PPH_Cond_Coating_Enable" hidden="1">
              <a:extLst>
                <a:ext uri="{63B3BB69-23CF-44E3-9099-C40C66FF867C}">
                  <a14:compatExt spid="_x0000_s96329"/>
                </a:ext>
                <a:ext uri="{FF2B5EF4-FFF2-40B4-BE49-F238E27FC236}">
                  <a16:creationId xmlns:a16="http://schemas.microsoft.com/office/drawing/2014/main" id="{00000000-0008-0000-2D00-000049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45</xdr:row>
          <xdr:rowOff>123825</xdr:rowOff>
        </xdr:from>
        <xdr:to>
          <xdr:col>8</xdr:col>
          <xdr:colOff>276225</xdr:colOff>
          <xdr:row>46</xdr:row>
          <xdr:rowOff>171450</xdr:rowOff>
        </xdr:to>
        <xdr:sp macro="" textlink="">
          <xdr:nvSpPr>
            <xdr:cNvPr id="96330" name="Q_PPH_Coating_Evap" hidden="1">
              <a:extLst>
                <a:ext uri="{63B3BB69-23CF-44E3-9099-C40C66FF867C}">
                  <a14:compatExt spid="_x0000_s96330"/>
                </a:ext>
                <a:ext uri="{FF2B5EF4-FFF2-40B4-BE49-F238E27FC236}">
                  <a16:creationId xmlns:a16="http://schemas.microsoft.com/office/drawing/2014/main" id="{00000000-0008-0000-2D00-00004A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31</xdr:row>
          <xdr:rowOff>95250</xdr:rowOff>
        </xdr:from>
        <xdr:to>
          <xdr:col>5</xdr:col>
          <xdr:colOff>685800</xdr:colOff>
          <xdr:row>32</xdr:row>
          <xdr:rowOff>57150</xdr:rowOff>
        </xdr:to>
        <xdr:sp macro="" textlink="">
          <xdr:nvSpPr>
            <xdr:cNvPr id="96332" name="Q_PPH_Elec_Expantion" hidden="1">
              <a:extLst>
                <a:ext uri="{63B3BB69-23CF-44E3-9099-C40C66FF867C}">
                  <a14:compatExt spid="_x0000_s96332"/>
                </a:ext>
                <a:ext uri="{FF2B5EF4-FFF2-40B4-BE49-F238E27FC236}">
                  <a16:creationId xmlns:a16="http://schemas.microsoft.com/office/drawing/2014/main" id="{00000000-0008-0000-2D00-00004C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10</xdr:row>
          <xdr:rowOff>190500</xdr:rowOff>
        </xdr:from>
        <xdr:to>
          <xdr:col>8</xdr:col>
          <xdr:colOff>85725</xdr:colOff>
          <xdr:row>11</xdr:row>
          <xdr:rowOff>209550</xdr:rowOff>
        </xdr:to>
        <xdr:sp macro="" textlink="">
          <xdr:nvSpPr>
            <xdr:cNvPr id="96333" name="Q_PPH_Roof_Canopy" hidden="1">
              <a:extLst>
                <a:ext uri="{63B3BB69-23CF-44E3-9099-C40C66FF867C}">
                  <a14:compatExt spid="_x0000_s96333"/>
                </a:ext>
                <a:ext uri="{FF2B5EF4-FFF2-40B4-BE49-F238E27FC236}">
                  <a16:creationId xmlns:a16="http://schemas.microsoft.com/office/drawing/2014/main" id="{00000000-0008-0000-2D00-00004D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44</xdr:row>
          <xdr:rowOff>266700</xdr:rowOff>
        </xdr:from>
        <xdr:to>
          <xdr:col>11</xdr:col>
          <xdr:colOff>552450</xdr:colOff>
          <xdr:row>46</xdr:row>
          <xdr:rowOff>38100</xdr:rowOff>
        </xdr:to>
        <xdr:sp macro="" textlink="">
          <xdr:nvSpPr>
            <xdr:cNvPr id="96334" name="Q_PPH_VFD_ALL" hidden="1">
              <a:extLst>
                <a:ext uri="{63B3BB69-23CF-44E3-9099-C40C66FF867C}">
                  <a14:compatExt spid="_x0000_s96334"/>
                </a:ext>
                <a:ext uri="{FF2B5EF4-FFF2-40B4-BE49-F238E27FC236}">
                  <a16:creationId xmlns:a16="http://schemas.microsoft.com/office/drawing/2014/main" id="{00000000-0008-0000-2D00-00004E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45</xdr:row>
          <xdr:rowOff>200025</xdr:rowOff>
        </xdr:from>
        <xdr:to>
          <xdr:col>11</xdr:col>
          <xdr:colOff>342900</xdr:colOff>
          <xdr:row>47</xdr:row>
          <xdr:rowOff>28575</xdr:rowOff>
        </xdr:to>
        <xdr:sp macro="" textlink="">
          <xdr:nvSpPr>
            <xdr:cNvPr id="96335" name="Q_PPH_VFD_Lead" hidden="1">
              <a:extLst>
                <a:ext uri="{63B3BB69-23CF-44E3-9099-C40C66FF867C}">
                  <a14:compatExt spid="_x0000_s96335"/>
                </a:ext>
                <a:ext uri="{FF2B5EF4-FFF2-40B4-BE49-F238E27FC236}">
                  <a16:creationId xmlns:a16="http://schemas.microsoft.com/office/drawing/2014/main" id="{00000000-0008-0000-2D00-00004F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24</xdr:row>
          <xdr:rowOff>190500</xdr:rowOff>
        </xdr:from>
        <xdr:to>
          <xdr:col>11</xdr:col>
          <xdr:colOff>257175</xdr:colOff>
          <xdr:row>25</xdr:row>
          <xdr:rowOff>209550</xdr:rowOff>
        </xdr:to>
        <xdr:sp macro="" textlink="">
          <xdr:nvSpPr>
            <xdr:cNvPr id="96336" name="Q_PPH_TEFC_CFM" hidden="1">
              <a:extLst>
                <a:ext uri="{63B3BB69-23CF-44E3-9099-C40C66FF867C}">
                  <a14:compatExt spid="_x0000_s96336"/>
                </a:ext>
                <a:ext uri="{FF2B5EF4-FFF2-40B4-BE49-F238E27FC236}">
                  <a16:creationId xmlns:a16="http://schemas.microsoft.com/office/drawing/2014/main" id="{00000000-0008-0000-2D00-000050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10</xdr:row>
          <xdr:rowOff>209550</xdr:rowOff>
        </xdr:from>
        <xdr:to>
          <xdr:col>11</xdr:col>
          <xdr:colOff>571500</xdr:colOff>
          <xdr:row>12</xdr:row>
          <xdr:rowOff>0</xdr:rowOff>
        </xdr:to>
        <xdr:sp macro="" textlink="">
          <xdr:nvSpPr>
            <xdr:cNvPr id="96337" name="Q_PPH_Current_Transformer" hidden="1">
              <a:extLst>
                <a:ext uri="{63B3BB69-23CF-44E3-9099-C40C66FF867C}">
                  <a14:compatExt spid="_x0000_s96337"/>
                </a:ext>
                <a:ext uri="{FF2B5EF4-FFF2-40B4-BE49-F238E27FC236}">
                  <a16:creationId xmlns:a16="http://schemas.microsoft.com/office/drawing/2014/main" id="{00000000-0008-0000-2D00-000051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76</xdr:row>
          <xdr:rowOff>180975</xdr:rowOff>
        </xdr:from>
        <xdr:to>
          <xdr:col>5</xdr:col>
          <xdr:colOff>809625</xdr:colOff>
          <xdr:row>78</xdr:row>
          <xdr:rowOff>19050</xdr:rowOff>
        </xdr:to>
        <xdr:sp macro="" textlink="">
          <xdr:nvSpPr>
            <xdr:cNvPr id="96338" name="Q_PPH_NEMA4_JB" hidden="1">
              <a:extLst>
                <a:ext uri="{63B3BB69-23CF-44E3-9099-C40C66FF867C}">
                  <a14:compatExt spid="_x0000_s96338"/>
                </a:ext>
                <a:ext uri="{FF2B5EF4-FFF2-40B4-BE49-F238E27FC236}">
                  <a16:creationId xmlns:a16="http://schemas.microsoft.com/office/drawing/2014/main" id="{00000000-0008-0000-2D00-00005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74</xdr:row>
          <xdr:rowOff>104775</xdr:rowOff>
        </xdr:from>
        <xdr:to>
          <xdr:col>5</xdr:col>
          <xdr:colOff>333375</xdr:colOff>
          <xdr:row>75</xdr:row>
          <xdr:rowOff>142875</xdr:rowOff>
        </xdr:to>
        <xdr:sp macro="" textlink="">
          <xdr:nvSpPr>
            <xdr:cNvPr id="96339" name="Q_PPH_NEMA4_Comp" hidden="1">
              <a:extLst>
                <a:ext uri="{63B3BB69-23CF-44E3-9099-C40C66FF867C}">
                  <a14:compatExt spid="_x0000_s96339"/>
                </a:ext>
                <a:ext uri="{FF2B5EF4-FFF2-40B4-BE49-F238E27FC236}">
                  <a16:creationId xmlns:a16="http://schemas.microsoft.com/office/drawing/2014/main" id="{00000000-0008-0000-2D00-000053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75</xdr:row>
          <xdr:rowOff>152400</xdr:rowOff>
        </xdr:from>
        <xdr:to>
          <xdr:col>5</xdr:col>
          <xdr:colOff>352425</xdr:colOff>
          <xdr:row>76</xdr:row>
          <xdr:rowOff>200025</xdr:rowOff>
        </xdr:to>
        <xdr:sp macro="" textlink="">
          <xdr:nvSpPr>
            <xdr:cNvPr id="96340" name="Q_PPH_NEMA4_CFM" hidden="1">
              <a:extLst>
                <a:ext uri="{63B3BB69-23CF-44E3-9099-C40C66FF867C}">
                  <a14:compatExt spid="_x0000_s96340"/>
                </a:ext>
                <a:ext uri="{FF2B5EF4-FFF2-40B4-BE49-F238E27FC236}">
                  <a16:creationId xmlns:a16="http://schemas.microsoft.com/office/drawing/2014/main" id="{00000000-0008-0000-2D00-00005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22</xdr:row>
          <xdr:rowOff>0</xdr:rowOff>
        </xdr:from>
        <xdr:to>
          <xdr:col>11</xdr:col>
          <xdr:colOff>123825</xdr:colOff>
          <xdr:row>23</xdr:row>
          <xdr:rowOff>19050</xdr:rowOff>
        </xdr:to>
        <xdr:sp macro="" textlink="">
          <xdr:nvSpPr>
            <xdr:cNvPr id="96341" name="Q_PPH_NEMA4_Elec_panel" hidden="1">
              <a:extLst>
                <a:ext uri="{63B3BB69-23CF-44E3-9099-C40C66FF867C}">
                  <a14:compatExt spid="_x0000_s96341"/>
                </a:ext>
                <a:ext uri="{FF2B5EF4-FFF2-40B4-BE49-F238E27FC236}">
                  <a16:creationId xmlns:a16="http://schemas.microsoft.com/office/drawing/2014/main" id="{00000000-0008-0000-2D00-00005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11</xdr:row>
          <xdr:rowOff>152400</xdr:rowOff>
        </xdr:from>
        <xdr:to>
          <xdr:col>8</xdr:col>
          <xdr:colOff>1200150</xdr:colOff>
          <xdr:row>12</xdr:row>
          <xdr:rowOff>190500</xdr:rowOff>
        </xdr:to>
        <xdr:sp macro="" textlink="">
          <xdr:nvSpPr>
            <xdr:cNvPr id="96342" name="Q_PPH_ACC_Doors" hidden="1">
              <a:extLst>
                <a:ext uri="{63B3BB69-23CF-44E3-9099-C40C66FF867C}">
                  <a14:compatExt spid="_x0000_s96342"/>
                </a:ext>
                <a:ext uri="{FF2B5EF4-FFF2-40B4-BE49-F238E27FC236}">
                  <a16:creationId xmlns:a16="http://schemas.microsoft.com/office/drawing/2014/main" id="{00000000-0008-0000-2D00-00005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46</xdr:row>
          <xdr:rowOff>190500</xdr:rowOff>
        </xdr:from>
        <xdr:to>
          <xdr:col>11</xdr:col>
          <xdr:colOff>457200</xdr:colOff>
          <xdr:row>48</xdr:row>
          <xdr:rowOff>19050</xdr:rowOff>
        </xdr:to>
        <xdr:sp macro="" textlink="">
          <xdr:nvSpPr>
            <xdr:cNvPr id="96343" name="Q_PPH_VFD_Evap" hidden="1">
              <a:extLst>
                <a:ext uri="{63B3BB69-23CF-44E3-9099-C40C66FF867C}">
                  <a14:compatExt spid="_x0000_s96343"/>
                </a:ext>
                <a:ext uri="{FF2B5EF4-FFF2-40B4-BE49-F238E27FC236}">
                  <a16:creationId xmlns:a16="http://schemas.microsoft.com/office/drawing/2014/main" id="{00000000-0008-0000-2D00-00005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26</xdr:row>
          <xdr:rowOff>38100</xdr:rowOff>
        </xdr:from>
        <xdr:to>
          <xdr:col>12</xdr:col>
          <xdr:colOff>1533525</xdr:colOff>
          <xdr:row>27</xdr:row>
          <xdr:rowOff>76200</xdr:rowOff>
        </xdr:to>
        <xdr:sp macro="" textlink="">
          <xdr:nvSpPr>
            <xdr:cNvPr id="96344" name="Anti_freez_thermostat" hidden="1">
              <a:extLst>
                <a:ext uri="{63B3BB69-23CF-44E3-9099-C40C66FF867C}">
                  <a14:compatExt spid="_x0000_s96344"/>
                </a:ext>
                <a:ext uri="{FF2B5EF4-FFF2-40B4-BE49-F238E27FC236}">
                  <a16:creationId xmlns:a16="http://schemas.microsoft.com/office/drawing/2014/main" id="{00000000-0008-0000-2D00-000058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12</xdr:row>
          <xdr:rowOff>28575</xdr:rowOff>
        </xdr:from>
        <xdr:to>
          <xdr:col>12</xdr:col>
          <xdr:colOff>2124075</xdr:colOff>
          <xdr:row>13</xdr:row>
          <xdr:rowOff>133350</xdr:rowOff>
        </xdr:to>
        <xdr:sp macro="" textlink="">
          <xdr:nvSpPr>
            <xdr:cNvPr id="96345" name="Q_PPH_Programm_thermostat" hidden="1">
              <a:extLst>
                <a:ext uri="{63B3BB69-23CF-44E3-9099-C40C66FF867C}">
                  <a14:compatExt spid="_x0000_s96345"/>
                </a:ext>
                <a:ext uri="{FF2B5EF4-FFF2-40B4-BE49-F238E27FC236}">
                  <a16:creationId xmlns:a16="http://schemas.microsoft.com/office/drawing/2014/main" id="{00000000-0008-0000-2D00-000059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xdr:row>
          <xdr:rowOff>95250</xdr:rowOff>
        </xdr:from>
        <xdr:to>
          <xdr:col>12</xdr:col>
          <xdr:colOff>1495425</xdr:colOff>
          <xdr:row>11</xdr:row>
          <xdr:rowOff>133350</xdr:rowOff>
        </xdr:to>
        <xdr:sp macro="" textlink="">
          <xdr:nvSpPr>
            <xdr:cNvPr id="96346" name="Q_PPH_Manual_thermostate" hidden="1">
              <a:extLst>
                <a:ext uri="{63B3BB69-23CF-44E3-9099-C40C66FF867C}">
                  <a14:compatExt spid="_x0000_s96346"/>
                </a:ext>
                <a:ext uri="{FF2B5EF4-FFF2-40B4-BE49-F238E27FC236}">
                  <a16:creationId xmlns:a16="http://schemas.microsoft.com/office/drawing/2014/main" id="{00000000-0008-0000-2D00-00005A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11</xdr:row>
          <xdr:rowOff>85725</xdr:rowOff>
        </xdr:from>
        <xdr:to>
          <xdr:col>12</xdr:col>
          <xdr:colOff>1714500</xdr:colOff>
          <xdr:row>12</xdr:row>
          <xdr:rowOff>123825</xdr:rowOff>
        </xdr:to>
        <xdr:sp macro="" textlink="">
          <xdr:nvSpPr>
            <xdr:cNvPr id="96347" name="Q_PPH_Digital_thermaostate" hidden="1">
              <a:extLst>
                <a:ext uri="{63B3BB69-23CF-44E3-9099-C40C66FF867C}">
                  <a14:compatExt spid="_x0000_s96347"/>
                </a:ext>
                <a:ext uri="{FF2B5EF4-FFF2-40B4-BE49-F238E27FC236}">
                  <a16:creationId xmlns:a16="http://schemas.microsoft.com/office/drawing/2014/main" id="{00000000-0008-0000-2D00-00005B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20</xdr:row>
          <xdr:rowOff>0</xdr:rowOff>
        </xdr:from>
        <xdr:to>
          <xdr:col>8</xdr:col>
          <xdr:colOff>1562100</xdr:colOff>
          <xdr:row>20</xdr:row>
          <xdr:rowOff>228600</xdr:rowOff>
        </xdr:to>
        <xdr:sp macro="" textlink="">
          <xdr:nvSpPr>
            <xdr:cNvPr id="96349" name="Q_PPH_Const_Coating" hidden="1">
              <a:extLst>
                <a:ext uri="{63B3BB69-23CF-44E3-9099-C40C66FF867C}">
                  <a14:compatExt spid="_x0000_s96349"/>
                </a:ext>
                <a:ext uri="{FF2B5EF4-FFF2-40B4-BE49-F238E27FC236}">
                  <a16:creationId xmlns:a16="http://schemas.microsoft.com/office/drawing/2014/main" id="{00000000-0008-0000-2D00-00005D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18</xdr:row>
          <xdr:rowOff>85725</xdr:rowOff>
        </xdr:from>
        <xdr:to>
          <xdr:col>8</xdr:col>
          <xdr:colOff>1238250</xdr:colOff>
          <xdr:row>19</xdr:row>
          <xdr:rowOff>152400</xdr:rowOff>
        </xdr:to>
        <xdr:sp macro="" textlink="">
          <xdr:nvSpPr>
            <xdr:cNvPr id="96350" name="Q_PPH_Casing_Coating" hidden="1">
              <a:extLst>
                <a:ext uri="{63B3BB69-23CF-44E3-9099-C40C66FF867C}">
                  <a14:compatExt spid="_x0000_s96350"/>
                </a:ext>
                <a:ext uri="{FF2B5EF4-FFF2-40B4-BE49-F238E27FC236}">
                  <a16:creationId xmlns:a16="http://schemas.microsoft.com/office/drawing/2014/main" id="{00000000-0008-0000-2D00-00005E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xdr:row>
          <xdr:rowOff>19050</xdr:rowOff>
        </xdr:from>
        <xdr:to>
          <xdr:col>6</xdr:col>
          <xdr:colOff>19050</xdr:colOff>
          <xdr:row>1</xdr:row>
          <xdr:rowOff>304800</xdr:rowOff>
        </xdr:to>
        <xdr:sp macro="" textlink="">
          <xdr:nvSpPr>
            <xdr:cNvPr id="96351" name="Q_PPH" hidden="1">
              <a:extLst>
                <a:ext uri="{63B3BB69-23CF-44E3-9099-C40C66FF867C}">
                  <a14:compatExt spid="_x0000_s96351"/>
                </a:ext>
                <a:ext uri="{FF2B5EF4-FFF2-40B4-BE49-F238E27FC236}">
                  <a16:creationId xmlns:a16="http://schemas.microsoft.com/office/drawing/2014/main" id="{00000000-0008-0000-2D00-00005F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xdr:row>
          <xdr:rowOff>314325</xdr:rowOff>
        </xdr:from>
        <xdr:to>
          <xdr:col>6</xdr:col>
          <xdr:colOff>76200</xdr:colOff>
          <xdr:row>2</xdr:row>
          <xdr:rowOff>276225</xdr:rowOff>
        </xdr:to>
        <xdr:sp macro="" textlink="">
          <xdr:nvSpPr>
            <xdr:cNvPr id="96352" name="Q_DSP" hidden="1">
              <a:extLst>
                <a:ext uri="{63B3BB69-23CF-44E3-9099-C40C66FF867C}">
                  <a14:compatExt spid="_x0000_s96352"/>
                </a:ext>
                <a:ext uri="{FF2B5EF4-FFF2-40B4-BE49-F238E27FC236}">
                  <a16:creationId xmlns:a16="http://schemas.microsoft.com/office/drawing/2014/main" id="{00000000-0008-0000-2D00-000060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26</xdr:row>
          <xdr:rowOff>161925</xdr:rowOff>
        </xdr:from>
        <xdr:to>
          <xdr:col>8</xdr:col>
          <xdr:colOff>1019175</xdr:colOff>
          <xdr:row>27</xdr:row>
          <xdr:rowOff>180975</xdr:rowOff>
        </xdr:to>
        <xdr:sp macro="" textlink="">
          <xdr:nvSpPr>
            <xdr:cNvPr id="96353" name="Q_PPH_Bulkhead_Filter" hidden="1">
              <a:extLst>
                <a:ext uri="{63B3BB69-23CF-44E3-9099-C40C66FF867C}">
                  <a14:compatExt spid="_x0000_s96353"/>
                </a:ext>
                <a:ext uri="{FF2B5EF4-FFF2-40B4-BE49-F238E27FC236}">
                  <a16:creationId xmlns:a16="http://schemas.microsoft.com/office/drawing/2014/main" id="{00000000-0008-0000-2D00-000061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11</xdr:row>
          <xdr:rowOff>19050</xdr:rowOff>
        </xdr:from>
        <xdr:to>
          <xdr:col>4</xdr:col>
          <xdr:colOff>523875</xdr:colOff>
          <xdr:row>12</xdr:row>
          <xdr:rowOff>57150</xdr:rowOff>
        </xdr:to>
        <xdr:sp macro="" textlink="">
          <xdr:nvSpPr>
            <xdr:cNvPr id="96354" name="Q_PPH_HEPA" hidden="1">
              <a:extLst>
                <a:ext uri="{63B3BB69-23CF-44E3-9099-C40C66FF867C}">
                  <a14:compatExt spid="_x0000_s96354"/>
                </a:ext>
                <a:ext uri="{FF2B5EF4-FFF2-40B4-BE49-F238E27FC236}">
                  <a16:creationId xmlns:a16="http://schemas.microsoft.com/office/drawing/2014/main" id="{00000000-0008-0000-2D00-00006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34</xdr:row>
          <xdr:rowOff>104775</xdr:rowOff>
        </xdr:from>
        <xdr:to>
          <xdr:col>8</xdr:col>
          <xdr:colOff>933450</xdr:colOff>
          <xdr:row>35</xdr:row>
          <xdr:rowOff>123825</xdr:rowOff>
        </xdr:to>
        <xdr:sp macro="" textlink="">
          <xdr:nvSpPr>
            <xdr:cNvPr id="96355" name="Q_PPH_BHL_Fan" hidden="1">
              <a:extLst>
                <a:ext uri="{63B3BB69-23CF-44E3-9099-C40C66FF867C}">
                  <a14:compatExt spid="_x0000_s96355"/>
                </a:ext>
                <a:ext uri="{FF2B5EF4-FFF2-40B4-BE49-F238E27FC236}">
                  <a16:creationId xmlns:a16="http://schemas.microsoft.com/office/drawing/2014/main" id="{00000000-0008-0000-2D00-000063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12</xdr:row>
          <xdr:rowOff>133350</xdr:rowOff>
        </xdr:from>
        <xdr:to>
          <xdr:col>8</xdr:col>
          <xdr:colOff>1123950</xdr:colOff>
          <xdr:row>13</xdr:row>
          <xdr:rowOff>161925</xdr:rowOff>
        </xdr:to>
        <xdr:sp macro="" textlink="">
          <xdr:nvSpPr>
            <xdr:cNvPr id="96356" name="Q_PPH_Screws_Bolts" hidden="1">
              <a:extLst>
                <a:ext uri="{63B3BB69-23CF-44E3-9099-C40C66FF867C}">
                  <a14:compatExt spid="_x0000_s96356"/>
                </a:ext>
                <a:ext uri="{FF2B5EF4-FFF2-40B4-BE49-F238E27FC236}">
                  <a16:creationId xmlns:a16="http://schemas.microsoft.com/office/drawing/2014/main" id="{00000000-0008-0000-2D00-00006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13</xdr:row>
          <xdr:rowOff>190500</xdr:rowOff>
        </xdr:from>
        <xdr:to>
          <xdr:col>5</xdr:col>
          <xdr:colOff>342900</xdr:colOff>
          <xdr:row>14</xdr:row>
          <xdr:rowOff>219075</xdr:rowOff>
        </xdr:to>
        <xdr:sp macro="" textlink="">
          <xdr:nvSpPr>
            <xdr:cNvPr id="96357" name="Q_UVC_Lamp" hidden="1">
              <a:extLst>
                <a:ext uri="{63B3BB69-23CF-44E3-9099-C40C66FF867C}">
                  <a14:compatExt spid="_x0000_s96357"/>
                </a:ext>
                <a:ext uri="{FF2B5EF4-FFF2-40B4-BE49-F238E27FC236}">
                  <a16:creationId xmlns:a16="http://schemas.microsoft.com/office/drawing/2014/main" id="{00000000-0008-0000-2D00-00006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0</xdr:row>
          <xdr:rowOff>38100</xdr:rowOff>
        </xdr:from>
        <xdr:to>
          <xdr:col>9</xdr:col>
          <xdr:colOff>9525</xdr:colOff>
          <xdr:row>0</xdr:row>
          <xdr:rowOff>295275</xdr:rowOff>
        </xdr:to>
        <xdr:sp macro="" textlink="">
          <xdr:nvSpPr>
            <xdr:cNvPr id="96358" name="Q_PPH_Standerd" hidden="1">
              <a:extLst>
                <a:ext uri="{63B3BB69-23CF-44E3-9099-C40C66FF867C}">
                  <a14:compatExt spid="_x0000_s96358"/>
                </a:ext>
                <a:ext uri="{FF2B5EF4-FFF2-40B4-BE49-F238E27FC236}">
                  <a16:creationId xmlns:a16="http://schemas.microsoft.com/office/drawing/2014/main" id="{00000000-0008-0000-2D00-00006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xdr:row>
          <xdr:rowOff>47625</xdr:rowOff>
        </xdr:from>
        <xdr:to>
          <xdr:col>8</xdr:col>
          <xdr:colOff>1123950</xdr:colOff>
          <xdr:row>1</xdr:row>
          <xdr:rowOff>266700</xdr:rowOff>
        </xdr:to>
        <xdr:sp macro="" textlink="">
          <xdr:nvSpPr>
            <xdr:cNvPr id="96359" name="Q_PPH_ARAMCO" hidden="1">
              <a:extLst>
                <a:ext uri="{63B3BB69-23CF-44E3-9099-C40C66FF867C}">
                  <a14:compatExt spid="_x0000_s96359"/>
                </a:ext>
                <a:ext uri="{FF2B5EF4-FFF2-40B4-BE49-F238E27FC236}">
                  <a16:creationId xmlns:a16="http://schemas.microsoft.com/office/drawing/2014/main" id="{00000000-0008-0000-2D00-00006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25</xdr:row>
          <xdr:rowOff>142875</xdr:rowOff>
        </xdr:from>
        <xdr:to>
          <xdr:col>8</xdr:col>
          <xdr:colOff>1181100</xdr:colOff>
          <xdr:row>26</xdr:row>
          <xdr:rowOff>190500</xdr:rowOff>
        </xdr:to>
        <xdr:sp macro="" textlink="">
          <xdr:nvSpPr>
            <xdr:cNvPr id="96360" name="Q_PPH_Inspection_Filter" hidden="1">
              <a:extLst>
                <a:ext uri="{63B3BB69-23CF-44E3-9099-C40C66FF867C}">
                  <a14:compatExt spid="_x0000_s96360"/>
                </a:ext>
                <a:ext uri="{FF2B5EF4-FFF2-40B4-BE49-F238E27FC236}">
                  <a16:creationId xmlns:a16="http://schemas.microsoft.com/office/drawing/2014/main" id="{00000000-0008-0000-2D00-000068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33</xdr:row>
          <xdr:rowOff>161925</xdr:rowOff>
        </xdr:from>
        <xdr:to>
          <xdr:col>8</xdr:col>
          <xdr:colOff>1076325</xdr:colOff>
          <xdr:row>34</xdr:row>
          <xdr:rowOff>142875</xdr:rowOff>
        </xdr:to>
        <xdr:sp macro="" textlink="">
          <xdr:nvSpPr>
            <xdr:cNvPr id="96361" name="Q_PPH_Inspec_Fan" hidden="1">
              <a:extLst>
                <a:ext uri="{63B3BB69-23CF-44E3-9099-C40C66FF867C}">
                  <a14:compatExt spid="_x0000_s96361"/>
                </a:ext>
                <a:ext uri="{FF2B5EF4-FFF2-40B4-BE49-F238E27FC236}">
                  <a16:creationId xmlns:a16="http://schemas.microsoft.com/office/drawing/2014/main" id="{00000000-0008-0000-2D00-000069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25</xdr:row>
          <xdr:rowOff>66675</xdr:rowOff>
        </xdr:from>
        <xdr:to>
          <xdr:col>5</xdr:col>
          <xdr:colOff>1038225</xdr:colOff>
          <xdr:row>26</xdr:row>
          <xdr:rowOff>76200</xdr:rowOff>
        </xdr:to>
        <xdr:sp macro="" textlink="">
          <xdr:nvSpPr>
            <xdr:cNvPr id="96362" name="Q_PPH_Serv_Valve" hidden="1">
              <a:extLst>
                <a:ext uri="{63B3BB69-23CF-44E3-9099-C40C66FF867C}">
                  <a14:compatExt spid="_x0000_s96362"/>
                </a:ext>
                <a:ext uri="{FF2B5EF4-FFF2-40B4-BE49-F238E27FC236}">
                  <a16:creationId xmlns:a16="http://schemas.microsoft.com/office/drawing/2014/main" id="{00000000-0008-0000-2D00-00006A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xdr:row>
          <xdr:rowOff>200025</xdr:rowOff>
        </xdr:from>
        <xdr:to>
          <xdr:col>8</xdr:col>
          <xdr:colOff>1285875</xdr:colOff>
          <xdr:row>11</xdr:row>
          <xdr:rowOff>0</xdr:rowOff>
        </xdr:to>
        <xdr:sp macro="" textlink="">
          <xdr:nvSpPr>
            <xdr:cNvPr id="96363" name="Q_PPH_1_15" hidden="1">
              <a:extLst>
                <a:ext uri="{63B3BB69-23CF-44E3-9099-C40C66FF867C}">
                  <a14:compatExt spid="_x0000_s96363"/>
                </a:ext>
                <a:ext uri="{FF2B5EF4-FFF2-40B4-BE49-F238E27FC236}">
                  <a16:creationId xmlns:a16="http://schemas.microsoft.com/office/drawing/2014/main" id="{00000000-0008-0000-2D00-00006B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27</xdr:row>
          <xdr:rowOff>219075</xdr:rowOff>
        </xdr:from>
        <xdr:to>
          <xdr:col>5</xdr:col>
          <xdr:colOff>1419225</xdr:colOff>
          <xdr:row>28</xdr:row>
          <xdr:rowOff>276225</xdr:rowOff>
        </xdr:to>
        <xdr:sp macro="" textlink="">
          <xdr:nvSpPr>
            <xdr:cNvPr id="96364" name="Q_PPH_Suction_line" hidden="1">
              <a:extLst>
                <a:ext uri="{63B3BB69-23CF-44E3-9099-C40C66FF867C}">
                  <a14:compatExt spid="_x0000_s96364"/>
                </a:ext>
                <a:ext uri="{FF2B5EF4-FFF2-40B4-BE49-F238E27FC236}">
                  <a16:creationId xmlns:a16="http://schemas.microsoft.com/office/drawing/2014/main" id="{00000000-0008-0000-2D00-00006C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19050</xdr:rowOff>
        </xdr:from>
        <xdr:to>
          <xdr:col>8</xdr:col>
          <xdr:colOff>1562100</xdr:colOff>
          <xdr:row>2</xdr:row>
          <xdr:rowOff>295275</xdr:rowOff>
        </xdr:to>
        <xdr:sp macro="" textlink="">
          <xdr:nvSpPr>
            <xdr:cNvPr id="96365" name="Q_SCECO" hidden="1">
              <a:extLst>
                <a:ext uri="{63B3BB69-23CF-44E3-9099-C40C66FF867C}">
                  <a14:compatExt spid="_x0000_s96365"/>
                </a:ext>
                <a:ext uri="{FF2B5EF4-FFF2-40B4-BE49-F238E27FC236}">
                  <a16:creationId xmlns:a16="http://schemas.microsoft.com/office/drawing/2014/main" id="{00000000-0008-0000-2D00-00006D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32</xdr:row>
          <xdr:rowOff>28575</xdr:rowOff>
        </xdr:from>
        <xdr:to>
          <xdr:col>12</xdr:col>
          <xdr:colOff>1533525</xdr:colOff>
          <xdr:row>33</xdr:row>
          <xdr:rowOff>66675</xdr:rowOff>
        </xdr:to>
        <xdr:sp macro="" textlink="">
          <xdr:nvSpPr>
            <xdr:cNvPr id="96366" name="Q_PPH_Control_SCECO" hidden="1">
              <a:extLst>
                <a:ext uri="{63B3BB69-23CF-44E3-9099-C40C66FF867C}">
                  <a14:compatExt spid="_x0000_s96366"/>
                </a:ext>
                <a:ext uri="{FF2B5EF4-FFF2-40B4-BE49-F238E27FC236}">
                  <a16:creationId xmlns:a16="http://schemas.microsoft.com/office/drawing/2014/main" id="{00000000-0008-0000-2D00-00006E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37</xdr:row>
          <xdr:rowOff>200025</xdr:rowOff>
        </xdr:from>
        <xdr:to>
          <xdr:col>8</xdr:col>
          <xdr:colOff>1000125</xdr:colOff>
          <xdr:row>39</xdr:row>
          <xdr:rowOff>38100</xdr:rowOff>
        </xdr:to>
        <xdr:sp macro="" textlink="">
          <xdr:nvSpPr>
            <xdr:cNvPr id="96368" name="Q_PPH_SS_Drain_304" hidden="1">
              <a:extLst>
                <a:ext uri="{63B3BB69-23CF-44E3-9099-C40C66FF867C}">
                  <a14:compatExt spid="_x0000_s96368"/>
                </a:ext>
                <a:ext uri="{FF2B5EF4-FFF2-40B4-BE49-F238E27FC236}">
                  <a16:creationId xmlns:a16="http://schemas.microsoft.com/office/drawing/2014/main" id="{00000000-0008-0000-2D00-000070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11</xdr:row>
          <xdr:rowOff>209550</xdr:rowOff>
        </xdr:from>
        <xdr:to>
          <xdr:col>5</xdr:col>
          <xdr:colOff>361950</xdr:colOff>
          <xdr:row>13</xdr:row>
          <xdr:rowOff>19050</xdr:rowOff>
        </xdr:to>
        <xdr:sp macro="" textlink="">
          <xdr:nvSpPr>
            <xdr:cNvPr id="96369" name="Q_PPH_Droplet_ele_AL" hidden="1">
              <a:extLst>
                <a:ext uri="{63B3BB69-23CF-44E3-9099-C40C66FF867C}">
                  <a14:compatExt spid="_x0000_s96369"/>
                </a:ext>
                <a:ext uri="{FF2B5EF4-FFF2-40B4-BE49-F238E27FC236}">
                  <a16:creationId xmlns:a16="http://schemas.microsoft.com/office/drawing/2014/main" id="{00000000-0008-0000-2D00-000071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12</xdr:row>
          <xdr:rowOff>190500</xdr:rowOff>
        </xdr:from>
        <xdr:to>
          <xdr:col>5</xdr:col>
          <xdr:colOff>428625</xdr:colOff>
          <xdr:row>13</xdr:row>
          <xdr:rowOff>219075</xdr:rowOff>
        </xdr:to>
        <xdr:sp macro="" textlink="">
          <xdr:nvSpPr>
            <xdr:cNvPr id="96370" name="Q_PPH_Droplet_ele_PVC" hidden="1">
              <a:extLst>
                <a:ext uri="{63B3BB69-23CF-44E3-9099-C40C66FF867C}">
                  <a14:compatExt spid="_x0000_s96370"/>
                </a:ext>
                <a:ext uri="{FF2B5EF4-FFF2-40B4-BE49-F238E27FC236}">
                  <a16:creationId xmlns:a16="http://schemas.microsoft.com/office/drawing/2014/main" id="{00000000-0008-0000-2D00-00007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22</xdr:row>
          <xdr:rowOff>190500</xdr:rowOff>
        </xdr:from>
        <xdr:to>
          <xdr:col>11</xdr:col>
          <xdr:colOff>581025</xdr:colOff>
          <xdr:row>24</xdr:row>
          <xdr:rowOff>19050</xdr:rowOff>
        </xdr:to>
        <xdr:sp macro="" textlink="">
          <xdr:nvSpPr>
            <xdr:cNvPr id="96371" name="Q_PPH_IP65_Control" hidden="1">
              <a:extLst>
                <a:ext uri="{63B3BB69-23CF-44E3-9099-C40C66FF867C}">
                  <a14:compatExt spid="_x0000_s96371"/>
                </a:ext>
                <a:ext uri="{FF2B5EF4-FFF2-40B4-BE49-F238E27FC236}">
                  <a16:creationId xmlns:a16="http://schemas.microsoft.com/office/drawing/2014/main" id="{00000000-0008-0000-2D00-000073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29</xdr:row>
          <xdr:rowOff>209550</xdr:rowOff>
        </xdr:from>
        <xdr:to>
          <xdr:col>8</xdr:col>
          <xdr:colOff>1447800</xdr:colOff>
          <xdr:row>30</xdr:row>
          <xdr:rowOff>180975</xdr:rowOff>
        </xdr:to>
        <xdr:sp macro="" textlink="">
          <xdr:nvSpPr>
            <xdr:cNvPr id="96372" name="Q_PPH_Rubber_Pad_Fan" hidden="1">
              <a:extLst>
                <a:ext uri="{63B3BB69-23CF-44E3-9099-C40C66FF867C}">
                  <a14:compatExt spid="_x0000_s96372"/>
                </a:ext>
                <a:ext uri="{FF2B5EF4-FFF2-40B4-BE49-F238E27FC236}">
                  <a16:creationId xmlns:a16="http://schemas.microsoft.com/office/drawing/2014/main" id="{00000000-0008-0000-2D00-00007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29</xdr:row>
          <xdr:rowOff>123825</xdr:rowOff>
        </xdr:from>
        <xdr:to>
          <xdr:col>5</xdr:col>
          <xdr:colOff>457200</xdr:colOff>
          <xdr:row>30</xdr:row>
          <xdr:rowOff>161925</xdr:rowOff>
        </xdr:to>
        <xdr:sp macro="" textlink="">
          <xdr:nvSpPr>
            <xdr:cNvPr id="96373" name="Q_PPH_Comp_Jacket" hidden="1">
              <a:extLst>
                <a:ext uri="{63B3BB69-23CF-44E3-9099-C40C66FF867C}">
                  <a14:compatExt spid="_x0000_s96373"/>
                </a:ext>
                <a:ext uri="{FF2B5EF4-FFF2-40B4-BE49-F238E27FC236}">
                  <a16:creationId xmlns:a16="http://schemas.microsoft.com/office/drawing/2014/main" id="{00000000-0008-0000-2D00-00007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7</xdr:row>
          <xdr:rowOff>28575</xdr:rowOff>
        </xdr:from>
        <xdr:to>
          <xdr:col>11</xdr:col>
          <xdr:colOff>257175</xdr:colOff>
          <xdr:row>8</xdr:row>
          <xdr:rowOff>57150</xdr:rowOff>
        </xdr:to>
        <xdr:sp macro="" textlink="">
          <xdr:nvSpPr>
            <xdr:cNvPr id="96374" name="Q_PPH_MMS_Comp" hidden="1">
              <a:extLst>
                <a:ext uri="{63B3BB69-23CF-44E3-9099-C40C66FF867C}">
                  <a14:compatExt spid="_x0000_s96374"/>
                </a:ext>
                <a:ext uri="{FF2B5EF4-FFF2-40B4-BE49-F238E27FC236}">
                  <a16:creationId xmlns:a16="http://schemas.microsoft.com/office/drawing/2014/main" id="{00000000-0008-0000-2D00-00007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8</xdr:row>
          <xdr:rowOff>9525</xdr:rowOff>
        </xdr:from>
        <xdr:to>
          <xdr:col>11</xdr:col>
          <xdr:colOff>342900</xdr:colOff>
          <xdr:row>9</xdr:row>
          <xdr:rowOff>57150</xdr:rowOff>
        </xdr:to>
        <xdr:sp macro="" textlink="">
          <xdr:nvSpPr>
            <xdr:cNvPr id="96375" name="Q_PPH_MMS_CFM" hidden="1">
              <a:extLst>
                <a:ext uri="{63B3BB69-23CF-44E3-9099-C40C66FF867C}">
                  <a14:compatExt spid="_x0000_s96375"/>
                </a:ext>
                <a:ext uri="{FF2B5EF4-FFF2-40B4-BE49-F238E27FC236}">
                  <a16:creationId xmlns:a16="http://schemas.microsoft.com/office/drawing/2014/main" id="{00000000-0008-0000-2D00-00007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9</xdr:row>
          <xdr:rowOff>209550</xdr:rowOff>
        </xdr:from>
        <xdr:to>
          <xdr:col>11</xdr:col>
          <xdr:colOff>647700</xdr:colOff>
          <xdr:row>11</xdr:row>
          <xdr:rowOff>9525</xdr:rowOff>
        </xdr:to>
        <xdr:sp macro="" textlink="">
          <xdr:nvSpPr>
            <xdr:cNvPr id="96376" name="Q_PPH_Speed_Reg" hidden="1">
              <a:extLst>
                <a:ext uri="{63B3BB69-23CF-44E3-9099-C40C66FF867C}">
                  <a14:compatExt spid="_x0000_s96376"/>
                </a:ext>
                <a:ext uri="{FF2B5EF4-FFF2-40B4-BE49-F238E27FC236}">
                  <a16:creationId xmlns:a16="http://schemas.microsoft.com/office/drawing/2014/main" id="{00000000-0008-0000-2D00-000078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14</xdr:row>
          <xdr:rowOff>133350</xdr:rowOff>
        </xdr:from>
        <xdr:to>
          <xdr:col>8</xdr:col>
          <xdr:colOff>619125</xdr:colOff>
          <xdr:row>15</xdr:row>
          <xdr:rowOff>142875</xdr:rowOff>
        </xdr:to>
        <xdr:sp macro="" textlink="">
          <xdr:nvSpPr>
            <xdr:cNvPr id="96377" name="Q_PPH_Base_Coating" hidden="1">
              <a:extLst>
                <a:ext uri="{63B3BB69-23CF-44E3-9099-C40C66FF867C}">
                  <a14:compatExt spid="_x0000_s96377"/>
                </a:ext>
                <a:ext uri="{FF2B5EF4-FFF2-40B4-BE49-F238E27FC236}">
                  <a16:creationId xmlns:a16="http://schemas.microsoft.com/office/drawing/2014/main" id="{00000000-0008-0000-2D00-000079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8</xdr:row>
          <xdr:rowOff>200025</xdr:rowOff>
        </xdr:from>
        <xdr:to>
          <xdr:col>8</xdr:col>
          <xdr:colOff>1247775</xdr:colOff>
          <xdr:row>10</xdr:row>
          <xdr:rowOff>9525</xdr:rowOff>
        </xdr:to>
        <xdr:sp macro="" textlink="">
          <xdr:nvSpPr>
            <xdr:cNvPr id="96378" name="Q_PPH_Inner_Coating" hidden="1">
              <a:extLst>
                <a:ext uri="{63B3BB69-23CF-44E3-9099-C40C66FF867C}">
                  <a14:compatExt spid="_x0000_s96378"/>
                </a:ext>
                <a:ext uri="{FF2B5EF4-FFF2-40B4-BE49-F238E27FC236}">
                  <a16:creationId xmlns:a16="http://schemas.microsoft.com/office/drawing/2014/main" id="{00000000-0008-0000-2D00-00007A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78</xdr:row>
          <xdr:rowOff>38100</xdr:rowOff>
        </xdr:from>
        <xdr:to>
          <xdr:col>5</xdr:col>
          <xdr:colOff>476250</xdr:colOff>
          <xdr:row>79</xdr:row>
          <xdr:rowOff>85725</xdr:rowOff>
        </xdr:to>
        <xdr:sp macro="" textlink="">
          <xdr:nvSpPr>
            <xdr:cNvPr id="96379" name="Q_PPH_Spring_Under_Units" hidden="1">
              <a:extLst>
                <a:ext uri="{63B3BB69-23CF-44E3-9099-C40C66FF867C}">
                  <a14:compatExt spid="_x0000_s96379"/>
                </a:ext>
                <a:ext uri="{FF2B5EF4-FFF2-40B4-BE49-F238E27FC236}">
                  <a16:creationId xmlns:a16="http://schemas.microsoft.com/office/drawing/2014/main" id="{00000000-0008-0000-2D00-00007B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43</xdr:row>
          <xdr:rowOff>19050</xdr:rowOff>
        </xdr:from>
        <xdr:to>
          <xdr:col>12</xdr:col>
          <xdr:colOff>2276475</xdr:colOff>
          <xdr:row>44</xdr:row>
          <xdr:rowOff>57150</xdr:rowOff>
        </xdr:to>
        <xdr:sp macro="" textlink="">
          <xdr:nvSpPr>
            <xdr:cNvPr id="96380" name="Q_PPH_EBM_Cond_Fans" hidden="1">
              <a:extLst>
                <a:ext uri="{63B3BB69-23CF-44E3-9099-C40C66FF867C}">
                  <a14:compatExt spid="_x0000_s96380"/>
                </a:ext>
                <a:ext uri="{FF2B5EF4-FFF2-40B4-BE49-F238E27FC236}">
                  <a16:creationId xmlns:a16="http://schemas.microsoft.com/office/drawing/2014/main" id="{00000000-0008-0000-2D00-00007C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42</xdr:row>
          <xdr:rowOff>9525</xdr:rowOff>
        </xdr:from>
        <xdr:to>
          <xdr:col>12</xdr:col>
          <xdr:colOff>2305050</xdr:colOff>
          <xdr:row>43</xdr:row>
          <xdr:rowOff>57150</xdr:rowOff>
        </xdr:to>
        <xdr:sp macro="" textlink="">
          <xdr:nvSpPr>
            <xdr:cNvPr id="96381" name="Q_PPH_Copeland" hidden="1">
              <a:extLst>
                <a:ext uri="{63B3BB69-23CF-44E3-9099-C40C66FF867C}">
                  <a14:compatExt spid="_x0000_s96381"/>
                </a:ext>
                <a:ext uri="{FF2B5EF4-FFF2-40B4-BE49-F238E27FC236}">
                  <a16:creationId xmlns:a16="http://schemas.microsoft.com/office/drawing/2014/main" id="{00000000-0008-0000-2D00-00007D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9</xdr:row>
          <xdr:rowOff>0</xdr:rowOff>
        </xdr:from>
        <xdr:to>
          <xdr:col>11</xdr:col>
          <xdr:colOff>333375</xdr:colOff>
          <xdr:row>10</xdr:row>
          <xdr:rowOff>47625</xdr:rowOff>
        </xdr:to>
        <xdr:sp macro="" textlink="">
          <xdr:nvSpPr>
            <xdr:cNvPr id="96382" name="Q_PPH_MMS_Evap" hidden="1">
              <a:extLst>
                <a:ext uri="{63B3BB69-23CF-44E3-9099-C40C66FF867C}">
                  <a14:compatExt spid="_x0000_s96382"/>
                </a:ext>
                <a:ext uri="{FF2B5EF4-FFF2-40B4-BE49-F238E27FC236}">
                  <a16:creationId xmlns:a16="http://schemas.microsoft.com/office/drawing/2014/main" id="{00000000-0008-0000-2D00-00007E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32</xdr:row>
          <xdr:rowOff>9525</xdr:rowOff>
        </xdr:from>
        <xdr:to>
          <xdr:col>5</xdr:col>
          <xdr:colOff>1171575</xdr:colOff>
          <xdr:row>33</xdr:row>
          <xdr:rowOff>19050</xdr:rowOff>
        </xdr:to>
        <xdr:sp macro="" textlink="">
          <xdr:nvSpPr>
            <xdr:cNvPr id="96383" name="Q_PPH_HP5_Below" hidden="1">
              <a:extLst>
                <a:ext uri="{63B3BB69-23CF-44E3-9099-C40C66FF867C}">
                  <a14:compatExt spid="_x0000_s96383"/>
                </a:ext>
                <a:ext uri="{FF2B5EF4-FFF2-40B4-BE49-F238E27FC236}">
                  <a16:creationId xmlns:a16="http://schemas.microsoft.com/office/drawing/2014/main" id="{00000000-0008-0000-2D00-00007F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4</xdr:row>
          <xdr:rowOff>285750</xdr:rowOff>
        </xdr:from>
        <xdr:to>
          <xdr:col>12</xdr:col>
          <xdr:colOff>1533525</xdr:colOff>
          <xdr:row>6</xdr:row>
          <xdr:rowOff>19050</xdr:rowOff>
        </xdr:to>
        <xdr:sp macro="" textlink="">
          <xdr:nvSpPr>
            <xdr:cNvPr id="96384" name="Q_PPH_MPC_Controller" hidden="1">
              <a:extLst>
                <a:ext uri="{63B3BB69-23CF-44E3-9099-C40C66FF867C}">
                  <a14:compatExt spid="_x0000_s96384"/>
                </a:ext>
                <a:ext uri="{FF2B5EF4-FFF2-40B4-BE49-F238E27FC236}">
                  <a16:creationId xmlns:a16="http://schemas.microsoft.com/office/drawing/2014/main" id="{00000000-0008-0000-2D00-000080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7</xdr:row>
          <xdr:rowOff>152400</xdr:rowOff>
        </xdr:from>
        <xdr:to>
          <xdr:col>12</xdr:col>
          <xdr:colOff>1438275</xdr:colOff>
          <xdr:row>8</xdr:row>
          <xdr:rowOff>190500</xdr:rowOff>
        </xdr:to>
        <xdr:sp macro="" textlink="">
          <xdr:nvSpPr>
            <xdr:cNvPr id="96385" name="Q_PPH_BACnet" hidden="1">
              <a:extLst>
                <a:ext uri="{63B3BB69-23CF-44E3-9099-C40C66FF867C}">
                  <a14:compatExt spid="_x0000_s96385"/>
                </a:ext>
                <a:ext uri="{FF2B5EF4-FFF2-40B4-BE49-F238E27FC236}">
                  <a16:creationId xmlns:a16="http://schemas.microsoft.com/office/drawing/2014/main" id="{00000000-0008-0000-2D00-000081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9</xdr:row>
          <xdr:rowOff>85725</xdr:rowOff>
        </xdr:from>
        <xdr:to>
          <xdr:col>12</xdr:col>
          <xdr:colOff>1428750</xdr:colOff>
          <xdr:row>10</xdr:row>
          <xdr:rowOff>161925</xdr:rowOff>
        </xdr:to>
        <xdr:sp macro="" textlink="">
          <xdr:nvSpPr>
            <xdr:cNvPr id="96386" name="Q_PPH_Extended_Key_Pad" hidden="1">
              <a:extLst>
                <a:ext uri="{63B3BB69-23CF-44E3-9099-C40C66FF867C}">
                  <a14:compatExt spid="_x0000_s96386"/>
                </a:ext>
                <a:ext uri="{FF2B5EF4-FFF2-40B4-BE49-F238E27FC236}">
                  <a16:creationId xmlns:a16="http://schemas.microsoft.com/office/drawing/2014/main" id="{00000000-0008-0000-2D00-00008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1</xdr:row>
          <xdr:rowOff>38100</xdr:rowOff>
        </xdr:from>
        <xdr:to>
          <xdr:col>11</xdr:col>
          <xdr:colOff>142875</xdr:colOff>
          <xdr:row>1</xdr:row>
          <xdr:rowOff>276225</xdr:rowOff>
        </xdr:to>
        <xdr:sp macro="" textlink="">
          <xdr:nvSpPr>
            <xdr:cNvPr id="96387" name="Q_PPH_SAES_K_002" hidden="1">
              <a:extLst>
                <a:ext uri="{63B3BB69-23CF-44E3-9099-C40C66FF867C}">
                  <a14:compatExt spid="_x0000_s96387"/>
                </a:ext>
                <a:ext uri="{FF2B5EF4-FFF2-40B4-BE49-F238E27FC236}">
                  <a16:creationId xmlns:a16="http://schemas.microsoft.com/office/drawing/2014/main" id="{00000000-0008-0000-2D00-000083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23</xdr:row>
          <xdr:rowOff>114300</xdr:rowOff>
        </xdr:from>
        <xdr:to>
          <xdr:col>12</xdr:col>
          <xdr:colOff>1428750</xdr:colOff>
          <xdr:row>24</xdr:row>
          <xdr:rowOff>190500</xdr:rowOff>
        </xdr:to>
        <xdr:sp macro="" textlink="">
          <xdr:nvSpPr>
            <xdr:cNvPr id="96388" name="Q_PPH_Fire_Inter_Lock" hidden="1">
              <a:extLst>
                <a:ext uri="{63B3BB69-23CF-44E3-9099-C40C66FF867C}">
                  <a14:compatExt spid="_x0000_s96388"/>
                </a:ext>
                <a:ext uri="{FF2B5EF4-FFF2-40B4-BE49-F238E27FC236}">
                  <a16:creationId xmlns:a16="http://schemas.microsoft.com/office/drawing/2014/main" id="{00000000-0008-0000-2D00-00008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22</xdr:row>
          <xdr:rowOff>161925</xdr:rowOff>
        </xdr:from>
        <xdr:to>
          <xdr:col>12</xdr:col>
          <xdr:colOff>1428750</xdr:colOff>
          <xdr:row>24</xdr:row>
          <xdr:rowOff>9525</xdr:rowOff>
        </xdr:to>
        <xdr:sp macro="" textlink="">
          <xdr:nvSpPr>
            <xdr:cNvPr id="96389" name="Q_PPH_General_Alarm" hidden="1">
              <a:extLst>
                <a:ext uri="{63B3BB69-23CF-44E3-9099-C40C66FF867C}">
                  <a14:compatExt spid="_x0000_s96389"/>
                </a:ext>
                <a:ext uri="{FF2B5EF4-FFF2-40B4-BE49-F238E27FC236}">
                  <a16:creationId xmlns:a16="http://schemas.microsoft.com/office/drawing/2014/main" id="{00000000-0008-0000-2D00-00008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24</xdr:row>
          <xdr:rowOff>180975</xdr:rowOff>
        </xdr:from>
        <xdr:to>
          <xdr:col>8</xdr:col>
          <xdr:colOff>1076325</xdr:colOff>
          <xdr:row>25</xdr:row>
          <xdr:rowOff>190500</xdr:rowOff>
        </xdr:to>
        <xdr:sp macro="" textlink="">
          <xdr:nvSpPr>
            <xdr:cNvPr id="96390" name="Q_PPH_SS_Filter_304" hidden="1">
              <a:extLst>
                <a:ext uri="{63B3BB69-23CF-44E3-9099-C40C66FF867C}">
                  <a14:compatExt spid="_x0000_s96390"/>
                </a:ext>
                <a:ext uri="{FF2B5EF4-FFF2-40B4-BE49-F238E27FC236}">
                  <a16:creationId xmlns:a16="http://schemas.microsoft.com/office/drawing/2014/main" id="{00000000-0008-0000-2D00-00008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12</xdr:row>
          <xdr:rowOff>161925</xdr:rowOff>
        </xdr:from>
        <xdr:to>
          <xdr:col>10</xdr:col>
          <xdr:colOff>581025</xdr:colOff>
          <xdr:row>13</xdr:row>
          <xdr:rowOff>200025</xdr:rowOff>
        </xdr:to>
        <xdr:sp macro="" textlink="">
          <xdr:nvSpPr>
            <xdr:cNvPr id="96392" name="Q_PPH_Earth_Boss" hidden="1">
              <a:extLst>
                <a:ext uri="{63B3BB69-23CF-44E3-9099-C40C66FF867C}">
                  <a14:compatExt spid="_x0000_s96392"/>
                </a:ext>
                <a:ext uri="{FF2B5EF4-FFF2-40B4-BE49-F238E27FC236}">
                  <a16:creationId xmlns:a16="http://schemas.microsoft.com/office/drawing/2014/main" id="{00000000-0008-0000-2D00-000088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133350</xdr:rowOff>
        </xdr:from>
        <xdr:to>
          <xdr:col>10</xdr:col>
          <xdr:colOff>1323975</xdr:colOff>
          <xdr:row>14</xdr:row>
          <xdr:rowOff>209550</xdr:rowOff>
        </xdr:to>
        <xdr:sp macro="" textlink="">
          <xdr:nvSpPr>
            <xdr:cNvPr id="96393" name="Q_PPH_Earth_Leakage" hidden="1">
              <a:extLst>
                <a:ext uri="{63B3BB69-23CF-44E3-9099-C40C66FF867C}">
                  <a14:compatExt spid="_x0000_s96393"/>
                </a:ext>
                <a:ext uri="{FF2B5EF4-FFF2-40B4-BE49-F238E27FC236}">
                  <a16:creationId xmlns:a16="http://schemas.microsoft.com/office/drawing/2014/main" id="{00000000-0008-0000-2D00-000089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31</xdr:row>
          <xdr:rowOff>114300</xdr:rowOff>
        </xdr:from>
        <xdr:to>
          <xdr:col>12</xdr:col>
          <xdr:colOff>2286000</xdr:colOff>
          <xdr:row>32</xdr:row>
          <xdr:rowOff>95250</xdr:rowOff>
        </xdr:to>
        <xdr:sp macro="" textlink="">
          <xdr:nvSpPr>
            <xdr:cNvPr id="96394" name="Q_PPH_Diff_Pressure_Transmitter" hidden="1">
              <a:extLst>
                <a:ext uri="{63B3BB69-23CF-44E3-9099-C40C66FF867C}">
                  <a14:compatExt spid="_x0000_s96394"/>
                </a:ext>
                <a:ext uri="{FF2B5EF4-FFF2-40B4-BE49-F238E27FC236}">
                  <a16:creationId xmlns:a16="http://schemas.microsoft.com/office/drawing/2014/main" id="{00000000-0008-0000-2D00-00008A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11</xdr:row>
          <xdr:rowOff>190500</xdr:rowOff>
        </xdr:from>
        <xdr:to>
          <xdr:col>11</xdr:col>
          <xdr:colOff>685800</xdr:colOff>
          <xdr:row>12</xdr:row>
          <xdr:rowOff>180975</xdr:rowOff>
        </xdr:to>
        <xdr:sp macro="" textlink="">
          <xdr:nvSpPr>
            <xdr:cNvPr id="96395" name="Q_PPH_Current_Transformer_Evap" hidden="1">
              <a:extLst>
                <a:ext uri="{63B3BB69-23CF-44E3-9099-C40C66FF867C}">
                  <a14:compatExt spid="_x0000_s96395"/>
                </a:ext>
                <a:ext uri="{FF2B5EF4-FFF2-40B4-BE49-F238E27FC236}">
                  <a16:creationId xmlns:a16="http://schemas.microsoft.com/office/drawing/2014/main" id="{00000000-0008-0000-2D00-00008B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34</xdr:row>
          <xdr:rowOff>57150</xdr:rowOff>
        </xdr:from>
        <xdr:to>
          <xdr:col>10</xdr:col>
          <xdr:colOff>1219200</xdr:colOff>
          <xdr:row>35</xdr:row>
          <xdr:rowOff>123825</xdr:rowOff>
        </xdr:to>
        <xdr:sp macro="" textlink="">
          <xdr:nvSpPr>
            <xdr:cNvPr id="96396" name="Q_PPH_Belt_Spare" hidden="1">
              <a:extLst>
                <a:ext uri="{63B3BB69-23CF-44E3-9099-C40C66FF867C}">
                  <a14:compatExt spid="_x0000_s96396"/>
                </a:ext>
                <a:ext uri="{FF2B5EF4-FFF2-40B4-BE49-F238E27FC236}">
                  <a16:creationId xmlns:a16="http://schemas.microsoft.com/office/drawing/2014/main" id="{00000000-0008-0000-2D00-00008C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0</xdr:row>
          <xdr:rowOff>95250</xdr:rowOff>
        </xdr:from>
        <xdr:to>
          <xdr:col>12</xdr:col>
          <xdr:colOff>1409700</xdr:colOff>
          <xdr:row>1</xdr:row>
          <xdr:rowOff>76200</xdr:rowOff>
        </xdr:to>
        <xdr:sp macro="" textlink="">
          <xdr:nvSpPr>
            <xdr:cNvPr id="96398" name="PPH_Unit_Details" hidden="1">
              <a:extLst>
                <a:ext uri="{63B3BB69-23CF-44E3-9099-C40C66FF867C}">
                  <a14:compatExt spid="_x0000_s96398"/>
                </a:ext>
                <a:ext uri="{FF2B5EF4-FFF2-40B4-BE49-F238E27FC236}">
                  <a16:creationId xmlns:a16="http://schemas.microsoft.com/office/drawing/2014/main" id="{00000000-0008-0000-2D00-00008E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1</xdr:row>
          <xdr:rowOff>190500</xdr:rowOff>
        </xdr:from>
        <xdr:to>
          <xdr:col>12</xdr:col>
          <xdr:colOff>1409700</xdr:colOff>
          <xdr:row>2</xdr:row>
          <xdr:rowOff>152400</xdr:rowOff>
        </xdr:to>
        <xdr:sp macro="" textlink="">
          <xdr:nvSpPr>
            <xdr:cNvPr id="96402" name="Import_PPH" hidden="1">
              <a:extLst>
                <a:ext uri="{63B3BB69-23CF-44E3-9099-C40C66FF867C}">
                  <a14:compatExt spid="_x0000_s96402"/>
                </a:ext>
                <a:ext uri="{FF2B5EF4-FFF2-40B4-BE49-F238E27FC236}">
                  <a16:creationId xmlns:a16="http://schemas.microsoft.com/office/drawing/2014/main" id="{00000000-0008-0000-2D00-00009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xdr:row>
          <xdr:rowOff>19050</xdr:rowOff>
        </xdr:from>
        <xdr:to>
          <xdr:col>11</xdr:col>
          <xdr:colOff>123825</xdr:colOff>
          <xdr:row>2</xdr:row>
          <xdr:rowOff>266700</xdr:rowOff>
        </xdr:to>
        <xdr:sp macro="" textlink="">
          <xdr:nvSpPr>
            <xdr:cNvPr id="96403" name="SAMSS_27" hidden="1">
              <a:extLst>
                <a:ext uri="{63B3BB69-23CF-44E3-9099-C40C66FF867C}">
                  <a14:compatExt spid="_x0000_s96403"/>
                </a:ext>
                <a:ext uri="{FF2B5EF4-FFF2-40B4-BE49-F238E27FC236}">
                  <a16:creationId xmlns:a16="http://schemas.microsoft.com/office/drawing/2014/main" id="{00000000-0008-0000-2D00-000093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23</xdr:row>
          <xdr:rowOff>190500</xdr:rowOff>
        </xdr:from>
        <xdr:to>
          <xdr:col>11</xdr:col>
          <xdr:colOff>485775</xdr:colOff>
          <xdr:row>24</xdr:row>
          <xdr:rowOff>209550</xdr:rowOff>
        </xdr:to>
        <xdr:sp macro="" textlink="">
          <xdr:nvSpPr>
            <xdr:cNvPr id="96404" name="Q_PPH_MDS_NMEA4X" hidden="1">
              <a:extLst>
                <a:ext uri="{63B3BB69-23CF-44E3-9099-C40C66FF867C}">
                  <a14:compatExt spid="_x0000_s96404"/>
                </a:ext>
                <a:ext uri="{FF2B5EF4-FFF2-40B4-BE49-F238E27FC236}">
                  <a16:creationId xmlns:a16="http://schemas.microsoft.com/office/drawing/2014/main" id="{00000000-0008-0000-2D00-00009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114300</xdr:rowOff>
        </xdr:from>
        <xdr:to>
          <xdr:col>8</xdr:col>
          <xdr:colOff>1247775</xdr:colOff>
          <xdr:row>17</xdr:row>
          <xdr:rowOff>142875</xdr:rowOff>
        </xdr:to>
        <xdr:sp macro="" textlink="">
          <xdr:nvSpPr>
            <xdr:cNvPr id="96405" name="Q_PPH_Full_Weilded" hidden="1">
              <a:extLst>
                <a:ext uri="{63B3BB69-23CF-44E3-9099-C40C66FF867C}">
                  <a14:compatExt spid="_x0000_s96405"/>
                </a:ext>
                <a:ext uri="{FF2B5EF4-FFF2-40B4-BE49-F238E27FC236}">
                  <a16:creationId xmlns:a16="http://schemas.microsoft.com/office/drawing/2014/main" id="{00000000-0008-0000-2D00-00009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15</xdr:row>
          <xdr:rowOff>123825</xdr:rowOff>
        </xdr:from>
        <xdr:to>
          <xdr:col>8</xdr:col>
          <xdr:colOff>1571625</xdr:colOff>
          <xdr:row>16</xdr:row>
          <xdr:rowOff>161925</xdr:rowOff>
        </xdr:to>
        <xdr:sp macro="" textlink="">
          <xdr:nvSpPr>
            <xdr:cNvPr id="96406" name="Q_PPH_C_Channel" hidden="1">
              <a:extLst>
                <a:ext uri="{63B3BB69-23CF-44E3-9099-C40C66FF867C}">
                  <a14:compatExt spid="_x0000_s96406"/>
                </a:ext>
                <a:ext uri="{FF2B5EF4-FFF2-40B4-BE49-F238E27FC236}">
                  <a16:creationId xmlns:a16="http://schemas.microsoft.com/office/drawing/2014/main" id="{00000000-0008-0000-2D00-00009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14</xdr:row>
          <xdr:rowOff>133350</xdr:rowOff>
        </xdr:from>
        <xdr:to>
          <xdr:col>11</xdr:col>
          <xdr:colOff>638175</xdr:colOff>
          <xdr:row>15</xdr:row>
          <xdr:rowOff>200025</xdr:rowOff>
        </xdr:to>
        <xdr:sp macro="" textlink="">
          <xdr:nvSpPr>
            <xdr:cNvPr id="96407" name="Q_PPH_70C_Rated_Relays" hidden="1">
              <a:extLst>
                <a:ext uri="{63B3BB69-23CF-44E3-9099-C40C66FF867C}">
                  <a14:compatExt spid="_x0000_s96407"/>
                </a:ext>
                <a:ext uri="{FF2B5EF4-FFF2-40B4-BE49-F238E27FC236}">
                  <a16:creationId xmlns:a16="http://schemas.microsoft.com/office/drawing/2014/main" id="{00000000-0008-0000-2D00-00009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33</xdr:row>
          <xdr:rowOff>152400</xdr:rowOff>
        </xdr:from>
        <xdr:to>
          <xdr:col>11</xdr:col>
          <xdr:colOff>361950</xdr:colOff>
          <xdr:row>34</xdr:row>
          <xdr:rowOff>123825</xdr:rowOff>
        </xdr:to>
        <xdr:sp macro="" textlink="">
          <xdr:nvSpPr>
            <xdr:cNvPr id="96408" name="Q_PPH_Core_Spare" hidden="1">
              <a:extLst>
                <a:ext uri="{63B3BB69-23CF-44E3-9099-C40C66FF867C}">
                  <a14:compatExt spid="_x0000_s96408"/>
                </a:ext>
                <a:ext uri="{FF2B5EF4-FFF2-40B4-BE49-F238E27FC236}">
                  <a16:creationId xmlns:a16="http://schemas.microsoft.com/office/drawing/2014/main" id="{00000000-0008-0000-2D00-000098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32</xdr:row>
          <xdr:rowOff>171450</xdr:rowOff>
        </xdr:from>
        <xdr:to>
          <xdr:col>11</xdr:col>
          <xdr:colOff>152400</xdr:colOff>
          <xdr:row>33</xdr:row>
          <xdr:rowOff>238125</xdr:rowOff>
        </xdr:to>
        <xdr:sp macro="" textlink="">
          <xdr:nvSpPr>
            <xdr:cNvPr id="96409" name="Q_PPH_Spare_Bag_Filter" hidden="1">
              <a:extLst>
                <a:ext uri="{63B3BB69-23CF-44E3-9099-C40C66FF867C}">
                  <a14:compatExt spid="_x0000_s96409"/>
                </a:ext>
                <a:ext uri="{FF2B5EF4-FFF2-40B4-BE49-F238E27FC236}">
                  <a16:creationId xmlns:a16="http://schemas.microsoft.com/office/drawing/2014/main" id="{00000000-0008-0000-2D00-000099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31</xdr:row>
          <xdr:rowOff>285750</xdr:rowOff>
        </xdr:from>
        <xdr:to>
          <xdr:col>10</xdr:col>
          <xdr:colOff>1466850</xdr:colOff>
          <xdr:row>33</xdr:row>
          <xdr:rowOff>47625</xdr:rowOff>
        </xdr:to>
        <xdr:sp macro="" textlink="">
          <xdr:nvSpPr>
            <xdr:cNvPr id="96410" name="Q_PPH_SPARE_Flat_Filter" hidden="1">
              <a:extLst>
                <a:ext uri="{63B3BB69-23CF-44E3-9099-C40C66FF867C}">
                  <a14:compatExt spid="_x0000_s96410"/>
                </a:ext>
                <a:ext uri="{FF2B5EF4-FFF2-40B4-BE49-F238E27FC236}">
                  <a16:creationId xmlns:a16="http://schemas.microsoft.com/office/drawing/2014/main" id="{00000000-0008-0000-2D00-00009A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17</xdr:row>
          <xdr:rowOff>123825</xdr:rowOff>
        </xdr:from>
        <xdr:to>
          <xdr:col>8</xdr:col>
          <xdr:colOff>1543050</xdr:colOff>
          <xdr:row>18</xdr:row>
          <xdr:rowOff>133350</xdr:rowOff>
        </xdr:to>
        <xdr:sp macro="" textlink="">
          <xdr:nvSpPr>
            <xdr:cNvPr id="96411" name="Q_PPH_ASTM_117" hidden="1">
              <a:extLst>
                <a:ext uri="{63B3BB69-23CF-44E3-9099-C40C66FF867C}">
                  <a14:compatExt spid="_x0000_s96411"/>
                </a:ext>
                <a:ext uri="{FF2B5EF4-FFF2-40B4-BE49-F238E27FC236}">
                  <a16:creationId xmlns:a16="http://schemas.microsoft.com/office/drawing/2014/main" id="{00000000-0008-0000-2D00-00009B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44</xdr:row>
          <xdr:rowOff>28575</xdr:rowOff>
        </xdr:from>
        <xdr:to>
          <xdr:col>12</xdr:col>
          <xdr:colOff>2219325</xdr:colOff>
          <xdr:row>45</xdr:row>
          <xdr:rowOff>0</xdr:rowOff>
        </xdr:to>
        <xdr:sp macro="" textlink="">
          <xdr:nvSpPr>
            <xdr:cNvPr id="96412" name="EC_Cond_Fans" hidden="1">
              <a:extLst>
                <a:ext uri="{63B3BB69-23CF-44E3-9099-C40C66FF867C}">
                  <a14:compatExt spid="_x0000_s96412"/>
                </a:ext>
                <a:ext uri="{FF2B5EF4-FFF2-40B4-BE49-F238E27FC236}">
                  <a16:creationId xmlns:a16="http://schemas.microsoft.com/office/drawing/2014/main" id="{00000000-0008-0000-2D00-00009C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142875</xdr:rowOff>
        </xdr:from>
        <xdr:to>
          <xdr:col>11</xdr:col>
          <xdr:colOff>647700</xdr:colOff>
          <xdr:row>16</xdr:row>
          <xdr:rowOff>171450</xdr:rowOff>
        </xdr:to>
        <xdr:sp macro="" textlink="">
          <xdr:nvSpPr>
            <xdr:cNvPr id="96413" name="Space_Heater_Control" hidden="1">
              <a:extLst>
                <a:ext uri="{63B3BB69-23CF-44E3-9099-C40C66FF867C}">
                  <a14:compatExt spid="_x0000_s96413"/>
                </a:ext>
                <a:ext uri="{FF2B5EF4-FFF2-40B4-BE49-F238E27FC236}">
                  <a16:creationId xmlns:a16="http://schemas.microsoft.com/office/drawing/2014/main" id="{00000000-0008-0000-2D00-00009D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6</xdr:row>
          <xdr:rowOff>19050</xdr:rowOff>
        </xdr:from>
        <xdr:to>
          <xdr:col>6</xdr:col>
          <xdr:colOff>609600</xdr:colOff>
          <xdr:row>7</xdr:row>
          <xdr:rowOff>19050</xdr:rowOff>
        </xdr:to>
        <xdr:sp macro="" textlink="">
          <xdr:nvSpPr>
            <xdr:cNvPr id="96414" name="GI_WM" hidden="1">
              <a:extLst>
                <a:ext uri="{63B3BB69-23CF-44E3-9099-C40C66FF867C}">
                  <a14:compatExt spid="_x0000_s96414"/>
                </a:ext>
                <a:ext uri="{FF2B5EF4-FFF2-40B4-BE49-F238E27FC236}">
                  <a16:creationId xmlns:a16="http://schemas.microsoft.com/office/drawing/2014/main" id="{00000000-0008-0000-2D00-00009E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200025</xdr:colOff>
          <xdr:row>6</xdr:row>
          <xdr:rowOff>0</xdr:rowOff>
        </xdr:from>
        <xdr:to>
          <xdr:col>8</xdr:col>
          <xdr:colOff>381000</xdr:colOff>
          <xdr:row>7</xdr:row>
          <xdr:rowOff>19050</xdr:rowOff>
        </xdr:to>
        <xdr:sp macro="" textlink="">
          <xdr:nvSpPr>
            <xdr:cNvPr id="96415" name="SS304_WM" hidden="1">
              <a:extLst>
                <a:ext uri="{63B3BB69-23CF-44E3-9099-C40C66FF867C}">
                  <a14:compatExt spid="_x0000_s96415"/>
                </a:ext>
                <a:ext uri="{FF2B5EF4-FFF2-40B4-BE49-F238E27FC236}">
                  <a16:creationId xmlns:a16="http://schemas.microsoft.com/office/drawing/2014/main" id="{00000000-0008-0000-2D00-00009F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5</xdr:row>
          <xdr:rowOff>209550</xdr:rowOff>
        </xdr:from>
        <xdr:to>
          <xdr:col>8</xdr:col>
          <xdr:colOff>1504950</xdr:colOff>
          <xdr:row>7</xdr:row>
          <xdr:rowOff>19050</xdr:rowOff>
        </xdr:to>
        <xdr:sp macro="" textlink="">
          <xdr:nvSpPr>
            <xdr:cNvPr id="96416" name="SS316_WM" hidden="1">
              <a:extLst>
                <a:ext uri="{63B3BB69-23CF-44E3-9099-C40C66FF867C}">
                  <a14:compatExt spid="_x0000_s96416"/>
                </a:ext>
                <a:ext uri="{FF2B5EF4-FFF2-40B4-BE49-F238E27FC236}">
                  <a16:creationId xmlns:a16="http://schemas.microsoft.com/office/drawing/2014/main" id="{00000000-0008-0000-2D00-0000A0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38</xdr:row>
          <xdr:rowOff>190500</xdr:rowOff>
        </xdr:from>
        <xdr:to>
          <xdr:col>8</xdr:col>
          <xdr:colOff>1095375</xdr:colOff>
          <xdr:row>40</xdr:row>
          <xdr:rowOff>9525</xdr:rowOff>
        </xdr:to>
        <xdr:sp macro="" textlink="">
          <xdr:nvSpPr>
            <xdr:cNvPr id="96417" name="Coil_Casing_SS316" hidden="1">
              <a:extLst>
                <a:ext uri="{63B3BB69-23CF-44E3-9099-C40C66FF867C}">
                  <a14:compatExt spid="_x0000_s96417"/>
                </a:ext>
                <a:ext uri="{FF2B5EF4-FFF2-40B4-BE49-F238E27FC236}">
                  <a16:creationId xmlns:a16="http://schemas.microsoft.com/office/drawing/2014/main" id="{00000000-0008-0000-2D00-0000A1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39</xdr:row>
          <xdr:rowOff>180975</xdr:rowOff>
        </xdr:from>
        <xdr:to>
          <xdr:col>8</xdr:col>
          <xdr:colOff>1000125</xdr:colOff>
          <xdr:row>41</xdr:row>
          <xdr:rowOff>0</xdr:rowOff>
        </xdr:to>
        <xdr:sp macro="" textlink="">
          <xdr:nvSpPr>
            <xdr:cNvPr id="96418" name="Coil_Casing_SS304" hidden="1">
              <a:extLst>
                <a:ext uri="{63B3BB69-23CF-44E3-9099-C40C66FF867C}">
                  <a14:compatExt spid="_x0000_s96418"/>
                </a:ext>
                <a:ext uri="{FF2B5EF4-FFF2-40B4-BE49-F238E27FC236}">
                  <a16:creationId xmlns:a16="http://schemas.microsoft.com/office/drawing/2014/main" id="{00000000-0008-0000-2D00-0000A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25</xdr:row>
          <xdr:rowOff>200025</xdr:rowOff>
        </xdr:from>
        <xdr:to>
          <xdr:col>11</xdr:col>
          <xdr:colOff>266700</xdr:colOff>
          <xdr:row>26</xdr:row>
          <xdr:rowOff>219075</xdr:rowOff>
        </xdr:to>
        <xdr:sp macro="" textlink="">
          <xdr:nvSpPr>
            <xdr:cNvPr id="96419" name="IP55_Electrcial_Panel" hidden="1">
              <a:extLst>
                <a:ext uri="{63B3BB69-23CF-44E3-9099-C40C66FF867C}">
                  <a14:compatExt spid="_x0000_s96419"/>
                </a:ext>
                <a:ext uri="{FF2B5EF4-FFF2-40B4-BE49-F238E27FC236}">
                  <a16:creationId xmlns:a16="http://schemas.microsoft.com/office/drawing/2014/main" id="{00000000-0008-0000-2D00-0000A3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6</xdr:row>
          <xdr:rowOff>180975</xdr:rowOff>
        </xdr:from>
        <xdr:to>
          <xdr:col>13</xdr:col>
          <xdr:colOff>38100</xdr:colOff>
          <xdr:row>7</xdr:row>
          <xdr:rowOff>200025</xdr:rowOff>
        </xdr:to>
        <xdr:sp macro="" textlink="">
          <xdr:nvSpPr>
            <xdr:cNvPr id="96421" name="ALC_Controller" hidden="1">
              <a:extLst>
                <a:ext uri="{63B3BB69-23CF-44E3-9099-C40C66FF867C}">
                  <a14:compatExt spid="_x0000_s96421"/>
                </a:ext>
                <a:ext uri="{FF2B5EF4-FFF2-40B4-BE49-F238E27FC236}">
                  <a16:creationId xmlns:a16="http://schemas.microsoft.com/office/drawing/2014/main" id="{00000000-0008-0000-2D00-0000A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28</xdr:row>
          <xdr:rowOff>19050</xdr:rowOff>
        </xdr:from>
        <xdr:to>
          <xdr:col>12</xdr:col>
          <xdr:colOff>1390650</xdr:colOff>
          <xdr:row>28</xdr:row>
          <xdr:rowOff>276225</xdr:rowOff>
        </xdr:to>
        <xdr:sp macro="" textlink="">
          <xdr:nvSpPr>
            <xdr:cNvPr id="96423" name="CO2_Secsor" hidden="1">
              <a:extLst>
                <a:ext uri="{63B3BB69-23CF-44E3-9099-C40C66FF867C}">
                  <a14:compatExt spid="_x0000_s96423"/>
                </a:ext>
                <a:ext uri="{FF2B5EF4-FFF2-40B4-BE49-F238E27FC236}">
                  <a16:creationId xmlns:a16="http://schemas.microsoft.com/office/drawing/2014/main" id="{00000000-0008-0000-2D00-0000A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3</xdr:row>
          <xdr:rowOff>0</xdr:rowOff>
        </xdr:from>
        <xdr:to>
          <xdr:col>0</xdr:col>
          <xdr:colOff>571500</xdr:colOff>
          <xdr:row>4</xdr:row>
          <xdr:rowOff>57150</xdr:rowOff>
        </xdr:to>
        <xdr:sp macro="" textlink="">
          <xdr:nvSpPr>
            <xdr:cNvPr id="95233" name="Q_PPH_60Hz" hidden="1">
              <a:extLst>
                <a:ext uri="{63B3BB69-23CF-44E3-9099-C40C66FF867C}">
                  <a14:compatExt spid="_x0000_s95233"/>
                </a:ext>
                <a:ext uri="{FF2B5EF4-FFF2-40B4-BE49-F238E27FC236}">
                  <a16:creationId xmlns:a16="http://schemas.microsoft.com/office/drawing/2014/main" id="{00000000-0008-0000-2F00-000001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0</xdr:rowOff>
        </xdr:from>
        <xdr:to>
          <xdr:col>0</xdr:col>
          <xdr:colOff>571500</xdr:colOff>
          <xdr:row>5</xdr:row>
          <xdr:rowOff>57150</xdr:rowOff>
        </xdr:to>
        <xdr:sp macro="" textlink="">
          <xdr:nvSpPr>
            <xdr:cNvPr id="95234" name="Q_PPH_50Hz" hidden="1">
              <a:extLst>
                <a:ext uri="{63B3BB69-23CF-44E3-9099-C40C66FF867C}">
                  <a14:compatExt spid="_x0000_s95234"/>
                </a:ext>
                <a:ext uri="{FF2B5EF4-FFF2-40B4-BE49-F238E27FC236}">
                  <a16:creationId xmlns:a16="http://schemas.microsoft.com/office/drawing/2014/main" id="{00000000-0008-0000-2F00-000002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3</xdr:row>
          <xdr:rowOff>0</xdr:rowOff>
        </xdr:from>
        <xdr:to>
          <xdr:col>1</xdr:col>
          <xdr:colOff>600075</xdr:colOff>
          <xdr:row>4</xdr:row>
          <xdr:rowOff>57150</xdr:rowOff>
        </xdr:to>
        <xdr:sp macro="" textlink="">
          <xdr:nvSpPr>
            <xdr:cNvPr id="95235" name="Q_PPH_220" hidden="1">
              <a:extLst>
                <a:ext uri="{63B3BB69-23CF-44E3-9099-C40C66FF867C}">
                  <a14:compatExt spid="_x0000_s95235"/>
                </a:ext>
                <a:ext uri="{FF2B5EF4-FFF2-40B4-BE49-F238E27FC236}">
                  <a16:creationId xmlns:a16="http://schemas.microsoft.com/office/drawing/2014/main" id="{00000000-0008-0000-2F00-000003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4</xdr:row>
          <xdr:rowOff>0</xdr:rowOff>
        </xdr:from>
        <xdr:to>
          <xdr:col>1</xdr:col>
          <xdr:colOff>590550</xdr:colOff>
          <xdr:row>5</xdr:row>
          <xdr:rowOff>9525</xdr:rowOff>
        </xdr:to>
        <xdr:sp macro="" textlink="">
          <xdr:nvSpPr>
            <xdr:cNvPr id="95236" name="Q_PPH_380" hidden="1">
              <a:extLst>
                <a:ext uri="{63B3BB69-23CF-44E3-9099-C40C66FF867C}">
                  <a14:compatExt spid="_x0000_s95236"/>
                </a:ext>
                <a:ext uri="{FF2B5EF4-FFF2-40B4-BE49-F238E27FC236}">
                  <a16:creationId xmlns:a16="http://schemas.microsoft.com/office/drawing/2014/main" id="{00000000-0008-0000-2F00-000004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xdr:row>
          <xdr:rowOff>9525</xdr:rowOff>
        </xdr:from>
        <xdr:to>
          <xdr:col>1</xdr:col>
          <xdr:colOff>619125</xdr:colOff>
          <xdr:row>6</xdr:row>
          <xdr:rowOff>19050</xdr:rowOff>
        </xdr:to>
        <xdr:sp macro="" textlink="">
          <xdr:nvSpPr>
            <xdr:cNvPr id="95237" name="Q_PPH_460" hidden="1">
              <a:extLst>
                <a:ext uri="{63B3BB69-23CF-44E3-9099-C40C66FF867C}">
                  <a14:compatExt spid="_x0000_s95237"/>
                </a:ext>
                <a:ext uri="{FF2B5EF4-FFF2-40B4-BE49-F238E27FC236}">
                  <a16:creationId xmlns:a16="http://schemas.microsoft.com/office/drawing/2014/main" id="{00000000-0008-0000-2F00-000005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15</xdr:row>
          <xdr:rowOff>190500</xdr:rowOff>
        </xdr:from>
        <xdr:to>
          <xdr:col>11</xdr:col>
          <xdr:colOff>209550</xdr:colOff>
          <xdr:row>17</xdr:row>
          <xdr:rowOff>0</xdr:rowOff>
        </xdr:to>
        <xdr:sp macro="" textlink="">
          <xdr:nvSpPr>
            <xdr:cNvPr id="95238" name="Q_PPH_AFS" hidden="1">
              <a:extLst>
                <a:ext uri="{63B3BB69-23CF-44E3-9099-C40C66FF867C}">
                  <a14:compatExt spid="_x0000_s95238"/>
                </a:ext>
                <a:ext uri="{FF2B5EF4-FFF2-40B4-BE49-F238E27FC236}">
                  <a16:creationId xmlns:a16="http://schemas.microsoft.com/office/drawing/2014/main" id="{00000000-0008-0000-2F00-000006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0</xdr:row>
          <xdr:rowOff>66675</xdr:rowOff>
        </xdr:from>
        <xdr:to>
          <xdr:col>16</xdr:col>
          <xdr:colOff>533400</xdr:colOff>
          <xdr:row>2</xdr:row>
          <xdr:rowOff>104775</xdr:rowOff>
        </xdr:to>
        <xdr:sp macro="" textlink="">
          <xdr:nvSpPr>
            <xdr:cNvPr id="95239" name="Quick_PPH_Pricing" hidden="1">
              <a:extLst>
                <a:ext uri="{63B3BB69-23CF-44E3-9099-C40C66FF867C}">
                  <a14:compatExt spid="_x0000_s95239"/>
                </a:ext>
                <a:ext uri="{FF2B5EF4-FFF2-40B4-BE49-F238E27FC236}">
                  <a16:creationId xmlns:a16="http://schemas.microsoft.com/office/drawing/2014/main" id="{00000000-0008-0000-2F00-000007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22</xdr:row>
          <xdr:rowOff>76200</xdr:rowOff>
        </xdr:from>
        <xdr:to>
          <xdr:col>7</xdr:col>
          <xdr:colOff>447675</xdr:colOff>
          <xdr:row>23</xdr:row>
          <xdr:rowOff>114300</xdr:rowOff>
        </xdr:to>
        <xdr:sp macro="" textlink="">
          <xdr:nvSpPr>
            <xdr:cNvPr id="95240" name="Q_PPH_Lubricant_line" hidden="1">
              <a:extLst>
                <a:ext uri="{63B3BB69-23CF-44E3-9099-C40C66FF867C}">
                  <a14:compatExt spid="_x0000_s95240"/>
                </a:ext>
                <a:ext uri="{FF2B5EF4-FFF2-40B4-BE49-F238E27FC236}">
                  <a16:creationId xmlns:a16="http://schemas.microsoft.com/office/drawing/2014/main" id="{00000000-0008-0000-2F00-000008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15</xdr:row>
          <xdr:rowOff>209550</xdr:rowOff>
        </xdr:from>
        <xdr:to>
          <xdr:col>8</xdr:col>
          <xdr:colOff>657225</xdr:colOff>
          <xdr:row>17</xdr:row>
          <xdr:rowOff>19050</xdr:rowOff>
        </xdr:to>
        <xdr:sp macro="" textlink="">
          <xdr:nvSpPr>
            <xdr:cNvPr id="95241" name="Q_PPH_Manometer" hidden="1">
              <a:extLst>
                <a:ext uri="{63B3BB69-23CF-44E3-9099-C40C66FF867C}">
                  <a14:compatExt spid="_x0000_s95241"/>
                </a:ext>
                <a:ext uri="{FF2B5EF4-FFF2-40B4-BE49-F238E27FC236}">
                  <a16:creationId xmlns:a16="http://schemas.microsoft.com/office/drawing/2014/main" id="{00000000-0008-0000-2F00-000009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15</xdr:row>
          <xdr:rowOff>19050</xdr:rowOff>
        </xdr:from>
        <xdr:to>
          <xdr:col>8</xdr:col>
          <xdr:colOff>600075</xdr:colOff>
          <xdr:row>16</xdr:row>
          <xdr:rowOff>47625</xdr:rowOff>
        </xdr:to>
        <xdr:sp macro="" textlink="">
          <xdr:nvSpPr>
            <xdr:cNvPr id="95242" name="Q_PPH_Diff_Pressure" hidden="1">
              <a:extLst>
                <a:ext uri="{63B3BB69-23CF-44E3-9099-C40C66FF867C}">
                  <a14:compatExt spid="_x0000_s95242"/>
                </a:ext>
                <a:ext uri="{FF2B5EF4-FFF2-40B4-BE49-F238E27FC236}">
                  <a16:creationId xmlns:a16="http://schemas.microsoft.com/office/drawing/2014/main" id="{00000000-0008-0000-2F00-00000A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6</xdr:row>
          <xdr:rowOff>104775</xdr:rowOff>
        </xdr:from>
        <xdr:to>
          <xdr:col>8</xdr:col>
          <xdr:colOff>409575</xdr:colOff>
          <xdr:row>7</xdr:row>
          <xdr:rowOff>171450</xdr:rowOff>
        </xdr:to>
        <xdr:sp macro="" textlink="">
          <xdr:nvSpPr>
            <xdr:cNvPr id="95243" name="Q_PPH_Name_PSS" hidden="1">
              <a:extLst>
                <a:ext uri="{63B3BB69-23CF-44E3-9099-C40C66FF867C}">
                  <a14:compatExt spid="_x0000_s95243"/>
                </a:ext>
                <a:ext uri="{FF2B5EF4-FFF2-40B4-BE49-F238E27FC236}">
                  <a16:creationId xmlns:a16="http://schemas.microsoft.com/office/drawing/2014/main" id="{00000000-0008-0000-2F00-00000B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18</xdr:row>
          <xdr:rowOff>114300</xdr:rowOff>
        </xdr:from>
        <xdr:to>
          <xdr:col>8</xdr:col>
          <xdr:colOff>190500</xdr:colOff>
          <xdr:row>19</xdr:row>
          <xdr:rowOff>152400</xdr:rowOff>
        </xdr:to>
        <xdr:sp macro="" textlink="">
          <xdr:nvSpPr>
            <xdr:cNvPr id="95244" name="Q_PPH_DW_Drain_Pan" hidden="1">
              <a:extLst>
                <a:ext uri="{63B3BB69-23CF-44E3-9099-C40C66FF867C}">
                  <a14:compatExt spid="_x0000_s95244"/>
                </a:ext>
                <a:ext uri="{FF2B5EF4-FFF2-40B4-BE49-F238E27FC236}">
                  <a16:creationId xmlns:a16="http://schemas.microsoft.com/office/drawing/2014/main" id="{00000000-0008-0000-2F00-00000C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23</xdr:row>
          <xdr:rowOff>57150</xdr:rowOff>
        </xdr:from>
        <xdr:to>
          <xdr:col>7</xdr:col>
          <xdr:colOff>323850</xdr:colOff>
          <xdr:row>24</xdr:row>
          <xdr:rowOff>95250</xdr:rowOff>
        </xdr:to>
        <xdr:sp macro="" textlink="">
          <xdr:nvSpPr>
            <xdr:cNvPr id="95245" name="Q_PPH_Belt_Guard" hidden="1">
              <a:extLst>
                <a:ext uri="{63B3BB69-23CF-44E3-9099-C40C66FF867C}">
                  <a14:compatExt spid="_x0000_s95245"/>
                </a:ext>
                <a:ext uri="{FF2B5EF4-FFF2-40B4-BE49-F238E27FC236}">
                  <a16:creationId xmlns:a16="http://schemas.microsoft.com/office/drawing/2014/main" id="{00000000-0008-0000-2F00-00000D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228600</xdr:rowOff>
        </xdr:from>
        <xdr:to>
          <xdr:col>4</xdr:col>
          <xdr:colOff>409575</xdr:colOff>
          <xdr:row>16</xdr:row>
          <xdr:rowOff>28575</xdr:rowOff>
        </xdr:to>
        <xdr:sp macro="" textlink="">
          <xdr:nvSpPr>
            <xdr:cNvPr id="95246" name="Q_PPH_Bird_Screen" hidden="1">
              <a:extLst>
                <a:ext uri="{63B3BB69-23CF-44E3-9099-C40C66FF867C}">
                  <a14:compatExt spid="_x0000_s95246"/>
                </a:ext>
                <a:ext uri="{FF2B5EF4-FFF2-40B4-BE49-F238E27FC236}">
                  <a16:creationId xmlns:a16="http://schemas.microsoft.com/office/drawing/2014/main" id="{00000000-0008-0000-2F00-00000E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21</xdr:row>
          <xdr:rowOff>180975</xdr:rowOff>
        </xdr:from>
        <xdr:to>
          <xdr:col>7</xdr:col>
          <xdr:colOff>190500</xdr:colOff>
          <xdr:row>22</xdr:row>
          <xdr:rowOff>161925</xdr:rowOff>
        </xdr:to>
        <xdr:sp macro="" textlink="">
          <xdr:nvSpPr>
            <xdr:cNvPr id="95247" name="Q_PPH_1Spring" hidden="1">
              <a:extLst>
                <a:ext uri="{63B3BB69-23CF-44E3-9099-C40C66FF867C}">
                  <a14:compatExt spid="_x0000_s95247"/>
                </a:ext>
                <a:ext uri="{FF2B5EF4-FFF2-40B4-BE49-F238E27FC236}">
                  <a16:creationId xmlns:a16="http://schemas.microsoft.com/office/drawing/2014/main" id="{00000000-0008-0000-2F00-00000F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21</xdr:row>
          <xdr:rowOff>171450</xdr:rowOff>
        </xdr:from>
        <xdr:to>
          <xdr:col>8</xdr:col>
          <xdr:colOff>314325</xdr:colOff>
          <xdr:row>22</xdr:row>
          <xdr:rowOff>152400</xdr:rowOff>
        </xdr:to>
        <xdr:sp macro="" textlink="">
          <xdr:nvSpPr>
            <xdr:cNvPr id="95248" name="Q_PPH_2Spring" hidden="1">
              <a:extLst>
                <a:ext uri="{63B3BB69-23CF-44E3-9099-C40C66FF867C}">
                  <a14:compatExt spid="_x0000_s95248"/>
                </a:ext>
                <a:ext uri="{FF2B5EF4-FFF2-40B4-BE49-F238E27FC236}">
                  <a16:creationId xmlns:a16="http://schemas.microsoft.com/office/drawing/2014/main" id="{00000000-0008-0000-2F00-000010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16</xdr:row>
          <xdr:rowOff>190500</xdr:rowOff>
        </xdr:from>
        <xdr:to>
          <xdr:col>8</xdr:col>
          <xdr:colOff>600075</xdr:colOff>
          <xdr:row>18</xdr:row>
          <xdr:rowOff>0</xdr:rowOff>
        </xdr:to>
        <xdr:sp macro="" textlink="">
          <xdr:nvSpPr>
            <xdr:cNvPr id="95249" name="Q_PPH_SS_Filter" hidden="1">
              <a:extLst>
                <a:ext uri="{63B3BB69-23CF-44E3-9099-C40C66FF867C}">
                  <a14:compatExt spid="_x0000_s95249"/>
                </a:ext>
                <a:ext uri="{FF2B5EF4-FFF2-40B4-BE49-F238E27FC236}">
                  <a16:creationId xmlns:a16="http://schemas.microsoft.com/office/drawing/2014/main" id="{00000000-0008-0000-2F00-000011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20</xdr:row>
          <xdr:rowOff>266700</xdr:rowOff>
        </xdr:from>
        <xdr:to>
          <xdr:col>8</xdr:col>
          <xdr:colOff>371475</xdr:colOff>
          <xdr:row>21</xdr:row>
          <xdr:rowOff>247650</xdr:rowOff>
        </xdr:to>
        <xdr:sp macro="" textlink="">
          <xdr:nvSpPr>
            <xdr:cNvPr id="95250" name="Q_PPH_SS_Coil" hidden="1">
              <a:extLst>
                <a:ext uri="{63B3BB69-23CF-44E3-9099-C40C66FF867C}">
                  <a14:compatExt spid="_x0000_s95250"/>
                </a:ext>
                <a:ext uri="{FF2B5EF4-FFF2-40B4-BE49-F238E27FC236}">
                  <a16:creationId xmlns:a16="http://schemas.microsoft.com/office/drawing/2014/main" id="{00000000-0008-0000-2F00-000012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16</xdr:row>
          <xdr:rowOff>38100</xdr:rowOff>
        </xdr:from>
        <xdr:to>
          <xdr:col>5</xdr:col>
          <xdr:colOff>419100</xdr:colOff>
          <xdr:row>17</xdr:row>
          <xdr:rowOff>76200</xdr:rowOff>
        </xdr:to>
        <xdr:sp macro="" textlink="">
          <xdr:nvSpPr>
            <xdr:cNvPr id="95251" name="Q_PPH_Bag_Filter" hidden="1">
              <a:extLst>
                <a:ext uri="{63B3BB69-23CF-44E3-9099-C40C66FF867C}">
                  <a14:compatExt spid="_x0000_s95251"/>
                </a:ext>
                <a:ext uri="{FF2B5EF4-FFF2-40B4-BE49-F238E27FC236}">
                  <a16:creationId xmlns:a16="http://schemas.microsoft.com/office/drawing/2014/main" id="{00000000-0008-0000-2F00-000013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12</xdr:row>
          <xdr:rowOff>142875</xdr:rowOff>
        </xdr:from>
        <xdr:to>
          <xdr:col>5</xdr:col>
          <xdr:colOff>0</xdr:colOff>
          <xdr:row>13</xdr:row>
          <xdr:rowOff>180975</xdr:rowOff>
        </xdr:to>
        <xdr:sp macro="" textlink="">
          <xdr:nvSpPr>
            <xdr:cNvPr id="95252" name="Q_PPH_Inlet_Damper" hidden="1">
              <a:extLst>
                <a:ext uri="{63B3BB69-23CF-44E3-9099-C40C66FF867C}">
                  <a14:compatExt spid="_x0000_s95252"/>
                </a:ext>
                <a:ext uri="{FF2B5EF4-FFF2-40B4-BE49-F238E27FC236}">
                  <a16:creationId xmlns:a16="http://schemas.microsoft.com/office/drawing/2014/main" id="{00000000-0008-0000-2F00-000014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13</xdr:row>
          <xdr:rowOff>95250</xdr:rowOff>
        </xdr:from>
        <xdr:to>
          <xdr:col>4</xdr:col>
          <xdr:colOff>419100</xdr:colOff>
          <xdr:row>14</xdr:row>
          <xdr:rowOff>114300</xdr:rowOff>
        </xdr:to>
        <xdr:sp macro="" textlink="">
          <xdr:nvSpPr>
            <xdr:cNvPr id="95253" name="Q_PPH_Mixing_Box" hidden="1">
              <a:extLst>
                <a:ext uri="{63B3BB69-23CF-44E3-9099-C40C66FF867C}">
                  <a14:compatExt spid="_x0000_s95253"/>
                </a:ext>
                <a:ext uri="{FF2B5EF4-FFF2-40B4-BE49-F238E27FC236}">
                  <a16:creationId xmlns:a16="http://schemas.microsoft.com/office/drawing/2014/main" id="{00000000-0008-0000-2F00-000015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10</xdr:row>
          <xdr:rowOff>219075</xdr:rowOff>
        </xdr:from>
        <xdr:to>
          <xdr:col>4</xdr:col>
          <xdr:colOff>266700</xdr:colOff>
          <xdr:row>12</xdr:row>
          <xdr:rowOff>19050</xdr:rowOff>
        </xdr:to>
        <xdr:sp macro="" textlink="">
          <xdr:nvSpPr>
            <xdr:cNvPr id="95254" name="Q_PPH_Rian_Hood" hidden="1">
              <a:extLst>
                <a:ext uri="{63B3BB69-23CF-44E3-9099-C40C66FF867C}">
                  <a14:compatExt spid="_x0000_s95254"/>
                </a:ext>
                <a:ext uri="{FF2B5EF4-FFF2-40B4-BE49-F238E27FC236}">
                  <a16:creationId xmlns:a16="http://schemas.microsoft.com/office/drawing/2014/main" id="{00000000-0008-0000-2F00-000016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11</xdr:row>
          <xdr:rowOff>200025</xdr:rowOff>
        </xdr:from>
        <xdr:to>
          <xdr:col>5</xdr:col>
          <xdr:colOff>142875</xdr:colOff>
          <xdr:row>12</xdr:row>
          <xdr:rowOff>219075</xdr:rowOff>
        </xdr:to>
        <xdr:sp macro="" textlink="">
          <xdr:nvSpPr>
            <xdr:cNvPr id="95255" name="Q_PPH_STL" hidden="1">
              <a:extLst>
                <a:ext uri="{63B3BB69-23CF-44E3-9099-C40C66FF867C}">
                  <a14:compatExt spid="_x0000_s95255"/>
                </a:ext>
                <a:ext uri="{FF2B5EF4-FFF2-40B4-BE49-F238E27FC236}">
                  <a16:creationId xmlns:a16="http://schemas.microsoft.com/office/drawing/2014/main" id="{00000000-0008-0000-2F00-000017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19</xdr:row>
          <xdr:rowOff>95250</xdr:rowOff>
        </xdr:from>
        <xdr:to>
          <xdr:col>8</xdr:col>
          <xdr:colOff>409575</xdr:colOff>
          <xdr:row>20</xdr:row>
          <xdr:rowOff>123825</xdr:rowOff>
        </xdr:to>
        <xdr:sp macro="" textlink="">
          <xdr:nvSpPr>
            <xdr:cNvPr id="95256" name="Q_PPH_SS_Drain_Pan" hidden="1">
              <a:extLst>
                <a:ext uri="{63B3BB69-23CF-44E3-9099-C40C66FF867C}">
                  <a14:compatExt spid="_x0000_s95256"/>
                </a:ext>
                <a:ext uri="{FF2B5EF4-FFF2-40B4-BE49-F238E27FC236}">
                  <a16:creationId xmlns:a16="http://schemas.microsoft.com/office/drawing/2014/main" id="{00000000-0008-0000-2F00-000018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47625</xdr:rowOff>
        </xdr:from>
        <xdr:to>
          <xdr:col>4</xdr:col>
          <xdr:colOff>438150</xdr:colOff>
          <xdr:row>15</xdr:row>
          <xdr:rowOff>76200</xdr:rowOff>
        </xdr:to>
        <xdr:sp macro="" textlink="">
          <xdr:nvSpPr>
            <xdr:cNvPr id="95257" name="Q_PPH_Economizer" hidden="1">
              <a:extLst>
                <a:ext uri="{63B3BB69-23CF-44E3-9099-C40C66FF867C}">
                  <a14:compatExt spid="_x0000_s95257"/>
                </a:ext>
                <a:ext uri="{FF2B5EF4-FFF2-40B4-BE49-F238E27FC236}">
                  <a16:creationId xmlns:a16="http://schemas.microsoft.com/office/drawing/2014/main" id="{00000000-0008-0000-2F00-000019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14</xdr:row>
          <xdr:rowOff>0</xdr:rowOff>
        </xdr:from>
        <xdr:to>
          <xdr:col>1</xdr:col>
          <xdr:colOff>104775</xdr:colOff>
          <xdr:row>15</xdr:row>
          <xdr:rowOff>19050</xdr:rowOff>
        </xdr:to>
        <xdr:sp macro="" textlink="">
          <xdr:nvSpPr>
            <xdr:cNvPr id="95258" name="Q_PPH_CU_CU_Evap" hidden="1">
              <a:extLst>
                <a:ext uri="{63B3BB69-23CF-44E3-9099-C40C66FF867C}">
                  <a14:compatExt spid="_x0000_s95258"/>
                </a:ext>
                <a:ext uri="{FF2B5EF4-FFF2-40B4-BE49-F238E27FC236}">
                  <a16:creationId xmlns:a16="http://schemas.microsoft.com/office/drawing/2014/main" id="{00000000-0008-0000-2F00-00001A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12</xdr:row>
          <xdr:rowOff>219075</xdr:rowOff>
        </xdr:from>
        <xdr:to>
          <xdr:col>1</xdr:col>
          <xdr:colOff>381000</xdr:colOff>
          <xdr:row>14</xdr:row>
          <xdr:rowOff>9525</xdr:rowOff>
        </xdr:to>
        <xdr:sp macro="" textlink="">
          <xdr:nvSpPr>
            <xdr:cNvPr id="95259" name="Q_PPH_CU_AL_Evap" hidden="1">
              <a:extLst>
                <a:ext uri="{63B3BB69-23CF-44E3-9099-C40C66FF867C}">
                  <a14:compatExt spid="_x0000_s95259"/>
                </a:ext>
                <a:ext uri="{FF2B5EF4-FFF2-40B4-BE49-F238E27FC236}">
                  <a16:creationId xmlns:a16="http://schemas.microsoft.com/office/drawing/2014/main" id="{00000000-0008-0000-2F00-00001B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15</xdr:row>
          <xdr:rowOff>9525</xdr:rowOff>
        </xdr:from>
        <xdr:to>
          <xdr:col>1</xdr:col>
          <xdr:colOff>685800</xdr:colOff>
          <xdr:row>16</xdr:row>
          <xdr:rowOff>28575</xdr:rowOff>
        </xdr:to>
        <xdr:sp macro="" textlink="">
          <xdr:nvSpPr>
            <xdr:cNvPr id="95260" name="Q_PPH_CU_PRE_Evap" hidden="1">
              <a:extLst>
                <a:ext uri="{63B3BB69-23CF-44E3-9099-C40C66FF867C}">
                  <a14:compatExt spid="_x0000_s95260"/>
                </a:ext>
                <a:ext uri="{FF2B5EF4-FFF2-40B4-BE49-F238E27FC236}">
                  <a16:creationId xmlns:a16="http://schemas.microsoft.com/office/drawing/2014/main" id="{00000000-0008-0000-2F00-00001C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31</xdr:row>
          <xdr:rowOff>85725</xdr:rowOff>
        </xdr:from>
        <xdr:to>
          <xdr:col>8</xdr:col>
          <xdr:colOff>542925</xdr:colOff>
          <xdr:row>32</xdr:row>
          <xdr:rowOff>133350</xdr:rowOff>
        </xdr:to>
        <xdr:sp macro="" textlink="">
          <xdr:nvSpPr>
            <xdr:cNvPr id="95261" name="Q_PPH_Evap_Coating" hidden="1">
              <a:extLst>
                <a:ext uri="{63B3BB69-23CF-44E3-9099-C40C66FF867C}">
                  <a14:compatExt spid="_x0000_s95261"/>
                </a:ext>
                <a:ext uri="{FF2B5EF4-FFF2-40B4-BE49-F238E27FC236}">
                  <a16:creationId xmlns:a16="http://schemas.microsoft.com/office/drawing/2014/main" id="{00000000-0008-0000-2F00-00001D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30</xdr:row>
          <xdr:rowOff>104775</xdr:rowOff>
        </xdr:from>
        <xdr:to>
          <xdr:col>8</xdr:col>
          <xdr:colOff>409575</xdr:colOff>
          <xdr:row>31</xdr:row>
          <xdr:rowOff>66675</xdr:rowOff>
        </xdr:to>
        <xdr:sp macro="" textlink="">
          <xdr:nvSpPr>
            <xdr:cNvPr id="95262" name="Q_PPH_Coating_Evap" hidden="1">
              <a:extLst>
                <a:ext uri="{63B3BB69-23CF-44E3-9099-C40C66FF867C}">
                  <a14:compatExt spid="_x0000_s95262"/>
                </a:ext>
                <a:ext uri="{FF2B5EF4-FFF2-40B4-BE49-F238E27FC236}">
                  <a16:creationId xmlns:a16="http://schemas.microsoft.com/office/drawing/2014/main" id="{00000000-0008-0000-2F00-00001E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21</xdr:row>
          <xdr:rowOff>276225</xdr:rowOff>
        </xdr:from>
        <xdr:to>
          <xdr:col>1</xdr:col>
          <xdr:colOff>219075</xdr:colOff>
          <xdr:row>23</xdr:row>
          <xdr:rowOff>38100</xdr:rowOff>
        </xdr:to>
        <xdr:sp macro="" textlink="">
          <xdr:nvSpPr>
            <xdr:cNvPr id="95263" name="Q_PPH_UL" hidden="1">
              <a:extLst>
                <a:ext uri="{63B3BB69-23CF-44E3-9099-C40C66FF867C}">
                  <a14:compatExt spid="_x0000_s95263"/>
                </a:ext>
                <a:ext uri="{FF2B5EF4-FFF2-40B4-BE49-F238E27FC236}">
                  <a16:creationId xmlns:a16="http://schemas.microsoft.com/office/drawing/2014/main" id="{00000000-0008-0000-2F00-00001F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3</xdr:row>
          <xdr:rowOff>28575</xdr:rowOff>
        </xdr:from>
        <xdr:to>
          <xdr:col>7</xdr:col>
          <xdr:colOff>447675</xdr:colOff>
          <xdr:row>4</xdr:row>
          <xdr:rowOff>104775</xdr:rowOff>
        </xdr:to>
        <xdr:sp macro="" textlink="">
          <xdr:nvSpPr>
            <xdr:cNvPr id="95264" name="Q_PPH_Roof_Canopy" hidden="1">
              <a:extLst>
                <a:ext uri="{63B3BB69-23CF-44E3-9099-C40C66FF867C}">
                  <a14:compatExt spid="_x0000_s95264"/>
                </a:ext>
                <a:ext uri="{FF2B5EF4-FFF2-40B4-BE49-F238E27FC236}">
                  <a16:creationId xmlns:a16="http://schemas.microsoft.com/office/drawing/2014/main" id="{00000000-0008-0000-2F00-000020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6</xdr:row>
          <xdr:rowOff>95250</xdr:rowOff>
        </xdr:from>
        <xdr:to>
          <xdr:col>11</xdr:col>
          <xdr:colOff>476250</xdr:colOff>
          <xdr:row>7</xdr:row>
          <xdr:rowOff>161925</xdr:rowOff>
        </xdr:to>
        <xdr:sp macro="" textlink="">
          <xdr:nvSpPr>
            <xdr:cNvPr id="95265" name="Q_PPH_NEMA4_Elec_panel" hidden="1">
              <a:extLst>
                <a:ext uri="{63B3BB69-23CF-44E3-9099-C40C66FF867C}">
                  <a14:compatExt spid="_x0000_s95265"/>
                </a:ext>
                <a:ext uri="{FF2B5EF4-FFF2-40B4-BE49-F238E27FC236}">
                  <a16:creationId xmlns:a16="http://schemas.microsoft.com/office/drawing/2014/main" id="{00000000-0008-0000-2F00-000021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4</xdr:row>
          <xdr:rowOff>57150</xdr:rowOff>
        </xdr:from>
        <xdr:to>
          <xdr:col>7</xdr:col>
          <xdr:colOff>552450</xdr:colOff>
          <xdr:row>5</xdr:row>
          <xdr:rowOff>133350</xdr:rowOff>
        </xdr:to>
        <xdr:sp macro="" textlink="">
          <xdr:nvSpPr>
            <xdr:cNvPr id="95266" name="Q_PPH_ACC_Doors" hidden="1">
              <a:extLst>
                <a:ext uri="{63B3BB69-23CF-44E3-9099-C40C66FF867C}">
                  <a14:compatExt spid="_x0000_s95266"/>
                </a:ext>
                <a:ext uri="{FF2B5EF4-FFF2-40B4-BE49-F238E27FC236}">
                  <a16:creationId xmlns:a16="http://schemas.microsoft.com/office/drawing/2014/main" id="{00000000-0008-0000-2F00-000022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7</xdr:row>
          <xdr:rowOff>133350</xdr:rowOff>
        </xdr:from>
        <xdr:to>
          <xdr:col>12</xdr:col>
          <xdr:colOff>95250</xdr:colOff>
          <xdr:row>8</xdr:row>
          <xdr:rowOff>104775</xdr:rowOff>
        </xdr:to>
        <xdr:sp macro="" textlink="">
          <xdr:nvSpPr>
            <xdr:cNvPr id="95267" name="Q_PPH_VFD_Evap" hidden="1">
              <a:extLst>
                <a:ext uri="{63B3BB69-23CF-44E3-9099-C40C66FF867C}">
                  <a14:compatExt spid="_x0000_s95267"/>
                </a:ext>
                <a:ext uri="{FF2B5EF4-FFF2-40B4-BE49-F238E27FC236}">
                  <a16:creationId xmlns:a16="http://schemas.microsoft.com/office/drawing/2014/main" id="{00000000-0008-0000-2F00-000023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12</xdr:row>
          <xdr:rowOff>152400</xdr:rowOff>
        </xdr:from>
        <xdr:to>
          <xdr:col>8</xdr:col>
          <xdr:colOff>533400</xdr:colOff>
          <xdr:row>13</xdr:row>
          <xdr:rowOff>161925</xdr:rowOff>
        </xdr:to>
        <xdr:sp macro="" textlink="">
          <xdr:nvSpPr>
            <xdr:cNvPr id="95268" name="Q_PPH_Const_Coating" hidden="1">
              <a:extLst>
                <a:ext uri="{63B3BB69-23CF-44E3-9099-C40C66FF867C}">
                  <a14:compatExt spid="_x0000_s95268"/>
                </a:ext>
                <a:ext uri="{FF2B5EF4-FFF2-40B4-BE49-F238E27FC236}">
                  <a16:creationId xmlns:a16="http://schemas.microsoft.com/office/drawing/2014/main" id="{00000000-0008-0000-2F00-000024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11</xdr:row>
          <xdr:rowOff>114300</xdr:rowOff>
        </xdr:from>
        <xdr:to>
          <xdr:col>8</xdr:col>
          <xdr:colOff>428625</xdr:colOff>
          <xdr:row>12</xdr:row>
          <xdr:rowOff>152400</xdr:rowOff>
        </xdr:to>
        <xdr:sp macro="" textlink="">
          <xdr:nvSpPr>
            <xdr:cNvPr id="95269" name="Q_PPH_Casing_Coating" hidden="1">
              <a:extLst>
                <a:ext uri="{63B3BB69-23CF-44E3-9099-C40C66FF867C}">
                  <a14:compatExt spid="_x0000_s95269"/>
                </a:ext>
                <a:ext uri="{FF2B5EF4-FFF2-40B4-BE49-F238E27FC236}">
                  <a16:creationId xmlns:a16="http://schemas.microsoft.com/office/drawing/2014/main" id="{00000000-0008-0000-2F00-000025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104775</xdr:colOff>
          <xdr:row>1</xdr:row>
          <xdr:rowOff>0</xdr:rowOff>
        </xdr:to>
        <xdr:sp macro="" textlink="">
          <xdr:nvSpPr>
            <xdr:cNvPr id="95270" name="Q_PPH" hidden="1">
              <a:extLst>
                <a:ext uri="{63B3BB69-23CF-44E3-9099-C40C66FF867C}">
                  <a14:compatExt spid="_x0000_s95270"/>
                </a:ext>
                <a:ext uri="{FF2B5EF4-FFF2-40B4-BE49-F238E27FC236}">
                  <a16:creationId xmlns:a16="http://schemas.microsoft.com/office/drawing/2014/main" id="{00000000-0008-0000-2F00-000026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25</xdr:row>
          <xdr:rowOff>133350</xdr:rowOff>
        </xdr:from>
        <xdr:to>
          <xdr:col>8</xdr:col>
          <xdr:colOff>542925</xdr:colOff>
          <xdr:row>26</xdr:row>
          <xdr:rowOff>171450</xdr:rowOff>
        </xdr:to>
        <xdr:sp macro="" textlink="">
          <xdr:nvSpPr>
            <xdr:cNvPr id="95271" name="Q_PPH_Bulkhead_Filter" hidden="1">
              <a:extLst>
                <a:ext uri="{63B3BB69-23CF-44E3-9099-C40C66FF867C}">
                  <a14:compatExt spid="_x0000_s95271"/>
                </a:ext>
                <a:ext uri="{FF2B5EF4-FFF2-40B4-BE49-F238E27FC236}">
                  <a16:creationId xmlns:a16="http://schemas.microsoft.com/office/drawing/2014/main" id="{00000000-0008-0000-2F00-000027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18</xdr:row>
          <xdr:rowOff>0</xdr:rowOff>
        </xdr:from>
        <xdr:to>
          <xdr:col>4</xdr:col>
          <xdr:colOff>533400</xdr:colOff>
          <xdr:row>19</xdr:row>
          <xdr:rowOff>38100</xdr:rowOff>
        </xdr:to>
        <xdr:sp macro="" textlink="">
          <xdr:nvSpPr>
            <xdr:cNvPr id="95272" name="Q_PPH_HEPA" hidden="1">
              <a:extLst>
                <a:ext uri="{63B3BB69-23CF-44E3-9099-C40C66FF867C}">
                  <a14:compatExt spid="_x0000_s95272"/>
                </a:ext>
                <a:ext uri="{FF2B5EF4-FFF2-40B4-BE49-F238E27FC236}">
                  <a16:creationId xmlns:a16="http://schemas.microsoft.com/office/drawing/2014/main" id="{00000000-0008-0000-2F00-000028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104775</xdr:rowOff>
        </xdr:from>
        <xdr:to>
          <xdr:col>8</xdr:col>
          <xdr:colOff>409575</xdr:colOff>
          <xdr:row>27</xdr:row>
          <xdr:rowOff>142875</xdr:rowOff>
        </xdr:to>
        <xdr:sp macro="" textlink="">
          <xdr:nvSpPr>
            <xdr:cNvPr id="95273" name="Q_PPH_BHL_Fan" hidden="1">
              <a:extLst>
                <a:ext uri="{63B3BB69-23CF-44E3-9099-C40C66FF867C}">
                  <a14:compatExt spid="_x0000_s95273"/>
                </a:ext>
                <a:ext uri="{FF2B5EF4-FFF2-40B4-BE49-F238E27FC236}">
                  <a16:creationId xmlns:a16="http://schemas.microsoft.com/office/drawing/2014/main" id="{00000000-0008-0000-2F00-000029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85725</xdr:rowOff>
        </xdr:from>
        <xdr:to>
          <xdr:col>8</xdr:col>
          <xdr:colOff>419100</xdr:colOff>
          <xdr:row>6</xdr:row>
          <xdr:rowOff>152400</xdr:rowOff>
        </xdr:to>
        <xdr:sp macro="" textlink="">
          <xdr:nvSpPr>
            <xdr:cNvPr id="95274" name="Q_PPH_Screws_Bolts" hidden="1">
              <a:extLst>
                <a:ext uri="{63B3BB69-23CF-44E3-9099-C40C66FF867C}">
                  <a14:compatExt spid="_x0000_s95274"/>
                </a:ext>
                <a:ext uri="{FF2B5EF4-FFF2-40B4-BE49-F238E27FC236}">
                  <a16:creationId xmlns:a16="http://schemas.microsoft.com/office/drawing/2014/main" id="{00000000-0008-0000-2F00-00002A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23</xdr:row>
          <xdr:rowOff>171450</xdr:rowOff>
        </xdr:from>
        <xdr:to>
          <xdr:col>5</xdr:col>
          <xdr:colOff>352425</xdr:colOff>
          <xdr:row>24</xdr:row>
          <xdr:rowOff>209550</xdr:rowOff>
        </xdr:to>
        <xdr:sp macro="" textlink="">
          <xdr:nvSpPr>
            <xdr:cNvPr id="95275" name="Q_UVC_Lamp" hidden="1">
              <a:extLst>
                <a:ext uri="{63B3BB69-23CF-44E3-9099-C40C66FF867C}">
                  <a14:compatExt spid="_x0000_s95275"/>
                </a:ext>
                <a:ext uri="{FF2B5EF4-FFF2-40B4-BE49-F238E27FC236}">
                  <a16:creationId xmlns:a16="http://schemas.microsoft.com/office/drawing/2014/main" id="{00000000-0008-0000-2F00-00002B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8</xdr:row>
          <xdr:rowOff>0</xdr:rowOff>
        </xdr:from>
        <xdr:to>
          <xdr:col>1</xdr:col>
          <xdr:colOff>219075</xdr:colOff>
          <xdr:row>9</xdr:row>
          <xdr:rowOff>47625</xdr:rowOff>
        </xdr:to>
        <xdr:sp macro="" textlink="">
          <xdr:nvSpPr>
            <xdr:cNvPr id="95276" name="Q_PPH_Standerd" hidden="1">
              <a:extLst>
                <a:ext uri="{63B3BB69-23CF-44E3-9099-C40C66FF867C}">
                  <a14:compatExt spid="_x0000_s95276"/>
                </a:ext>
                <a:ext uri="{FF2B5EF4-FFF2-40B4-BE49-F238E27FC236}">
                  <a16:creationId xmlns:a16="http://schemas.microsoft.com/office/drawing/2014/main" id="{00000000-0008-0000-2F00-00002C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8</xdr:row>
          <xdr:rowOff>295275</xdr:rowOff>
        </xdr:from>
        <xdr:to>
          <xdr:col>1</xdr:col>
          <xdr:colOff>304800</xdr:colOff>
          <xdr:row>10</xdr:row>
          <xdr:rowOff>19050</xdr:rowOff>
        </xdr:to>
        <xdr:sp macro="" textlink="">
          <xdr:nvSpPr>
            <xdr:cNvPr id="95277" name="Q_PPH_ARAMCO" hidden="1">
              <a:extLst>
                <a:ext uri="{63B3BB69-23CF-44E3-9099-C40C66FF867C}">
                  <a14:compatExt spid="_x0000_s95277"/>
                </a:ext>
                <a:ext uri="{FF2B5EF4-FFF2-40B4-BE49-F238E27FC236}">
                  <a16:creationId xmlns:a16="http://schemas.microsoft.com/office/drawing/2014/main" id="{00000000-0008-0000-2F00-00002D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24</xdr:row>
          <xdr:rowOff>9525</xdr:rowOff>
        </xdr:from>
        <xdr:to>
          <xdr:col>8</xdr:col>
          <xdr:colOff>495300</xdr:colOff>
          <xdr:row>25</xdr:row>
          <xdr:rowOff>47625</xdr:rowOff>
        </xdr:to>
        <xdr:sp macro="" textlink="">
          <xdr:nvSpPr>
            <xdr:cNvPr id="95278" name="Q_PPH_Inspection_Filter" hidden="1">
              <a:extLst>
                <a:ext uri="{63B3BB69-23CF-44E3-9099-C40C66FF867C}">
                  <a14:compatExt spid="_x0000_s95278"/>
                </a:ext>
                <a:ext uri="{FF2B5EF4-FFF2-40B4-BE49-F238E27FC236}">
                  <a16:creationId xmlns:a16="http://schemas.microsoft.com/office/drawing/2014/main" id="{00000000-0008-0000-2F00-00002E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24</xdr:row>
          <xdr:rowOff>180975</xdr:rowOff>
        </xdr:from>
        <xdr:to>
          <xdr:col>8</xdr:col>
          <xdr:colOff>485775</xdr:colOff>
          <xdr:row>25</xdr:row>
          <xdr:rowOff>219075</xdr:rowOff>
        </xdr:to>
        <xdr:sp macro="" textlink="">
          <xdr:nvSpPr>
            <xdr:cNvPr id="95279" name="Q_PPH_Inspec_Fan" hidden="1">
              <a:extLst>
                <a:ext uri="{63B3BB69-23CF-44E3-9099-C40C66FF867C}">
                  <a14:compatExt spid="_x0000_s95279"/>
                </a:ext>
                <a:ext uri="{FF2B5EF4-FFF2-40B4-BE49-F238E27FC236}">
                  <a16:creationId xmlns:a16="http://schemas.microsoft.com/office/drawing/2014/main" id="{00000000-0008-0000-2F00-00002F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xdr:row>
          <xdr:rowOff>209550</xdr:rowOff>
        </xdr:from>
        <xdr:to>
          <xdr:col>8</xdr:col>
          <xdr:colOff>104775</xdr:colOff>
          <xdr:row>3</xdr:row>
          <xdr:rowOff>76200</xdr:rowOff>
        </xdr:to>
        <xdr:sp macro="" textlink="">
          <xdr:nvSpPr>
            <xdr:cNvPr id="95280" name="Q_PPH_1_15" hidden="1">
              <a:extLst>
                <a:ext uri="{63B3BB69-23CF-44E3-9099-C40C66FF867C}">
                  <a14:compatExt spid="_x0000_s95280"/>
                </a:ext>
                <a:ext uri="{FF2B5EF4-FFF2-40B4-BE49-F238E27FC236}">
                  <a16:creationId xmlns:a16="http://schemas.microsoft.com/office/drawing/2014/main" id="{00000000-0008-0000-2F00-000030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10</xdr:row>
          <xdr:rowOff>0</xdr:rowOff>
        </xdr:from>
        <xdr:to>
          <xdr:col>1</xdr:col>
          <xdr:colOff>295275</xdr:colOff>
          <xdr:row>11</xdr:row>
          <xdr:rowOff>19050</xdr:rowOff>
        </xdr:to>
        <xdr:sp macro="" textlink="">
          <xdr:nvSpPr>
            <xdr:cNvPr id="95281" name="Q_SCECO" hidden="1">
              <a:extLst>
                <a:ext uri="{63B3BB69-23CF-44E3-9099-C40C66FF867C}">
                  <a14:compatExt spid="_x0000_s95281"/>
                </a:ext>
                <a:ext uri="{FF2B5EF4-FFF2-40B4-BE49-F238E27FC236}">
                  <a16:creationId xmlns:a16="http://schemas.microsoft.com/office/drawing/2014/main" id="{00000000-0008-0000-2F00-000031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3</xdr:row>
          <xdr:rowOff>38100</xdr:rowOff>
        </xdr:from>
        <xdr:to>
          <xdr:col>16</xdr:col>
          <xdr:colOff>571500</xdr:colOff>
          <xdr:row>5</xdr:row>
          <xdr:rowOff>19050</xdr:rowOff>
        </xdr:to>
        <xdr:sp macro="" textlink="">
          <xdr:nvSpPr>
            <xdr:cNvPr id="95282" name="Q_PPH_Report" hidden="1">
              <a:extLst>
                <a:ext uri="{63B3BB69-23CF-44E3-9099-C40C66FF867C}">
                  <a14:compatExt spid="_x0000_s95282"/>
                </a:ext>
                <a:ext uri="{FF2B5EF4-FFF2-40B4-BE49-F238E27FC236}">
                  <a16:creationId xmlns:a16="http://schemas.microsoft.com/office/drawing/2014/main" id="{00000000-0008-0000-2F00-000032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20</xdr:row>
          <xdr:rowOff>66675</xdr:rowOff>
        </xdr:from>
        <xdr:to>
          <xdr:col>8</xdr:col>
          <xdr:colOff>419100</xdr:colOff>
          <xdr:row>21</xdr:row>
          <xdr:rowOff>38100</xdr:rowOff>
        </xdr:to>
        <xdr:sp macro="" textlink="">
          <xdr:nvSpPr>
            <xdr:cNvPr id="95283" name="Q_PPH_SS_Drain_304" hidden="1">
              <a:extLst>
                <a:ext uri="{63B3BB69-23CF-44E3-9099-C40C66FF867C}">
                  <a14:compatExt spid="_x0000_s95283"/>
                </a:ext>
                <a:ext uri="{FF2B5EF4-FFF2-40B4-BE49-F238E27FC236}">
                  <a16:creationId xmlns:a16="http://schemas.microsoft.com/office/drawing/2014/main" id="{00000000-0008-0000-2F00-000033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21</xdr:row>
          <xdr:rowOff>285750</xdr:rowOff>
        </xdr:from>
        <xdr:to>
          <xdr:col>5</xdr:col>
          <xdr:colOff>361950</xdr:colOff>
          <xdr:row>23</xdr:row>
          <xdr:rowOff>38100</xdr:rowOff>
        </xdr:to>
        <xdr:sp macro="" textlink="">
          <xdr:nvSpPr>
            <xdr:cNvPr id="95284" name="Q_PPH_Droplet_ele_AL" hidden="1">
              <a:extLst>
                <a:ext uri="{63B3BB69-23CF-44E3-9099-C40C66FF867C}">
                  <a14:compatExt spid="_x0000_s95284"/>
                </a:ext>
                <a:ext uri="{FF2B5EF4-FFF2-40B4-BE49-F238E27FC236}">
                  <a16:creationId xmlns:a16="http://schemas.microsoft.com/office/drawing/2014/main" id="{00000000-0008-0000-2F00-000034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22</xdr:row>
          <xdr:rowOff>190500</xdr:rowOff>
        </xdr:from>
        <xdr:to>
          <xdr:col>5</xdr:col>
          <xdr:colOff>428625</xdr:colOff>
          <xdr:row>24</xdr:row>
          <xdr:rowOff>0</xdr:rowOff>
        </xdr:to>
        <xdr:sp macro="" textlink="">
          <xdr:nvSpPr>
            <xdr:cNvPr id="95285" name="Q_PPH_Droplet_ele_PVC" hidden="1">
              <a:extLst>
                <a:ext uri="{63B3BB69-23CF-44E3-9099-C40C66FF867C}">
                  <a14:compatExt spid="_x0000_s95285"/>
                </a:ext>
                <a:ext uri="{FF2B5EF4-FFF2-40B4-BE49-F238E27FC236}">
                  <a16:creationId xmlns:a16="http://schemas.microsoft.com/office/drawing/2014/main" id="{00000000-0008-0000-2F00-000035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123825</xdr:rowOff>
        </xdr:from>
        <xdr:to>
          <xdr:col>8</xdr:col>
          <xdr:colOff>9525</xdr:colOff>
          <xdr:row>8</xdr:row>
          <xdr:rowOff>95250</xdr:rowOff>
        </xdr:to>
        <xdr:sp macro="" textlink="">
          <xdr:nvSpPr>
            <xdr:cNvPr id="95286" name="Q_PPH_Base_Coating" hidden="1">
              <a:extLst>
                <a:ext uri="{63B3BB69-23CF-44E3-9099-C40C66FF867C}">
                  <a14:compatExt spid="_x0000_s95286"/>
                </a:ext>
                <a:ext uri="{FF2B5EF4-FFF2-40B4-BE49-F238E27FC236}">
                  <a16:creationId xmlns:a16="http://schemas.microsoft.com/office/drawing/2014/main" id="{00000000-0008-0000-2F00-000036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8</xdr:row>
          <xdr:rowOff>38100</xdr:rowOff>
        </xdr:from>
        <xdr:to>
          <xdr:col>8</xdr:col>
          <xdr:colOff>323850</xdr:colOff>
          <xdr:row>9</xdr:row>
          <xdr:rowOff>104775</xdr:rowOff>
        </xdr:to>
        <xdr:sp macro="" textlink="">
          <xdr:nvSpPr>
            <xdr:cNvPr id="95287" name="Q_PPH_Inner_Coating" hidden="1">
              <a:extLst>
                <a:ext uri="{63B3BB69-23CF-44E3-9099-C40C66FF867C}">
                  <a14:compatExt spid="_x0000_s95287"/>
                </a:ext>
                <a:ext uri="{FF2B5EF4-FFF2-40B4-BE49-F238E27FC236}">
                  <a16:creationId xmlns:a16="http://schemas.microsoft.com/office/drawing/2014/main" id="{00000000-0008-0000-2F00-000037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9</xdr:row>
          <xdr:rowOff>38100</xdr:rowOff>
        </xdr:from>
        <xdr:to>
          <xdr:col>8</xdr:col>
          <xdr:colOff>323850</xdr:colOff>
          <xdr:row>10</xdr:row>
          <xdr:rowOff>76200</xdr:rowOff>
        </xdr:to>
        <xdr:sp macro="" textlink="">
          <xdr:nvSpPr>
            <xdr:cNvPr id="95288" name="Q_PPH_Spring_Under_Units" hidden="1">
              <a:extLst>
                <a:ext uri="{63B3BB69-23CF-44E3-9099-C40C66FF867C}">
                  <a14:compatExt spid="_x0000_s95288"/>
                </a:ext>
                <a:ext uri="{FF2B5EF4-FFF2-40B4-BE49-F238E27FC236}">
                  <a16:creationId xmlns:a16="http://schemas.microsoft.com/office/drawing/2014/main" id="{00000000-0008-0000-2F00-000038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2</xdr:row>
          <xdr:rowOff>19050</xdr:rowOff>
        </xdr:from>
        <xdr:to>
          <xdr:col>11</xdr:col>
          <xdr:colOff>723900</xdr:colOff>
          <xdr:row>3</xdr:row>
          <xdr:rowOff>95250</xdr:rowOff>
        </xdr:to>
        <xdr:sp macro="" textlink="">
          <xdr:nvSpPr>
            <xdr:cNvPr id="95289" name="Q_PPH_MMS_Evap" hidden="1">
              <a:extLst>
                <a:ext uri="{63B3BB69-23CF-44E3-9099-C40C66FF867C}">
                  <a14:compatExt spid="_x0000_s95289"/>
                </a:ext>
                <a:ext uri="{FF2B5EF4-FFF2-40B4-BE49-F238E27FC236}">
                  <a16:creationId xmlns:a16="http://schemas.microsoft.com/office/drawing/2014/main" id="{00000000-0008-0000-2F00-000039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17</xdr:row>
          <xdr:rowOff>161925</xdr:rowOff>
        </xdr:from>
        <xdr:to>
          <xdr:col>8</xdr:col>
          <xdr:colOff>600075</xdr:colOff>
          <xdr:row>18</xdr:row>
          <xdr:rowOff>200025</xdr:rowOff>
        </xdr:to>
        <xdr:sp macro="" textlink="">
          <xdr:nvSpPr>
            <xdr:cNvPr id="95290" name="Q_PPH_SS_Filter_304" hidden="1">
              <a:extLst>
                <a:ext uri="{63B3BB69-23CF-44E3-9099-C40C66FF867C}">
                  <a14:compatExt spid="_x0000_s95290"/>
                </a:ext>
                <a:ext uri="{FF2B5EF4-FFF2-40B4-BE49-F238E27FC236}">
                  <a16:creationId xmlns:a16="http://schemas.microsoft.com/office/drawing/2014/main" id="{00000000-0008-0000-2F00-00003A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4</xdr:row>
          <xdr:rowOff>57150</xdr:rowOff>
        </xdr:from>
        <xdr:to>
          <xdr:col>10</xdr:col>
          <xdr:colOff>590550</xdr:colOff>
          <xdr:row>5</xdr:row>
          <xdr:rowOff>133350</xdr:rowOff>
        </xdr:to>
        <xdr:sp macro="" textlink="">
          <xdr:nvSpPr>
            <xdr:cNvPr id="95291" name="Q_PPH_Earth_Boss" hidden="1">
              <a:extLst>
                <a:ext uri="{63B3BB69-23CF-44E3-9099-C40C66FF867C}">
                  <a14:compatExt spid="_x0000_s95291"/>
                </a:ext>
                <a:ext uri="{FF2B5EF4-FFF2-40B4-BE49-F238E27FC236}">
                  <a16:creationId xmlns:a16="http://schemas.microsoft.com/office/drawing/2014/main" id="{00000000-0008-0000-2F00-00003B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5</xdr:row>
          <xdr:rowOff>76200</xdr:rowOff>
        </xdr:from>
        <xdr:to>
          <xdr:col>10</xdr:col>
          <xdr:colOff>571500</xdr:colOff>
          <xdr:row>6</xdr:row>
          <xdr:rowOff>142875</xdr:rowOff>
        </xdr:to>
        <xdr:sp macro="" textlink="">
          <xdr:nvSpPr>
            <xdr:cNvPr id="95292" name="Q_PPH_Earth_Leakage" hidden="1">
              <a:extLst>
                <a:ext uri="{63B3BB69-23CF-44E3-9099-C40C66FF867C}">
                  <a14:compatExt spid="_x0000_s95292"/>
                </a:ext>
                <a:ext uri="{FF2B5EF4-FFF2-40B4-BE49-F238E27FC236}">
                  <a16:creationId xmlns:a16="http://schemas.microsoft.com/office/drawing/2014/main" id="{00000000-0008-0000-2F00-00003C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3</xdr:row>
          <xdr:rowOff>38100</xdr:rowOff>
        </xdr:from>
        <xdr:to>
          <xdr:col>12</xdr:col>
          <xdr:colOff>0</xdr:colOff>
          <xdr:row>4</xdr:row>
          <xdr:rowOff>114300</xdr:rowOff>
        </xdr:to>
        <xdr:sp macro="" textlink="">
          <xdr:nvSpPr>
            <xdr:cNvPr id="95293" name="Q_PPH_Current_Transformer_Evap" hidden="1">
              <a:extLst>
                <a:ext uri="{63B3BB69-23CF-44E3-9099-C40C66FF867C}">
                  <a14:compatExt spid="_x0000_s95293"/>
                </a:ext>
                <a:ext uri="{FF2B5EF4-FFF2-40B4-BE49-F238E27FC236}">
                  <a16:creationId xmlns:a16="http://schemas.microsoft.com/office/drawing/2014/main" id="{00000000-0008-0000-2F00-00003D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14</xdr:row>
          <xdr:rowOff>219075</xdr:rowOff>
        </xdr:from>
        <xdr:to>
          <xdr:col>11</xdr:col>
          <xdr:colOff>428625</xdr:colOff>
          <xdr:row>16</xdr:row>
          <xdr:rowOff>28575</xdr:rowOff>
        </xdr:to>
        <xdr:sp macro="" textlink="">
          <xdr:nvSpPr>
            <xdr:cNvPr id="95294" name="Q_PPH_Belt_Spare" hidden="1">
              <a:extLst>
                <a:ext uri="{63B3BB69-23CF-44E3-9099-C40C66FF867C}">
                  <a14:compatExt spid="_x0000_s95294"/>
                </a:ext>
                <a:ext uri="{FF2B5EF4-FFF2-40B4-BE49-F238E27FC236}">
                  <a16:creationId xmlns:a16="http://schemas.microsoft.com/office/drawing/2014/main" id="{00000000-0008-0000-2F00-00003E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19</xdr:row>
          <xdr:rowOff>28575</xdr:rowOff>
        </xdr:from>
        <xdr:to>
          <xdr:col>1</xdr:col>
          <xdr:colOff>133350</xdr:colOff>
          <xdr:row>20</xdr:row>
          <xdr:rowOff>47625</xdr:rowOff>
        </xdr:to>
        <xdr:sp macro="" textlink="">
          <xdr:nvSpPr>
            <xdr:cNvPr id="95295" name="Q_PAH_MESP" hidden="1">
              <a:extLst>
                <a:ext uri="{63B3BB69-23CF-44E3-9099-C40C66FF867C}">
                  <a14:compatExt spid="_x0000_s95295"/>
                </a:ext>
                <a:ext uri="{FF2B5EF4-FFF2-40B4-BE49-F238E27FC236}">
                  <a16:creationId xmlns:a16="http://schemas.microsoft.com/office/drawing/2014/main" id="{00000000-0008-0000-2F00-00003F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18</xdr:row>
          <xdr:rowOff>28575</xdr:rowOff>
        </xdr:from>
        <xdr:to>
          <xdr:col>1</xdr:col>
          <xdr:colOff>409575</xdr:colOff>
          <xdr:row>19</xdr:row>
          <xdr:rowOff>47625</xdr:rowOff>
        </xdr:to>
        <xdr:sp macro="" textlink="">
          <xdr:nvSpPr>
            <xdr:cNvPr id="95296" name="Q_PAH_LESP" hidden="1">
              <a:extLst>
                <a:ext uri="{63B3BB69-23CF-44E3-9099-C40C66FF867C}">
                  <a14:compatExt spid="_x0000_s95296"/>
                </a:ext>
                <a:ext uri="{FF2B5EF4-FFF2-40B4-BE49-F238E27FC236}">
                  <a16:creationId xmlns:a16="http://schemas.microsoft.com/office/drawing/2014/main" id="{00000000-0008-0000-2F00-000040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20</xdr:row>
          <xdr:rowOff>38100</xdr:rowOff>
        </xdr:from>
        <xdr:to>
          <xdr:col>1</xdr:col>
          <xdr:colOff>714375</xdr:colOff>
          <xdr:row>21</xdr:row>
          <xdr:rowOff>0</xdr:rowOff>
        </xdr:to>
        <xdr:sp macro="" textlink="">
          <xdr:nvSpPr>
            <xdr:cNvPr id="95297" name="Q_PAH_HESP" hidden="1">
              <a:extLst>
                <a:ext uri="{63B3BB69-23CF-44E3-9099-C40C66FF867C}">
                  <a14:compatExt spid="_x0000_s95297"/>
                </a:ext>
                <a:ext uri="{FF2B5EF4-FFF2-40B4-BE49-F238E27FC236}">
                  <a16:creationId xmlns:a16="http://schemas.microsoft.com/office/drawing/2014/main" id="{00000000-0008-0000-2F00-000041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25</xdr:row>
          <xdr:rowOff>152400</xdr:rowOff>
        </xdr:from>
        <xdr:to>
          <xdr:col>6</xdr:col>
          <xdr:colOff>0</xdr:colOff>
          <xdr:row>26</xdr:row>
          <xdr:rowOff>180975</xdr:rowOff>
        </xdr:to>
        <xdr:sp macro="" textlink="">
          <xdr:nvSpPr>
            <xdr:cNvPr id="95298" name="Q_PAH_ACCESS_ECOLOGY" hidden="1">
              <a:extLst>
                <a:ext uri="{63B3BB69-23CF-44E3-9099-C40C66FF867C}">
                  <a14:compatExt spid="_x0000_s95298"/>
                </a:ext>
                <a:ext uri="{FF2B5EF4-FFF2-40B4-BE49-F238E27FC236}">
                  <a16:creationId xmlns:a16="http://schemas.microsoft.com/office/drawing/2014/main" id="{00000000-0008-0000-2F00-000042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17</xdr:row>
          <xdr:rowOff>9525</xdr:rowOff>
        </xdr:from>
        <xdr:to>
          <xdr:col>5</xdr:col>
          <xdr:colOff>361950</xdr:colOff>
          <xdr:row>18</xdr:row>
          <xdr:rowOff>47625</xdr:rowOff>
        </xdr:to>
        <xdr:sp macro="" textlink="">
          <xdr:nvSpPr>
            <xdr:cNvPr id="95299" name="Q_PAH_CARBON" hidden="1">
              <a:extLst>
                <a:ext uri="{63B3BB69-23CF-44E3-9099-C40C66FF867C}">
                  <a14:compatExt spid="_x0000_s95299"/>
                </a:ext>
                <a:ext uri="{FF2B5EF4-FFF2-40B4-BE49-F238E27FC236}">
                  <a16:creationId xmlns:a16="http://schemas.microsoft.com/office/drawing/2014/main" id="{00000000-0008-0000-2F00-000043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24</xdr:row>
          <xdr:rowOff>161925</xdr:rowOff>
        </xdr:from>
        <xdr:to>
          <xdr:col>5</xdr:col>
          <xdr:colOff>361950</xdr:colOff>
          <xdr:row>25</xdr:row>
          <xdr:rowOff>200025</xdr:rowOff>
        </xdr:to>
        <xdr:sp macro="" textlink="">
          <xdr:nvSpPr>
            <xdr:cNvPr id="95300" name="Q_PAH_PLENUM_FAN" hidden="1">
              <a:extLst>
                <a:ext uri="{63B3BB69-23CF-44E3-9099-C40C66FF867C}">
                  <a14:compatExt spid="_x0000_s95300"/>
                </a:ext>
                <a:ext uri="{FF2B5EF4-FFF2-40B4-BE49-F238E27FC236}">
                  <a16:creationId xmlns:a16="http://schemas.microsoft.com/office/drawing/2014/main" id="{00000000-0008-0000-2F00-000044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18</xdr:row>
          <xdr:rowOff>200025</xdr:rowOff>
        </xdr:from>
        <xdr:to>
          <xdr:col>5</xdr:col>
          <xdr:colOff>609600</xdr:colOff>
          <xdr:row>20</xdr:row>
          <xdr:rowOff>9525</xdr:rowOff>
        </xdr:to>
        <xdr:sp macro="" textlink="">
          <xdr:nvSpPr>
            <xdr:cNvPr id="95301" name="Q_PAH_ESP_WOAW" hidden="1">
              <a:extLst>
                <a:ext uri="{63B3BB69-23CF-44E3-9099-C40C66FF867C}">
                  <a14:compatExt spid="_x0000_s95301"/>
                </a:ext>
                <a:ext uri="{FF2B5EF4-FFF2-40B4-BE49-F238E27FC236}">
                  <a16:creationId xmlns:a16="http://schemas.microsoft.com/office/drawing/2014/main" id="{00000000-0008-0000-2F00-000045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19</xdr:row>
          <xdr:rowOff>180975</xdr:rowOff>
        </xdr:from>
        <xdr:to>
          <xdr:col>5</xdr:col>
          <xdr:colOff>619125</xdr:colOff>
          <xdr:row>20</xdr:row>
          <xdr:rowOff>219075</xdr:rowOff>
        </xdr:to>
        <xdr:sp macro="" textlink="">
          <xdr:nvSpPr>
            <xdr:cNvPr id="95302" name="Q_PAH_ESP_WAW" hidden="1">
              <a:extLst>
                <a:ext uri="{63B3BB69-23CF-44E3-9099-C40C66FF867C}">
                  <a14:compatExt spid="_x0000_s95302"/>
                </a:ext>
                <a:ext uri="{FF2B5EF4-FFF2-40B4-BE49-F238E27FC236}">
                  <a16:creationId xmlns:a16="http://schemas.microsoft.com/office/drawing/2014/main" id="{00000000-0008-0000-2F00-000046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20</xdr:row>
          <xdr:rowOff>142875</xdr:rowOff>
        </xdr:from>
        <xdr:to>
          <xdr:col>5</xdr:col>
          <xdr:colOff>609600</xdr:colOff>
          <xdr:row>21</xdr:row>
          <xdr:rowOff>123825</xdr:rowOff>
        </xdr:to>
        <xdr:sp macro="" textlink="">
          <xdr:nvSpPr>
            <xdr:cNvPr id="95303" name="Q_PAH_CHEMICAL_1STG" hidden="1">
              <a:extLst>
                <a:ext uri="{63B3BB69-23CF-44E3-9099-C40C66FF867C}">
                  <a14:compatExt spid="_x0000_s95303"/>
                </a:ext>
                <a:ext uri="{FF2B5EF4-FFF2-40B4-BE49-F238E27FC236}">
                  <a16:creationId xmlns:a16="http://schemas.microsoft.com/office/drawing/2014/main" id="{00000000-0008-0000-2F00-000047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21</xdr:row>
          <xdr:rowOff>66675</xdr:rowOff>
        </xdr:from>
        <xdr:to>
          <xdr:col>5</xdr:col>
          <xdr:colOff>609600</xdr:colOff>
          <xdr:row>22</xdr:row>
          <xdr:rowOff>47625</xdr:rowOff>
        </xdr:to>
        <xdr:sp macro="" textlink="">
          <xdr:nvSpPr>
            <xdr:cNvPr id="95304" name="Q_PAH_CHEMICAL_2STG" hidden="1">
              <a:extLst>
                <a:ext uri="{63B3BB69-23CF-44E3-9099-C40C66FF867C}">
                  <a14:compatExt spid="_x0000_s95304"/>
                </a:ext>
                <a:ext uri="{FF2B5EF4-FFF2-40B4-BE49-F238E27FC236}">
                  <a16:creationId xmlns:a16="http://schemas.microsoft.com/office/drawing/2014/main" id="{00000000-0008-0000-2F00-000048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28</xdr:row>
          <xdr:rowOff>295275</xdr:rowOff>
        </xdr:from>
        <xdr:to>
          <xdr:col>5</xdr:col>
          <xdr:colOff>609600</xdr:colOff>
          <xdr:row>30</xdr:row>
          <xdr:rowOff>28575</xdr:rowOff>
        </xdr:to>
        <xdr:sp macro="" textlink="">
          <xdr:nvSpPr>
            <xdr:cNvPr id="95305" name="Q_PAH_EW" hidden="1">
              <a:extLst>
                <a:ext uri="{63B3BB69-23CF-44E3-9099-C40C66FF867C}">
                  <a14:compatExt spid="_x0000_s95305"/>
                </a:ext>
                <a:ext uri="{FF2B5EF4-FFF2-40B4-BE49-F238E27FC236}">
                  <a16:creationId xmlns:a16="http://schemas.microsoft.com/office/drawing/2014/main" id="{00000000-0008-0000-2F00-000049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xdr:row>
          <xdr:rowOff>57150</xdr:rowOff>
        </xdr:from>
        <xdr:to>
          <xdr:col>5</xdr:col>
          <xdr:colOff>266700</xdr:colOff>
          <xdr:row>4</xdr:row>
          <xdr:rowOff>114300</xdr:rowOff>
        </xdr:to>
        <xdr:sp macro="" textlink="">
          <xdr:nvSpPr>
            <xdr:cNvPr id="95306" name="Q_PAH_STD_MB" hidden="1">
              <a:extLst>
                <a:ext uri="{63B3BB69-23CF-44E3-9099-C40C66FF867C}">
                  <a14:compatExt spid="_x0000_s95306"/>
                </a:ext>
                <a:ext uri="{FF2B5EF4-FFF2-40B4-BE49-F238E27FC236}">
                  <a16:creationId xmlns:a16="http://schemas.microsoft.com/office/drawing/2014/main" id="{00000000-0008-0000-2F00-00004A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xdr:row>
          <xdr:rowOff>66675</xdr:rowOff>
        </xdr:from>
        <xdr:to>
          <xdr:col>5</xdr:col>
          <xdr:colOff>266700</xdr:colOff>
          <xdr:row>5</xdr:row>
          <xdr:rowOff>123825</xdr:rowOff>
        </xdr:to>
        <xdr:sp macro="" textlink="">
          <xdr:nvSpPr>
            <xdr:cNvPr id="95307" name="Q_PAH_STD_ID" hidden="1">
              <a:extLst>
                <a:ext uri="{63B3BB69-23CF-44E3-9099-C40C66FF867C}">
                  <a14:compatExt spid="_x0000_s95307"/>
                </a:ext>
                <a:ext uri="{FF2B5EF4-FFF2-40B4-BE49-F238E27FC236}">
                  <a16:creationId xmlns:a16="http://schemas.microsoft.com/office/drawing/2014/main" id="{00000000-0008-0000-2F00-00004B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xdr:row>
          <xdr:rowOff>180975</xdr:rowOff>
        </xdr:from>
        <xdr:to>
          <xdr:col>5</xdr:col>
          <xdr:colOff>95250</xdr:colOff>
          <xdr:row>7</xdr:row>
          <xdr:rowOff>28575</xdr:rowOff>
        </xdr:to>
        <xdr:sp macro="" textlink="">
          <xdr:nvSpPr>
            <xdr:cNvPr id="95308" name="Q_PAH_ECO" hidden="1">
              <a:extLst>
                <a:ext uri="{63B3BB69-23CF-44E3-9099-C40C66FF867C}">
                  <a14:compatExt spid="_x0000_s95308"/>
                </a:ext>
                <a:ext uri="{FF2B5EF4-FFF2-40B4-BE49-F238E27FC236}">
                  <a16:creationId xmlns:a16="http://schemas.microsoft.com/office/drawing/2014/main" id="{00000000-0008-0000-2F00-00004C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47625</xdr:rowOff>
        </xdr:from>
        <xdr:to>
          <xdr:col>5</xdr:col>
          <xdr:colOff>257175</xdr:colOff>
          <xdr:row>3</xdr:row>
          <xdr:rowOff>104775</xdr:rowOff>
        </xdr:to>
        <xdr:sp macro="" textlink="">
          <xdr:nvSpPr>
            <xdr:cNvPr id="95309" name="Q_PAH_Standerd" hidden="1">
              <a:extLst>
                <a:ext uri="{63B3BB69-23CF-44E3-9099-C40C66FF867C}">
                  <a14:compatExt spid="_x0000_s95309"/>
                </a:ext>
                <a:ext uri="{FF2B5EF4-FFF2-40B4-BE49-F238E27FC236}">
                  <a16:creationId xmlns:a16="http://schemas.microsoft.com/office/drawing/2014/main" id="{00000000-0008-0000-2F00-00004D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xdr:row>
          <xdr:rowOff>190500</xdr:rowOff>
        </xdr:from>
        <xdr:to>
          <xdr:col>5</xdr:col>
          <xdr:colOff>228600</xdr:colOff>
          <xdr:row>7</xdr:row>
          <xdr:rowOff>238125</xdr:rowOff>
        </xdr:to>
        <xdr:sp macro="" textlink="">
          <xdr:nvSpPr>
            <xdr:cNvPr id="95310" name="Q_PAH_EW_SECTION" hidden="1">
              <a:extLst>
                <a:ext uri="{63B3BB69-23CF-44E3-9099-C40C66FF867C}">
                  <a14:compatExt spid="_x0000_s95310"/>
                </a:ext>
                <a:ext uri="{FF2B5EF4-FFF2-40B4-BE49-F238E27FC236}">
                  <a16:creationId xmlns:a16="http://schemas.microsoft.com/office/drawing/2014/main" id="{00000000-0008-0000-2F00-00004E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29</xdr:row>
          <xdr:rowOff>219075</xdr:rowOff>
        </xdr:from>
        <xdr:to>
          <xdr:col>5</xdr:col>
          <xdr:colOff>609600</xdr:colOff>
          <xdr:row>30</xdr:row>
          <xdr:rowOff>257175</xdr:rowOff>
        </xdr:to>
        <xdr:sp macro="" textlink="">
          <xdr:nvSpPr>
            <xdr:cNvPr id="95311" name="Q_PAH_HPD_SEC" hidden="1">
              <a:extLst>
                <a:ext uri="{63B3BB69-23CF-44E3-9099-C40C66FF867C}">
                  <a14:compatExt spid="_x0000_s95311"/>
                </a:ext>
                <a:ext uri="{FF2B5EF4-FFF2-40B4-BE49-F238E27FC236}">
                  <a16:creationId xmlns:a16="http://schemas.microsoft.com/office/drawing/2014/main" id="{00000000-0008-0000-2F00-00004F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26</xdr:row>
          <xdr:rowOff>152400</xdr:rowOff>
        </xdr:from>
        <xdr:to>
          <xdr:col>4</xdr:col>
          <xdr:colOff>514350</xdr:colOff>
          <xdr:row>27</xdr:row>
          <xdr:rowOff>180975</xdr:rowOff>
        </xdr:to>
        <xdr:sp macro="" textlink="">
          <xdr:nvSpPr>
            <xdr:cNvPr id="95312" name="Q_PAH_DIFFUSER" hidden="1">
              <a:extLst>
                <a:ext uri="{63B3BB69-23CF-44E3-9099-C40C66FF867C}">
                  <a14:compatExt spid="_x0000_s95312"/>
                </a:ext>
                <a:ext uri="{FF2B5EF4-FFF2-40B4-BE49-F238E27FC236}">
                  <a16:creationId xmlns:a16="http://schemas.microsoft.com/office/drawing/2014/main" id="{00000000-0008-0000-2F00-0000507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276225</xdr:colOff>
          <xdr:row>0</xdr:row>
          <xdr:rowOff>152400</xdr:rowOff>
        </xdr:from>
        <xdr:to>
          <xdr:col>45</xdr:col>
          <xdr:colOff>1495425</xdr:colOff>
          <xdr:row>2</xdr:row>
          <xdr:rowOff>57150</xdr:rowOff>
        </xdr:to>
        <xdr:sp macro="" textlink="">
          <xdr:nvSpPr>
            <xdr:cNvPr id="94209" name="DC_DATA_Printing" hidden="1">
              <a:extLst>
                <a:ext uri="{63B3BB69-23CF-44E3-9099-C40C66FF867C}">
                  <a14:compatExt spid="_x0000_s94209"/>
                </a:ext>
                <a:ext uri="{FF2B5EF4-FFF2-40B4-BE49-F238E27FC236}">
                  <a16:creationId xmlns:a16="http://schemas.microsoft.com/office/drawing/2014/main" id="{00000000-0008-0000-3000-000001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76200</xdr:colOff>
          <xdr:row>25</xdr:row>
          <xdr:rowOff>114300</xdr:rowOff>
        </xdr:from>
        <xdr:to>
          <xdr:col>44</xdr:col>
          <xdr:colOff>1314450</xdr:colOff>
          <xdr:row>28</xdr:row>
          <xdr:rowOff>19050</xdr:rowOff>
        </xdr:to>
        <xdr:sp macro="" textlink="">
          <xdr:nvSpPr>
            <xdr:cNvPr id="94210" name="DC_Exit_Large_DATA" hidden="1">
              <a:extLst>
                <a:ext uri="{63B3BB69-23CF-44E3-9099-C40C66FF867C}">
                  <a14:compatExt spid="_x0000_s94210"/>
                </a:ext>
                <a:ext uri="{FF2B5EF4-FFF2-40B4-BE49-F238E27FC236}">
                  <a16:creationId xmlns:a16="http://schemas.microsoft.com/office/drawing/2014/main" id="{00000000-0008-0000-3000-000002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295275</xdr:colOff>
          <xdr:row>1</xdr:row>
          <xdr:rowOff>9525</xdr:rowOff>
        </xdr:from>
        <xdr:to>
          <xdr:col>44</xdr:col>
          <xdr:colOff>1552575</xdr:colOff>
          <xdr:row>1</xdr:row>
          <xdr:rowOff>257175</xdr:rowOff>
        </xdr:to>
        <xdr:sp macro="" textlink="">
          <xdr:nvSpPr>
            <xdr:cNvPr id="94211" name="Q_FCU_Price_Low" hidden="1">
              <a:extLst>
                <a:ext uri="{63B3BB69-23CF-44E3-9099-C40C66FF867C}">
                  <a14:compatExt spid="_x0000_s94211"/>
                </a:ext>
                <a:ext uri="{FF2B5EF4-FFF2-40B4-BE49-F238E27FC236}">
                  <a16:creationId xmlns:a16="http://schemas.microsoft.com/office/drawing/2014/main" id="{00000000-0008-0000-3000-000003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295275</xdr:colOff>
          <xdr:row>2</xdr:row>
          <xdr:rowOff>0</xdr:rowOff>
        </xdr:from>
        <xdr:to>
          <xdr:col>44</xdr:col>
          <xdr:colOff>1552575</xdr:colOff>
          <xdr:row>2</xdr:row>
          <xdr:rowOff>247650</xdr:rowOff>
        </xdr:to>
        <xdr:sp macro="" textlink="">
          <xdr:nvSpPr>
            <xdr:cNvPr id="94212" name="Q_FCU_PIRCE_MED" hidden="1">
              <a:extLst>
                <a:ext uri="{63B3BB69-23CF-44E3-9099-C40C66FF867C}">
                  <a14:compatExt spid="_x0000_s94212"/>
                </a:ext>
                <a:ext uri="{FF2B5EF4-FFF2-40B4-BE49-F238E27FC236}">
                  <a16:creationId xmlns:a16="http://schemas.microsoft.com/office/drawing/2014/main" id="{00000000-0008-0000-3000-000004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304800</xdr:colOff>
          <xdr:row>3</xdr:row>
          <xdr:rowOff>0</xdr:rowOff>
        </xdr:from>
        <xdr:to>
          <xdr:col>44</xdr:col>
          <xdr:colOff>1562100</xdr:colOff>
          <xdr:row>3</xdr:row>
          <xdr:rowOff>247650</xdr:rowOff>
        </xdr:to>
        <xdr:sp macro="" textlink="">
          <xdr:nvSpPr>
            <xdr:cNvPr id="94213" name="Q_FCU_PRICE_High" hidden="1">
              <a:extLst>
                <a:ext uri="{63B3BB69-23CF-44E3-9099-C40C66FF867C}">
                  <a14:compatExt spid="_x0000_s94213"/>
                </a:ext>
                <a:ext uri="{FF2B5EF4-FFF2-40B4-BE49-F238E27FC236}">
                  <a16:creationId xmlns:a16="http://schemas.microsoft.com/office/drawing/2014/main" id="{00000000-0008-0000-3000-000005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9</xdr:row>
          <xdr:rowOff>47625</xdr:rowOff>
        </xdr:from>
        <xdr:to>
          <xdr:col>44</xdr:col>
          <xdr:colOff>2743200</xdr:colOff>
          <xdr:row>10</xdr:row>
          <xdr:rowOff>104775</xdr:rowOff>
        </xdr:to>
        <xdr:sp macro="" textlink="">
          <xdr:nvSpPr>
            <xdr:cNvPr id="94214" name="Q_FCU_DT" hidden="1">
              <a:extLst>
                <a:ext uri="{63B3BB69-23CF-44E3-9099-C40C66FF867C}">
                  <a14:compatExt spid="_x0000_s94214"/>
                </a:ext>
                <a:ext uri="{FF2B5EF4-FFF2-40B4-BE49-F238E27FC236}">
                  <a16:creationId xmlns:a16="http://schemas.microsoft.com/office/drawing/2014/main" id="{00000000-0008-0000-3000-000006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66675</xdr:rowOff>
        </xdr:from>
        <xdr:to>
          <xdr:col>44</xdr:col>
          <xdr:colOff>2466975</xdr:colOff>
          <xdr:row>11</xdr:row>
          <xdr:rowOff>123825</xdr:rowOff>
        </xdr:to>
        <xdr:sp macro="" textlink="">
          <xdr:nvSpPr>
            <xdr:cNvPr id="94215" name="Q_FCU_MTSS" hidden="1">
              <a:extLst>
                <a:ext uri="{63B3BB69-23CF-44E3-9099-C40C66FF867C}">
                  <a14:compatExt spid="_x0000_s94215"/>
                </a:ext>
                <a:ext uri="{FF2B5EF4-FFF2-40B4-BE49-F238E27FC236}">
                  <a16:creationId xmlns:a16="http://schemas.microsoft.com/office/drawing/2014/main" id="{00000000-0008-0000-3000-000007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12</xdr:row>
          <xdr:rowOff>19050</xdr:rowOff>
        </xdr:from>
        <xdr:to>
          <xdr:col>44</xdr:col>
          <xdr:colOff>2143125</xdr:colOff>
          <xdr:row>13</xdr:row>
          <xdr:rowOff>66675</xdr:rowOff>
        </xdr:to>
        <xdr:sp macro="" textlink="">
          <xdr:nvSpPr>
            <xdr:cNvPr id="94216" name="Q_FCU_ADP_GI" hidden="1">
              <a:extLst>
                <a:ext uri="{63B3BB69-23CF-44E3-9099-C40C66FF867C}">
                  <a14:compatExt spid="_x0000_s94216"/>
                </a:ext>
                <a:ext uri="{FF2B5EF4-FFF2-40B4-BE49-F238E27FC236}">
                  <a16:creationId xmlns:a16="http://schemas.microsoft.com/office/drawing/2014/main" id="{00000000-0008-0000-3000-000008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76200</xdr:colOff>
          <xdr:row>13</xdr:row>
          <xdr:rowOff>47625</xdr:rowOff>
        </xdr:from>
        <xdr:to>
          <xdr:col>44</xdr:col>
          <xdr:colOff>2343150</xdr:colOff>
          <xdr:row>14</xdr:row>
          <xdr:rowOff>104775</xdr:rowOff>
        </xdr:to>
        <xdr:sp macro="" textlink="">
          <xdr:nvSpPr>
            <xdr:cNvPr id="94217" name="Q_FCU_ADP_SS304" hidden="1">
              <a:extLst>
                <a:ext uri="{63B3BB69-23CF-44E3-9099-C40C66FF867C}">
                  <a14:compatExt spid="_x0000_s94217"/>
                </a:ext>
                <a:ext uri="{FF2B5EF4-FFF2-40B4-BE49-F238E27FC236}">
                  <a16:creationId xmlns:a16="http://schemas.microsoft.com/office/drawing/2014/main" id="{00000000-0008-0000-3000-000009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66675</xdr:colOff>
          <xdr:row>14</xdr:row>
          <xdr:rowOff>47625</xdr:rowOff>
        </xdr:from>
        <xdr:to>
          <xdr:col>44</xdr:col>
          <xdr:colOff>2333625</xdr:colOff>
          <xdr:row>15</xdr:row>
          <xdr:rowOff>104775</xdr:rowOff>
        </xdr:to>
        <xdr:sp macro="" textlink="">
          <xdr:nvSpPr>
            <xdr:cNvPr id="94218" name="Q_FCU_ADP_SS316" hidden="1">
              <a:extLst>
                <a:ext uri="{63B3BB69-23CF-44E3-9099-C40C66FF867C}">
                  <a14:compatExt spid="_x0000_s94218"/>
                </a:ext>
                <a:ext uri="{FF2B5EF4-FFF2-40B4-BE49-F238E27FC236}">
                  <a16:creationId xmlns:a16="http://schemas.microsoft.com/office/drawing/2014/main" id="{00000000-0008-0000-3000-00000A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16</xdr:row>
          <xdr:rowOff>9525</xdr:rowOff>
        </xdr:from>
        <xdr:to>
          <xdr:col>44</xdr:col>
          <xdr:colOff>2352675</xdr:colOff>
          <xdr:row>17</xdr:row>
          <xdr:rowOff>66675</xdr:rowOff>
        </xdr:to>
        <xdr:sp macro="" textlink="">
          <xdr:nvSpPr>
            <xdr:cNvPr id="94219" name="Q_FCU_SS_Drain_316" hidden="1">
              <a:extLst>
                <a:ext uri="{63B3BB69-23CF-44E3-9099-C40C66FF867C}">
                  <a14:compatExt spid="_x0000_s94219"/>
                </a:ext>
                <a:ext uri="{FF2B5EF4-FFF2-40B4-BE49-F238E27FC236}">
                  <a16:creationId xmlns:a16="http://schemas.microsoft.com/office/drawing/2014/main" id="{00000000-0008-0000-3000-00000B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76200</xdr:colOff>
          <xdr:row>17</xdr:row>
          <xdr:rowOff>38100</xdr:rowOff>
        </xdr:from>
        <xdr:to>
          <xdr:col>44</xdr:col>
          <xdr:colOff>2343150</xdr:colOff>
          <xdr:row>18</xdr:row>
          <xdr:rowOff>95250</xdr:rowOff>
        </xdr:to>
        <xdr:sp macro="" textlink="">
          <xdr:nvSpPr>
            <xdr:cNvPr id="94220" name="Q_FCU_SS_Drain_304" hidden="1">
              <a:extLst>
                <a:ext uri="{63B3BB69-23CF-44E3-9099-C40C66FF867C}">
                  <a14:compatExt spid="_x0000_s94220"/>
                </a:ext>
                <a:ext uri="{FF2B5EF4-FFF2-40B4-BE49-F238E27FC236}">
                  <a16:creationId xmlns:a16="http://schemas.microsoft.com/office/drawing/2014/main" id="{00000000-0008-0000-3000-00000C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123825</xdr:colOff>
          <xdr:row>23</xdr:row>
          <xdr:rowOff>47625</xdr:rowOff>
        </xdr:from>
        <xdr:to>
          <xdr:col>44</xdr:col>
          <xdr:colOff>2390775</xdr:colOff>
          <xdr:row>24</xdr:row>
          <xdr:rowOff>104775</xdr:rowOff>
        </xdr:to>
        <xdr:sp macro="" textlink="">
          <xdr:nvSpPr>
            <xdr:cNvPr id="94221" name="Q_FCU_EC_MOTOR" hidden="1">
              <a:extLst>
                <a:ext uri="{63B3BB69-23CF-44E3-9099-C40C66FF867C}">
                  <a14:compatExt spid="_x0000_s94221"/>
                </a:ext>
                <a:ext uri="{FF2B5EF4-FFF2-40B4-BE49-F238E27FC236}">
                  <a16:creationId xmlns:a16="http://schemas.microsoft.com/office/drawing/2014/main" id="{00000000-0008-0000-3000-00000D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19</xdr:row>
          <xdr:rowOff>9525</xdr:rowOff>
        </xdr:from>
        <xdr:to>
          <xdr:col>44</xdr:col>
          <xdr:colOff>2352675</xdr:colOff>
          <xdr:row>20</xdr:row>
          <xdr:rowOff>66675</xdr:rowOff>
        </xdr:to>
        <xdr:sp macro="" textlink="">
          <xdr:nvSpPr>
            <xdr:cNvPr id="94222" name="Q_FCU_S_SKIN_1mm" hidden="1">
              <a:extLst>
                <a:ext uri="{63B3BB69-23CF-44E3-9099-C40C66FF867C}">
                  <a14:compatExt spid="_x0000_s94222"/>
                </a:ext>
                <a:ext uri="{FF2B5EF4-FFF2-40B4-BE49-F238E27FC236}">
                  <a16:creationId xmlns:a16="http://schemas.microsoft.com/office/drawing/2014/main" id="{00000000-0008-0000-3000-00000E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20</xdr:row>
          <xdr:rowOff>57150</xdr:rowOff>
        </xdr:from>
        <xdr:to>
          <xdr:col>44</xdr:col>
          <xdr:colOff>2362200</xdr:colOff>
          <xdr:row>21</xdr:row>
          <xdr:rowOff>114300</xdr:rowOff>
        </xdr:to>
        <xdr:sp macro="" textlink="">
          <xdr:nvSpPr>
            <xdr:cNvPr id="94223" name="Q_FCU_S_SKIN_7mm" hidden="1">
              <a:extLst>
                <a:ext uri="{63B3BB69-23CF-44E3-9099-C40C66FF867C}">
                  <a14:compatExt spid="_x0000_s94223"/>
                </a:ext>
                <a:ext uri="{FF2B5EF4-FFF2-40B4-BE49-F238E27FC236}">
                  <a16:creationId xmlns:a16="http://schemas.microsoft.com/office/drawing/2014/main" id="{00000000-0008-0000-3000-00000F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21</xdr:row>
          <xdr:rowOff>66675</xdr:rowOff>
        </xdr:from>
        <xdr:to>
          <xdr:col>44</xdr:col>
          <xdr:colOff>2371725</xdr:colOff>
          <xdr:row>22</xdr:row>
          <xdr:rowOff>123825</xdr:rowOff>
        </xdr:to>
        <xdr:sp macro="" textlink="">
          <xdr:nvSpPr>
            <xdr:cNvPr id="94224" name="Q_FCU_D_SKIN_125_7" hidden="1">
              <a:extLst>
                <a:ext uri="{63B3BB69-23CF-44E3-9099-C40C66FF867C}">
                  <a14:compatExt spid="_x0000_s94224"/>
                </a:ext>
                <a:ext uri="{FF2B5EF4-FFF2-40B4-BE49-F238E27FC236}">
                  <a16:creationId xmlns:a16="http://schemas.microsoft.com/office/drawing/2014/main" id="{00000000-0008-0000-3000-000010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295275</xdr:colOff>
          <xdr:row>4</xdr:row>
          <xdr:rowOff>190500</xdr:rowOff>
        </xdr:from>
        <xdr:to>
          <xdr:col>44</xdr:col>
          <xdr:colOff>2933700</xdr:colOff>
          <xdr:row>5</xdr:row>
          <xdr:rowOff>247650</xdr:rowOff>
        </xdr:to>
        <xdr:sp macro="" textlink="">
          <xdr:nvSpPr>
            <xdr:cNvPr id="94225" name="Q_FCU_STD" hidden="1">
              <a:extLst>
                <a:ext uri="{63B3BB69-23CF-44E3-9099-C40C66FF867C}">
                  <a14:compatExt spid="_x0000_s94225"/>
                </a:ext>
                <a:ext uri="{FF2B5EF4-FFF2-40B4-BE49-F238E27FC236}">
                  <a16:creationId xmlns:a16="http://schemas.microsoft.com/office/drawing/2014/main" id="{00000000-0008-0000-3000-000011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y-hamdan\Desktop\PETRA%20SPS%20V-1.0.xlsb" TargetMode="External"/><Relationship Id="rId1" Type="http://schemas.openxmlformats.org/officeDocument/2006/relationships/externalLinkPath" Target="PETRA%20SPS%20V-1.0.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ETRA SPS"/>
      <sheetName val="Chiller Quick Pricing"/>
      <sheetName val="DATA BASE Prising"/>
      <sheetName val="PPH Quick Pricing"/>
      <sheetName val="PAH Quick Pricing"/>
      <sheetName val="PETRA DATA List"/>
      <sheetName val="PPH Report"/>
      <sheetName val="Naming"/>
      <sheetName val="Fan Pricing"/>
      <sheetName val="Project Pricing Details"/>
      <sheetName val="PPH Data Base"/>
      <sheetName val="DSP DATA Base"/>
      <sheetName val="PAH DATA Base"/>
      <sheetName val="CM DATA Base"/>
      <sheetName val="DC-RAC DATA Base"/>
      <sheetName val="PASC DATA Base"/>
      <sheetName val="PDUJ DATA Base"/>
      <sheetName val="PETRA SPS V-1.0"/>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1:E18" totalsRowShown="0">
  <autoFilter ref="D1:E18" xr:uid="{00000000-0009-0000-0100-000001000000}"/>
  <tableColumns count="2">
    <tableColumn id="1" xr3:uid="{00000000-0010-0000-0000-000001000000}" name="AHU Model"/>
    <tableColumn id="2" xr3:uid="{00000000-0010-0000-0000-000002000000}" name="Area F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H1:I10" totalsRowShown="0" headerRowDxfId="449" headerRowBorderDxfId="448" tableBorderDxfId="447">
  <autoFilter ref="H1:I10" xr:uid="{00000000-0009-0000-0100-000002000000}"/>
  <tableColumns count="2">
    <tableColumn id="1" xr3:uid="{00000000-0010-0000-0100-000001000000}" name="AHU Model"/>
    <tableColumn id="2" xr3:uid="{00000000-0010-0000-0100-000002000000}" name="Area F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9:A52" totalsRowShown="0" tableBorderDxfId="446">
  <autoFilter ref="A49:A52" xr:uid="{00000000-0009-0000-0100-000003000000}"/>
  <tableColumns count="1">
    <tableColumn id="1" xr3:uid="{00000000-0010-0000-0200-000001000000}" name="Motor Bran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6" displayName="Table6" ref="A62:A65" totalsRowShown="0" tableBorderDxfId="445">
  <autoFilter ref="A62:A65" xr:uid="{00000000-0009-0000-0100-000006000000}"/>
  <tableColumns count="1">
    <tableColumn id="1" xr3:uid="{00000000-0010-0000-0300-000001000000}" name="COMPRESSORS BRAN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le68" displayName="Table68" ref="A71:A74" totalsRowShown="0" tableBorderDxfId="444">
  <autoFilter ref="A71:A74" xr:uid="{00000000-0009-0000-0100-000007000000}"/>
  <tableColumns count="1">
    <tableColumn id="1" xr3:uid="{00000000-0010-0000-0400-000001000000}" name="Condenser Fans Bran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Table10" displayName="Table10" ref="A3:A4" totalsRowShown="0" tableBorderDxfId="443">
  <autoFilter ref="A3:A4" xr:uid="{00000000-0009-0000-0100-00000A000000}"/>
  <tableColumns count="1">
    <tableColumn id="1" xr3:uid="{00000000-0010-0000-0500-000001000000}" name="User IP ADDRES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Table6812" displayName="Table6812" ref="D71:D74" totalsRowShown="0" tableBorderDxfId="442">
  <autoFilter ref="D71:D74" xr:uid="{00000000-0009-0000-0100-00000B000000}"/>
  <tableColumns count="1">
    <tableColumn id="1" xr3:uid="{00000000-0010-0000-0600-000001000000}" name="Heater Pu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4" displayName="Table4" ref="A6:A7" totalsRowShown="0" headerRowDxfId="441" headerRowBorderDxfId="440" tableBorderDxfId="439">
  <autoFilter ref="A6:A7" xr:uid="{00000000-0009-0000-0100-000004000000}"/>
  <tableColumns count="1">
    <tableColumn id="1" xr3:uid="{00000000-0010-0000-0700-000001000000}" name="Subscribe Pla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Table46" displayName="Table46" ref="A9:A11" totalsRowShown="0" headerRowDxfId="438" headerRowBorderDxfId="437" tableBorderDxfId="436">
  <autoFilter ref="A9:A11" xr:uid="{00000000-0009-0000-0100-000005000000}"/>
  <tableColumns count="1">
    <tableColumn id="1" xr3:uid="{00000000-0010-0000-0800-000001000000}" name="Nam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9000000}" name="Table469" displayName="Table469" ref="A12:A13" totalsRowShown="0" headerRowDxfId="435" headerRowBorderDxfId="434" tableBorderDxfId="433">
  <autoFilter ref="A12:A13" xr:uid="{00000000-0009-0000-0100-000008000000}"/>
  <tableColumns count="1">
    <tableColumn id="1" xr3:uid="{00000000-0010-0000-0900-000001000000}" name="Emai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A000000}" name="Table46910" displayName="Table46910" ref="A18:A19" totalsRowShown="0" headerRowDxfId="432" headerRowBorderDxfId="431" tableBorderDxfId="430">
  <autoFilter ref="A18:A19" xr:uid="{00000000-0009-0000-0100-000009000000}"/>
  <tableColumns count="1">
    <tableColumn id="1" xr3:uid="{00000000-0010-0000-0A00-000001000000}" name="Team Leader"/>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B000000}" name="Table4691017" displayName="Table4691017" ref="A21:A22" totalsRowShown="0" headerRowDxfId="429" headerRowBorderDxfId="428" tableBorderDxfId="427">
  <autoFilter ref="A21:A22" xr:uid="{00000000-0009-0000-0100-000010000000}"/>
  <tableColumns count="1">
    <tableColumn id="1" xr3:uid="{00000000-0010-0000-0B00-000001000000}" name="Departmen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C000000}" name="Table46918" displayName="Table46918" ref="A15:A16" totalsRowShown="0" headerRowDxfId="426" headerRowBorderDxfId="425" tableBorderDxfId="424">
  <autoFilter ref="A15:A16" xr:uid="{00000000-0009-0000-0100-000011000000}"/>
  <tableColumns count="1">
    <tableColumn id="1" xr3:uid="{00000000-0010-0000-0C00-000001000000}" name="User Nam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D000000}" name="Table41" displayName="Table41" ref="H46:H54" totalsRowShown="0" headerRowDxfId="423" dataDxfId="422" dataCellStyle="Normal">
  <autoFilter ref="H46:H54" xr:uid="{00000000-0009-0000-0100-000015000000}"/>
  <tableColumns count="1">
    <tableColumn id="1" xr3:uid="{00000000-0010-0000-0D00-000001000000}" name="DC/RAC" dataDxfId="421" dataCellStyle="Normal"/>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E000000}" name="Coil_Post_coating30" displayName="Coil_Post_coating30" ref="H36:H38" totalsRowShown="0" headerRowDxfId="420" dataDxfId="419">
  <autoFilter ref="H36:H38" xr:uid="{00000000-0009-0000-0100-00001D000000}"/>
  <tableColumns count="1">
    <tableColumn id="1" xr3:uid="{00000000-0010-0000-0E00-000001000000}" name="Post Coating" dataDxfId="41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Construction_Coating31" displayName="Construction_Coating31" ref="J36:J41" totalsRowShown="0" headerRowDxfId="417" dataDxfId="416">
  <autoFilter ref="J36:J41" xr:uid="{00000000-0009-0000-0100-00001E000000}"/>
  <tableColumns count="1">
    <tableColumn id="1" xr3:uid="{00000000-0010-0000-0F00-000001000000}" name="Construction Coating" dataDxfId="41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Table22" displayName="Table22" ref="A24:A26" totalsRowShown="0">
  <autoFilter ref="A24:A26" xr:uid="{00000000-0009-0000-0100-000016000000}"/>
  <tableColumns count="1">
    <tableColumn id="1" xr3:uid="{00000000-0010-0000-1000-000001000000}" name="Project Name" dataDxfId="41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1000000}" name="Table28" displayName="Table28" ref="A27:A29" totalsRowShown="0" tableBorderDxfId="413">
  <autoFilter ref="A27:A29" xr:uid="{00000000-0009-0000-0100-00001C000000}"/>
  <tableColumns count="1">
    <tableColumn id="1" xr3:uid="{00000000-0010-0000-1100-000001000000}" name="Sales Nam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2000000}" name="Table2813" displayName="Table2813" ref="A30:A32" totalsRowShown="0" tableBorderDxfId="412">
  <autoFilter ref="A30:A32" xr:uid="{00000000-0009-0000-0100-00000C000000}"/>
  <tableColumns count="1">
    <tableColumn id="1" xr3:uid="{00000000-0010-0000-1200-000001000000}" name="Currant Vers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3000000}" name="Table281314" displayName="Table281314" ref="A33:A35" totalsRowShown="0" tableBorderDxfId="411">
  <autoFilter ref="A33:A35" xr:uid="{00000000-0009-0000-0100-00000D000000}"/>
  <tableColumns count="1">
    <tableColumn id="1" xr3:uid="{00000000-0010-0000-1300-000001000000}" name="Provide For"/>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4000000}" name="Table281316" displayName="Table281316" ref="A36:A38" totalsRowShown="0" tableBorderDxfId="410">
  <autoFilter ref="A36:A38" xr:uid="{00000000-0009-0000-0100-00000F000000}"/>
  <tableColumns count="1">
    <tableColumn id="1" xr3:uid="{00000000-0010-0000-1400-000001000000}" name="Offer NO."/>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5000000}" name="Table28131432" displayName="Table28131432" ref="A39:A41" totalsRowShown="0" tableBorderDxfId="409">
  <autoFilter ref="A39:A41" xr:uid="{00000000-0009-0000-0100-00001F000000}"/>
  <tableColumns count="1">
    <tableColumn id="1" xr3:uid="{00000000-0010-0000-1500-000001000000}" name="Attn. M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6000000}" name="Table433" displayName="Table433" ref="A43:A44" totalsRowShown="0" headerRowDxfId="408" headerRowBorderDxfId="407" tableBorderDxfId="406">
  <autoFilter ref="A43:A44" xr:uid="{00000000-0009-0000-0100-000020000000}"/>
  <tableColumns count="1">
    <tableColumn id="1" xr3:uid="{00000000-0010-0000-1600-000001000000}" name="E-Password"/>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591F0E-C5C5-408E-A3FB-464E6CBD2D1C}" name="Table26" displayName="Table26" ref="P1:Q25" totalsRowShown="0">
  <autoFilter ref="P1:Q25" xr:uid="{78591F0E-C5C5-408E-A3FB-464E6CBD2D1C}"/>
  <tableColumns count="2">
    <tableColumn id="1" xr3:uid="{7AF05CFE-9EE6-43E1-8D58-CE5A49734647}" name="Offer Data"/>
    <tableColumn id="2" xr3:uid="{554273CB-95F7-4A4C-B463-BA3E69972290}" name="Value"/>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BC68216-3F84-4982-8594-CD7A3B88B82D}" name="Table34" displayName="Table34" ref="T1:Y12" totalsRowShown="0" headerRowDxfId="405" headerRowBorderDxfId="404" tableBorderDxfId="403" totalsRowBorderDxfId="402">
  <autoFilter ref="T1:Y12" xr:uid="{CBC68216-3F84-4982-8594-CD7A3B88B82D}"/>
  <tableColumns count="6">
    <tableColumn id="1" xr3:uid="{C2C3A287-ECD1-4B4B-8D66-1FC93CFD8760}" name="Model" dataDxfId="401"/>
    <tableColumn id="2" xr3:uid="{7401C7F2-3D0C-46F4-B41F-AE7314E76B10}" name="EVAPORATER Fan" dataDxfId="400"/>
    <tableColumn id="6" xr3:uid="{6C0A6176-C5EA-4480-AE7E-301DEE37FC10}" name="Fan QTY" dataDxfId="399"/>
    <tableColumn id="3" xr3:uid="{BB3294E3-2A96-48F5-ABC7-8BA3E7929D3B}" name="Steam" dataDxfId="398"/>
    <tableColumn id="4" xr3:uid="{BB75340D-65BC-4FC7-BEFD-37B9C1C1219D}" name="Heater" dataDxfId="397"/>
    <tableColumn id="5" xr3:uid="{3C1305B8-14CF-48C1-8A5D-76D7D2EDE638}" name="Stage" dataDxfId="39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7000000}" name="Table14" displayName="Table14" ref="A1:E15" totalsRowShown="0">
  <autoFilter ref="A1:E15" xr:uid="{00000000-0009-0000-0100-00000E000000}"/>
  <tableColumns count="5">
    <tableColumn id="1" xr3:uid="{00000000-0010-0000-1700-000001000000}" name="Refrigeration"/>
    <tableColumn id="2" xr3:uid="{00000000-0010-0000-1700-000002000000}" name="Electrical"/>
    <tableColumn id="3" xr3:uid="{00000000-0010-0000-1700-000003000000}" name="Sections"/>
    <tableColumn id="4" xr3:uid="{00000000-0010-0000-1700-000004000000}" name="Construction"/>
    <tableColumn id="5" xr3:uid="{00000000-0010-0000-1700-000005000000}" name="Accessorie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9FF0E0B-B5D0-4D48-8B6B-47E441BC19C2}" name="Table23" displayName="Table23" ref="Q1:AH19" totalsRowShown="0" headerRowDxfId="395" dataDxfId="394" tableBorderDxfId="393" dataCellStyle="Normal">
  <autoFilter ref="Q1:AH19" xr:uid="{59FF0E0B-B5D0-4D48-8B6B-47E441BC19C2}"/>
  <tableColumns count="18">
    <tableColumn id="1" xr3:uid="{11867F0E-4394-4AC7-B030-481BEB78D5DE}" name="Ref." dataDxfId="392" dataCellStyle="Normal"/>
    <tableColumn id="2" xr3:uid="{6F501A14-CB4D-4DBE-A44B-4F55A7D8ABED}" name="SASO NAME" dataDxfId="391" dataCellStyle="Normal"/>
    <tableColumn id="35" xr3:uid="{E27594AD-0B83-447C-A78E-E0E0C3612467}" name="Basic Price" dataDxfId="390" dataCellStyle="Normal"/>
    <tableColumn id="36" xr3:uid="{1B89CE35-1AAB-4C43-9FBF-7E2FA5270BD1}" name="Chiller Unit Basic Price With Cu Tube" dataDxfId="389" dataCellStyle="Normal"/>
    <tableColumn id="37" xr3:uid="{A229E016-6F4F-4F2B-8CC1-E62FA37F566A}" name="Construction" dataDxfId="388" dataCellStyle="Normal"/>
    <tableColumn id="38" xr3:uid="{1EB7CC47-0FF6-4347-AE23-5BC015601416}" name="Wire Mesh Guard Around Condenser Coil" dataDxfId="387" dataCellStyle="Normal"/>
    <tableColumn id="39" xr3:uid="{358FBA1F-D357-4C3D-816F-8D522FBCC140}" name="Copper Fins For Condenser Coils" dataDxfId="386" dataCellStyle="Normal"/>
    <tableColumn id="40" xr3:uid="{DECCB20D-52DD-42EE-AC53-52E99555FBDE}" name="Epoxy Coated for Cu Tube With Cu Fins" dataDxfId="385" dataCellStyle="Normal"/>
    <tableColumn id="41" xr3:uid="{1897C00B-23E0-40C9-B280-1E6D66567478}" name="Compressors Compartment" dataDxfId="384" dataCellStyle="Normal"/>
    <tableColumn id="42" xr3:uid="{526D4044-0D71-44E2-8B0E-6FBEF312F9F8}" name="Refrigeration" dataDxfId="383" dataCellStyle="Normal"/>
    <tableColumn id="43" xr3:uid="{A8EB07D6-7F83-4561-93FB-B7981B2F883A}" name="Suction Line Valve" dataDxfId="382" dataCellStyle="Normal"/>
    <tableColumn id="44" xr3:uid="{3177A7D0-2807-4EC6-AAFE-BA4177E74D2B}" name="High Pressure Relief Valve" dataDxfId="381" dataCellStyle="Normal"/>
    <tableColumn id="45" xr3:uid="{9AAAC3DB-05EA-468B-B30F-EC604CA883CC}" name="Electrical" dataDxfId="380" dataCellStyle="Normal"/>
    <tableColumn id="46" xr3:uid="{11B02FDB-26B0-4EB7-99AA-48CE1BFFF800}" name="Cuircuit Breaker for Each Cond. Fans" dataDxfId="379" dataCellStyle="Normal"/>
    <tableColumn id="47" xr3:uid="{A149FA85-14AD-4F2A-9A73-E4BF3AC6AE24}" name="Extirnal Overlaod For Each Compresoors" dataDxfId="378" dataCellStyle="Normal"/>
    <tableColumn id="48" xr3:uid="{6AE7CDD7-63EC-4E0E-8B17-746BB1CE9755}" name="Extirnal Overlaod For Each Cond. Fans" dataDxfId="377" dataCellStyle="Normal"/>
    <tableColumn id="49" xr3:uid="{F81A3A6A-6F60-40B1-BC88-CD080E7EBAB2}" name="Water Flow Switch [Loose Item]" dataDxfId="376" dataCellStyle="Normal"/>
    <tableColumn id="50" xr3:uid="{EB64617F-FD2B-4938-9B4D-E9ED3A8E450C}" name="BACnet card Protocol" dataDxfId="375" dataCellStyle="Normal"/>
  </tableColumns>
  <tableStyleInfo name="TableStyleLight20"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le136" displayName="Table136" ref="Q1:AE4" totalsRowShown="0" headerRowDxfId="374" dataDxfId="372" headerRowBorderDxfId="373" tableBorderDxfId="371" totalsRowBorderDxfId="370">
  <autoFilter ref="Q1:AE4" xr:uid="{00000000-0009-0000-0100-000019000000}"/>
  <tableColumns count="15">
    <tableColumn id="1" xr3:uid="{00000000-0010-0000-1900-000001000000}" name="Ref."/>
    <tableColumn id="8" xr3:uid="{00000000-0010-0000-1900-000008000000}" name="SASO NAME"/>
    <tableColumn id="7" xr3:uid="{00000000-0010-0000-1900-000007000000}" name="Electrical Heater"/>
    <tableColumn id="6" xr3:uid="{00000000-0010-0000-1900-000006000000}" name="E.H Stages"/>
    <tableColumn id="264" xr3:uid="{7A31C4E8-1F50-4A48-804E-3FC93AAD6CD9}" name="Steam Humid"/>
    <tableColumn id="25" xr3:uid="{F42554F6-F9D6-4EB6-8998-00C76A9084ED}" name="Basic Price" dataDxfId="369"/>
    <tableColumn id="26" xr3:uid="{D1FE0D17-AFDF-4BDF-82CE-DB9398A12991}" name="PPH Unit Basic Price With Cu Tube" dataDxfId="368"/>
    <tableColumn id="27" xr3:uid="{D60C5E84-DB36-4218-A65A-5A92C531464F}" name="Construction" dataDxfId="367"/>
    <tableColumn id="28" xr3:uid="{0A73E5DF-CB8B-4815-876A-FF53799F435A}" name="Wire Mesh Guard (GI)" dataDxfId="366"/>
    <tableColumn id="29" xr3:uid="{0B521305-7D90-4EA2-8605-9074D56F510C}" name="Refrigeration" dataDxfId="365"/>
    <tableColumn id="30" xr3:uid="{3E72BF85-0943-4FF4-AC66-48E5B0A59CA8}" name="Electrical" dataDxfId="364"/>
    <tableColumn id="31" xr3:uid="{C628EE01-41A2-47D6-A068-8A8964516638}" name="Accessory" dataDxfId="363"/>
    <tableColumn id="32" xr3:uid="{A61AA983-22DB-4F18-864B-9225AB494AFA}" name="Electrical Heater &amp; Steam Humidifire Option" dataDxfId="362"/>
    <tableColumn id="33" xr3:uid="{5073BF14-084A-4448-95A5-EFF90067BF83}" name="Electrical Heater Price" dataDxfId="361"/>
    <tableColumn id="34" xr3:uid="{B05FEC9B-816C-43F5-9006-E059B48637A0}" name="Steam Humi. Price" dataDxfId="36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A000000}" name="Chiler_Price" displayName="Chiler_Price" ref="A6:AS141" totalsRowShown="0" headerRowDxfId="359" dataDxfId="357" headerRowBorderDxfId="358" tableBorderDxfId="356" totalsRowBorderDxfId="355" headerRowCellStyle="Normal">
  <autoFilter ref="A6:AS141" xr:uid="{00000000-0009-0000-0100-000014000000}"/>
  <tableColumns count="45">
    <tableColumn id="1" xr3:uid="{00000000-0010-0000-1A00-000001000000}" name="Model" dataDxfId="354"/>
    <tableColumn id="28" xr3:uid="{00000000-0010-0000-1A00-00001C000000}" name="SASO JO" dataDxfId="353" dataCellStyle="Normal 3"/>
    <tableColumn id="29" xr3:uid="{00000000-0010-0000-1A00-00001D000000}" name="SASO KSA" dataDxfId="352" dataCellStyle="Normal 3"/>
    <tableColumn id="42" xr3:uid="{206687DC-BC30-44DC-8EE8-FD3C9D43FD72}" name="Construction Details" dataDxfId="351" dataCellStyle="Normal 3"/>
    <tableColumn id="3" xr3:uid="{00000000-0010-0000-1A00-000003000000}" name="NO. of Cond Coils" dataDxfId="350" dataCellStyle="Normal 3"/>
    <tableColumn id="4" xr3:uid="{00000000-0010-0000-1A00-000004000000}" name="Cond. Coils Area (FT)" dataDxfId="349">
      <calculatedColumnFormula>Chiler_Price[[#This Row],[NO. of Cond Coils]]*5</calculatedColumnFormula>
    </tableColumn>
    <tableColumn id="5" xr3:uid="{00000000-0010-0000-1A00-000005000000}" name="NO. Of Compressors" dataDxfId="348"/>
    <tableColumn id="6" xr3:uid="{00000000-0010-0000-1A00-000006000000}" name="NO. Of Evap. Cooler " dataDxfId="347"/>
    <tableColumn id="21" xr3:uid="{00000000-0010-0000-1A00-000015000000}" name="NO. of Cond. Fans" dataDxfId="346" dataCellStyle="Normal 3">
      <calculatedColumnFormula>Chiler_Price[[#This Row],[NO. of Cond Coils]]</calculatedColumnFormula>
    </tableColumn>
    <tableColumn id="23" xr3:uid="{00000000-0010-0000-1A00-000017000000}" name="Comp 1  HP" dataDxfId="345" dataCellStyle="Normal 3"/>
    <tableColumn id="24" xr3:uid="{00000000-0010-0000-1A00-000018000000}" name="Comp 1 QTY" dataDxfId="344" dataCellStyle="Normal 3"/>
    <tableColumn id="25" xr3:uid="{00000000-0010-0000-1A00-000019000000}" name="Comp 2  HP" dataDxfId="343" dataCellStyle="Normal 3"/>
    <tableColumn id="26" xr3:uid="{00000000-0010-0000-1A00-00001A000000}" name="Comp 2 QTY" dataDxfId="342" dataCellStyle="Normal 3"/>
    <tableColumn id="43" xr3:uid="{98DD8C57-B603-47EE-BB53-0ACAAB747C4B}" name="Basic Price" dataDxfId="341" dataCellStyle="Normal 3"/>
    <tableColumn id="41" xr3:uid="{82D36C09-7219-43EC-B7B1-FFF959712527}" name="Chiller Unit Basic Price With Cu Tube" dataDxfId="340" dataCellStyle="Comma"/>
    <tableColumn id="39" xr3:uid="{00000000-0010-0000-1A00-000027000000}" name="Chiller Unit Basic Price With MicroChannel" dataDxfId="339" dataCellStyle="Normal 3"/>
    <tableColumn id="44" xr3:uid="{4C35265B-5F13-41E9-9121-773C1EB33D9A}" name="Construction" dataDxfId="338" dataCellStyle="Normal 3"/>
    <tableColumn id="8" xr3:uid="{00000000-0010-0000-1A00-000008000000}" name="Wire Mesh Guard Around Condenser Coil" dataDxfId="337" dataCellStyle="Normal 3">
      <calculatedColumnFormula>125*1.35*Chiler_Price[[#This Row],[NO. of Cond Coils]]</calculatedColumnFormula>
    </tableColumn>
    <tableColumn id="36" xr3:uid="{00000000-0010-0000-1A00-000024000000}" name="Copper Fins For Condenser Coils" dataDxfId="336" dataCellStyle="Normal 3">
      <calculatedColumnFormula>Chiler_Price[[#This Row],[Cond. Coils Area (FT)]]*4*Naming!$M$62</calculatedColumnFormula>
    </tableColumn>
    <tableColumn id="47" xr3:uid="{1F430C1C-8A3D-46A5-ACF6-E34A1690E5DE}" name="Post Coated Cu Tube With Al Fins" dataDxfId="335" dataCellStyle="Normal 3">
      <calculatedColumnFormula>5*Chiler_Price[[#This Row],[Cond. Coils Area (FT)]]</calculatedColumnFormula>
    </tableColumn>
    <tableColumn id="46" xr3:uid="{6AAF4B13-7998-4EAE-9932-F7F9C349E587}" name="Post Coated for Cu Tube With Cu Fins" dataDxfId="334" dataCellStyle="Normal 3">
      <calculatedColumnFormula>7*Chiler_Price[[#This Row],[Cond. Coils Area (FT)]]</calculatedColumnFormula>
    </tableColumn>
    <tableColumn id="38" xr3:uid="{00000000-0010-0000-1A00-000026000000}" name="Epoxy Coated Cu Tube With Al Fins" dataDxfId="333" dataCellStyle="Normal 3">
      <calculatedColumnFormula>Chiler_Price[[#This Row],[Cond. Coils Area (FT)]]*Naming!$I$93</calculatedColumnFormula>
    </tableColumn>
    <tableColumn id="40" xr3:uid="{00000000-0010-0000-1A00-000028000000}" name="Epoxy Coated for Cu Tube With Cu Fins" dataDxfId="332" dataCellStyle="Normal 3">
      <calculatedColumnFormula>Chiler_Price[[#This Row],[Cond. Coils Area (FT)]]*Naming!$I$96</calculatedColumnFormula>
    </tableColumn>
    <tableColumn id="37" xr3:uid="{00000000-0010-0000-1A00-000025000000}" name="Pre Coated Al Fins" dataDxfId="331" dataCellStyle="Normal 3">
      <calculatedColumnFormula>#REF!+Chiler_Price[[#This Row],[Cond. Coils Area (FT)]]*4*Naming!$D$61</calculatedColumnFormula>
    </tableColumn>
    <tableColumn id="13" xr3:uid="{00000000-0010-0000-1A00-00000D000000}" name="Compressors Compartment" dataDxfId="330" dataCellStyle="Normal 3">
      <calculatedColumnFormula>1500*1.35*Chiler_Price[[#This Row],[NO. Of Compressors]]</calculatedColumnFormula>
    </tableColumn>
    <tableColumn id="17" xr3:uid="{00000000-0010-0000-1A00-000011000000}" name="Compressors Jacket" dataDxfId="329" dataCellStyle="Normal 3">
      <calculatedColumnFormula>400*1.35*Chiler_Price[[#This Row],[NO. Of Compressors]]</calculatedColumnFormula>
    </tableColumn>
    <tableColumn id="12" xr3:uid="{00000000-0010-0000-1A00-00000C000000}" name="G.S Cooler Jacket" dataDxfId="328" dataCellStyle="Normal 3">
      <calculatedColumnFormula>650*1.35*Chiler_Price[[#This Row],[NO. Of Evap. Cooler ]]</calculatedColumnFormula>
    </tableColumn>
    <tableColumn id="14" xr3:uid="{00000000-0010-0000-1A00-00000E000000}" name="SS Cooler jacket" dataDxfId="327" dataCellStyle="Normal 3">
      <calculatedColumnFormula>650*4*1.35*Chiler_Price[[#This Row],[NO. Of Evap. Cooler ]]</calculatedColumnFormula>
    </tableColumn>
    <tableColumn id="16" xr3:uid="{00000000-0010-0000-1A00-000010000000}" name="38 mm Insulation Thickness For Cooler" dataDxfId="326" dataCellStyle="Normal 3">
      <calculatedColumnFormula>560*1.35*Chiler_Price[[#This Row],[NO. Of Evap. Cooler ]]</calculatedColumnFormula>
    </tableColumn>
    <tableColumn id="45" xr3:uid="{BD9AD0FD-AE56-435A-95D6-FBC7CF5FDF49}" name="Refrigeration" dataDxfId="325" dataCellStyle="Normal 3"/>
    <tableColumn id="7" xr3:uid="{00000000-0010-0000-1A00-000007000000}" name="Suction Line Valve" dataDxfId="324">
      <calculatedColumnFormula>700*1.35*Chiler_Price[[#This Row],[NO. Of Compressors]]</calculatedColumnFormula>
    </tableColumn>
    <tableColumn id="15" xr3:uid="{00000000-0010-0000-1A00-00000F000000}" name="High Pressure Relief Valve" dataDxfId="323" dataCellStyle="Normal 3">
      <calculatedColumnFormula>100*1.35*Chiler_Price[[#This Row],[NO. Of Compressors]]</calculatedColumnFormula>
    </tableColumn>
    <tableColumn id="18" xr3:uid="{00000000-0010-0000-1A00-000012000000}" name="High &amp; Low Pressure Gauge" dataDxfId="322" dataCellStyle="Normal 3">
      <calculatedColumnFormula>100*1.35*Chiler_Price[[#This Row],[NO. Of Compressors]]</calculatedColumnFormula>
    </tableColumn>
    <tableColumn id="27" xr3:uid="{00000000-0010-0000-1A00-00001B000000}" name="Hot Gas By Pass For Lead Compressor" dataDxfId="321" dataCellStyle="Normal 3">
      <calculatedColumnFormula>600*1.35*Chiler_Price[[#This Row],[NO. Of Compressors]]</calculatedColumnFormula>
    </tableColumn>
    <tableColumn id="48" xr3:uid="{8EAC8C0B-7F0E-4E15-AAFB-312FC5491BFF}" name="Suction Line Accumulator" dataDxfId="320" dataCellStyle="Normal 3"/>
    <tableColumn id="49" xr3:uid="{8C6D815E-AACF-48E8-85EF-191BD967824D}" name="Electrical" dataDxfId="319" dataCellStyle="Normal 3"/>
    <tableColumn id="19" xr3:uid="{00000000-0010-0000-1A00-000013000000}" name="Cuircuit Breaker for Each Cond. Fans" dataDxfId="318" dataCellStyle="Normal 3">
      <calculatedColumnFormula>Chiler_Price[[#This Row],[NO. of Cond. Fans]]*62*1.1*1.35</calculatedColumnFormula>
    </tableColumn>
    <tableColumn id="10" xr3:uid="{00000000-0010-0000-1A00-00000A000000}" name="Extirnal Overlaod For Each Compresoors" dataDxfId="317" dataCellStyle="Normal 3">
      <calculatedColumnFormula>450*1.35*Chiler_Price[[#This Row],[NO. Of Compressors]]</calculatedColumnFormula>
    </tableColumn>
    <tableColumn id="20" xr3:uid="{00000000-0010-0000-1A00-000014000000}" name="Extirnal Overlaod For Each Cond. Fans" dataDxfId="316" dataCellStyle="Normal 3">
      <calculatedColumnFormula>Chiler_Price[[#This Row],[NO. of Cond. Fans]]*62*1.1*1.35</calculatedColumnFormula>
    </tableColumn>
    <tableColumn id="30" xr3:uid="{00000000-0010-0000-1A00-00001E000000}" name="Main Disconnect Switch (Non Fused)" dataDxfId="315" dataCellStyle="Normal 3">
      <calculatedColumnFormula>1.35*950</calculatedColumnFormula>
    </tableColumn>
    <tableColumn id="32" xr3:uid="{00000000-0010-0000-1A00-000020000000}" name="Main Disconnect Switch (Fused)" dataDxfId="314" dataCellStyle="Normal 3">
      <calculatedColumnFormula>1.3516</calculatedColumnFormula>
    </tableColumn>
    <tableColumn id="31" xr3:uid="{00000000-0010-0000-1A00-00001F000000}" name="Main Circuit Breaker" dataDxfId="313" dataCellStyle="Normal 3">
      <calculatedColumnFormula>1.35*1800</calculatedColumnFormula>
    </tableColumn>
    <tableColumn id="9" xr3:uid="{00000000-0010-0000-1A00-000009000000}" name="Electrical Trap Heater" dataDxfId="312">
      <calculatedColumnFormula>560*1.35*Chiler_Price[[#This Row],[NO. Of Evap. Cooler ]]</calculatedColumnFormula>
    </tableColumn>
    <tableColumn id="11" xr3:uid="{00000000-0010-0000-1A00-00000B000000}" name="Water Flow Switch [Loose Item]" dataDxfId="311">
      <calculatedColumnFormula>100*1.35*Chiler_Price[[#This Row],[NO. Of Evap. Cooler ]]</calculatedColumnFormula>
    </tableColumn>
    <tableColumn id="50" xr3:uid="{D9E4264C-2186-494A-B7D6-E35A4E6BFF31}" name="BACnet card Protocol" dataDxfId="310" dataCellStyle="Normal 3"/>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D0F996C1-D64B-4AFD-8C82-F25D152FDB4B}" name="Table1365" displayName="Table1365" ref="R1:AG45" totalsRowShown="0" headerRowDxfId="309" dataDxfId="307" headerRowBorderDxfId="308" tableBorderDxfId="306" totalsRowBorderDxfId="305">
  <autoFilter ref="R1:AG45" xr:uid="{D0F996C1-D64B-4AFD-8C82-F25D152FDB4B}"/>
  <tableColumns count="16">
    <tableColumn id="1" xr3:uid="{35D84D5A-4F8D-4C5D-B3E2-7D7F9E78D643}" name="SASO NAME" dataDxfId="304" dataCellStyle="Comma"/>
    <tableColumn id="2" xr3:uid="{AD414B65-E116-4A5D-8CEB-F600B7A3038F}" name="Model" dataDxfId="303"/>
    <tableColumn id="3" xr3:uid="{785B38B4-B4EE-4F00-9501-A3160C7E856B}" name="Basic price" dataDxfId="302"/>
    <tableColumn id="30" xr3:uid="{D99BE810-96E2-4374-AC5A-812639DEF67B}" name="Pre-Coated CU-Al Evap. Coil" dataDxfId="301"/>
    <tableColumn id="31" xr3:uid="{48C0669B-621D-4B6C-9B34-AFB7C2C399DB}" name="Inlet Damper" dataDxfId="300"/>
    <tableColumn id="32" xr3:uid="{6D724031-78BA-4303-80F7-EC9F7DE64DC0}" name="Manomiter PETRA STD" dataDxfId="299"/>
    <tableColumn id="33" xr3:uid="{FEEA7EC4-DD36-419D-A4B3-BD43BEB9B0EF}" name="Spring Isolator 1&quot; Fan" dataDxfId="298"/>
    <tableColumn id="34" xr3:uid="{ADDA137F-82A7-4EB1-AA8F-86E86D2237F2}" name="Belt Guard" dataDxfId="297"/>
    <tableColumn id="35" xr3:uid="{7FD49211-ABDF-46F9-8A9F-8CFB0E8AA491}" name="EX lubricant Line" dataDxfId="296"/>
    <tableColumn id="36" xr3:uid="{F9B7779A-7E7B-474F-8398-817036D5A99D}" name="Access Door" dataDxfId="295"/>
    <tableColumn id="37" xr3:uid="{F55E6DF8-FFE9-4DFE-9426-DE79993D6797}" name="VFD MED ESP" dataDxfId="294"/>
    <tableColumn id="38" xr3:uid="{1279007C-D30F-4265-BD8E-F2AE21EE1AD1}" name="Bulkhead Light" dataDxfId="293"/>
    <tableColumn id="39" xr3:uid="{CDA5AE50-62F7-48ED-97F9-B3E2B6A0B9E9}" name="Inspection Filter" dataDxfId="292"/>
    <tableColumn id="40" xr3:uid="{D28631BA-003C-43C8-A55C-9F794E4629A3}" name="Inspection Fan" dataDxfId="291"/>
    <tableColumn id="41" xr3:uid="{45471D99-812E-4C2A-BA3F-65D794C0C369}" name="MMS Med Pirce" dataDxfId="290"/>
    <tableColumn id="42" xr3:uid="{FCB74E57-BD91-43B2-9FA6-C1D436B30868}" name="Fan &amp; motor ESP Med Pirce" dataDxfId="28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D000000}" name="RAC_DC_LARGE_INPUT_DATA" displayName="RAC_DC_LARGE_INPUT_DATA" ref="AU1:BC394" totalsRowShown="0" headerRowDxfId="288" dataDxfId="287">
  <autoFilter ref="AU1:BC394" xr:uid="{00000000-0009-0000-0100-000012000000}"/>
  <tableColumns count="9">
    <tableColumn id="1" xr3:uid="{00000000-0010-0000-1D00-000001000000}" name="NO." dataDxfId="286"/>
    <tableColumn id="2" xr3:uid="{00000000-0010-0000-1D00-000002000000}" name="REF" dataDxfId="285"/>
    <tableColumn id="3" xr3:uid="{00000000-0010-0000-1D00-000003000000}" name="Type" dataDxfId="284"/>
    <tableColumn id="4" xr3:uid="{00000000-0010-0000-1D00-000004000000}" name="Flow CFM" dataDxfId="283"/>
    <tableColumn id="5" xr3:uid="{00000000-0010-0000-1D00-000005000000}" name="ESP" dataDxfId="282"/>
    <tableColumn id="6" xr3:uid="{00000000-0010-0000-1D00-000006000000}" name="Group" dataDxfId="281"/>
    <tableColumn id="7" xr3:uid="{00000000-0010-0000-1D00-000007000000}" name="REQ CAP" dataDxfId="280"/>
    <tableColumn id="8" xr3:uid="{00000000-0010-0000-1D00-000008000000}" name="CAL CAP" dataDxfId="279"/>
    <tableColumn id="9" xr3:uid="{00000000-0010-0000-1D00-000009000000}" name="QTY" dataDxfId="27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E000000}" name="DC_Selection" displayName="DC_Selection" ref="Y1:AA18" totalsRowShown="0" headerRowDxfId="277">
  <autoFilter ref="Y1:AA18" xr:uid="{00000000-0009-0000-0100-000013000000}"/>
  <tableColumns count="3">
    <tableColumn id="1" xr3:uid="{00000000-0010-0000-1E00-000001000000}" name="Model"/>
    <tableColumn id="2" xr3:uid="{00000000-0010-0000-1E00-000002000000}" name="Price"/>
    <tableColumn id="3" xr3:uid="{00000000-0010-0000-1E00-000003000000}" name="CFM"/>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F000000}" name="PPH_Data_Base28" displayName="PPH_Data_Base28" ref="A6:FS103" totalsRowShown="0" headerRowDxfId="276" dataDxfId="274" headerRowBorderDxfId="275" tableBorderDxfId="273" totalsRowBorderDxfId="272" headerRowCellStyle="Normal 2 2" dataCellStyle="Normal 2 2">
  <autoFilter ref="A6:FS103" xr:uid="{00000000-0009-0000-0100-00001B000000}"/>
  <tableColumns count="175">
    <tableColumn id="1" xr3:uid="{00000000-0010-0000-1F00-000001000000}" name="Model" dataDxfId="271" dataCellStyle="Normal 2 2"/>
    <tableColumn id="56" xr3:uid="{00000000-0010-0000-1F00-000038000000}" name="PPH SASO JO" dataDxfId="270" dataCellStyle="Normal 2 2"/>
    <tableColumn id="57" xr3:uid="{00000000-0010-0000-1F00-000039000000}" name="PPH SASO KSA" dataDxfId="269" dataCellStyle="Normal 2 2"/>
    <tableColumn id="79" xr3:uid="{00000000-0010-0000-1F00-00004F000000}" name="DSP Model" dataDxfId="268" dataCellStyle="Normal 2 2"/>
    <tableColumn id="77" xr3:uid="{00000000-0010-0000-1F00-00004D000000}" name="DSP SASO JO" dataDxfId="267" dataCellStyle="Normal 2 2"/>
    <tableColumn id="84" xr3:uid="{00000000-0010-0000-1F00-000054000000}" name="DSP SASO KSA" dataDxfId="266" dataCellStyle="Normal 2 2"/>
    <tableColumn id="141" xr3:uid="{00000000-0010-0000-1F00-00008D000000}" name="Construction Details" dataDxfId="265" dataCellStyle="Normal 2 2"/>
    <tableColumn id="144" xr3:uid="{00000000-0010-0000-1F00-000090000000}" name="Gas Type" dataDxfId="264" dataCellStyle="Normal 2 2"/>
    <tableColumn id="4" xr3:uid="{00000000-0010-0000-1F00-000004000000}" name="STD Evaporator Fan" dataDxfId="263" dataCellStyle="Normal 2 2"/>
    <tableColumn id="5" xr3:uid="{00000000-0010-0000-1F00-000005000000}" name="STD Supply Fan Motor" dataDxfId="262" dataCellStyle="Normal 2 2"/>
    <tableColumn id="6" xr3:uid="{00000000-0010-0000-1F00-000006000000}" name="Fan QTY" dataDxfId="261" dataCellStyle="Normal 2 2"/>
    <tableColumn id="7" xr3:uid="{00000000-0010-0000-1F00-000007000000}" name="Compressors Type" dataDxfId="260" dataCellStyle="Normal 2 2"/>
    <tableColumn id="12" xr3:uid="{00000000-0010-0000-1F00-00000C000000}" name="No. Of Condenser Coils" dataDxfId="259" dataCellStyle="Normal 2 2"/>
    <tableColumn id="76" xr3:uid="{00000000-0010-0000-1F00-00004C000000}" name="NO Condenser Fans" dataDxfId="258" dataCellStyle="Normal 2 2"/>
    <tableColumn id="30" xr3:uid="{00000000-0010-0000-1F00-00001E000000}" name="Total Condenser Coil Area" dataDxfId="257" dataCellStyle="Normal 2 2"/>
    <tableColumn id="33" xr3:uid="{00000000-0010-0000-1F00-000021000000}" name="Total Evaporator  Coil Area" dataDxfId="256" dataCellStyle="Normal 2 2"/>
    <tableColumn id="8" xr3:uid="{00000000-0010-0000-1F00-000008000000}" name="No. of Unit  Compressors" dataDxfId="255" dataCellStyle="Normal 2 2"/>
    <tableColumn id="43" xr3:uid="{00000000-0010-0000-1F00-00002B000000}" name="Compressor 1 HP" dataDxfId="254" dataCellStyle="Normal 2 2"/>
    <tableColumn id="51" xr3:uid="{00000000-0010-0000-1F00-000033000000}" name="Compressor 1 QTY" dataDxfId="253" dataCellStyle="Normal 2 2"/>
    <tableColumn id="52" xr3:uid="{00000000-0010-0000-1F00-000034000000}" name="Compressor 2 HP" dataDxfId="252" dataCellStyle="Normal 2 2"/>
    <tableColumn id="53" xr3:uid="{00000000-0010-0000-1F00-000035000000}" name="Compressor 2 QTY" dataDxfId="251" dataCellStyle="Normal 2 2"/>
    <tableColumn id="48" xr3:uid="{00000000-0010-0000-1F00-000030000000}" name="Fan Basic Price" dataDxfId="250" dataCellStyle="Normal 2 2"/>
    <tableColumn id="49" xr3:uid="{00000000-0010-0000-1F00-000031000000}" name="Motor Baisc Price" dataDxfId="249" dataCellStyle="Normal 2 2"/>
    <tableColumn id="140" xr3:uid="{00000000-0010-0000-1F00-00008C000000}" name="PAH Equivelant" dataDxfId="248" dataCellStyle="Normal 2 2"/>
    <tableColumn id="143" xr3:uid="{00000000-0010-0000-1F00-00008F000000}" name="Basic Price" dataDxfId="247" dataCellStyle="Normal 2 2"/>
    <tableColumn id="3" xr3:uid="{00000000-0010-0000-1F00-000003000000}" name="PPH Unit Basic Price Microchannel Tube" dataDxfId="246" dataCellStyle="Normal 2 2"/>
    <tableColumn id="2" xr3:uid="{00000000-0010-0000-1F00-000002000000}" name="PPH Unit Basic Price With Cu Tube" dataDxfId="245" dataCellStyle="Normal 2 2"/>
    <tableColumn id="78" xr3:uid="{00000000-0010-0000-1F00-00004E000000}" name="DSP Unit Basic Price With Cu Tube" dataDxfId="244" dataCellStyle="Normal 2 2"/>
    <tableColumn id="142" xr3:uid="{00000000-0010-0000-1F00-00008E000000}" name="Construction" dataDxfId="243" dataCellStyle="Normal 2 2"/>
    <tableColumn id="9" xr3:uid="{00000000-0010-0000-1F00-000009000000}" name="Doubel Skin 1&quot; Insulation For Unit" dataDxfId="242" dataCellStyle="Normal 2 2"/>
    <tableColumn id="96" xr3:uid="{00000000-0010-0000-1F00-000060000000}" name="Doubel Skin 1&quot; Insulation For Bag Filter Section" dataDxfId="241" dataCellStyle="Normal 2 2"/>
    <tableColumn id="97" xr3:uid="{00000000-0010-0000-1F00-000061000000}" name="Doubel Skin 1&quot; Insulation For Mixing Box" dataDxfId="240" dataCellStyle="Normal 2 2"/>
    <tableColumn id="98" xr3:uid="{00000000-0010-0000-1F00-000062000000}" name="Doubel Skin 1&quot; Insulation For Economizer" dataDxfId="239" dataCellStyle="Normal 2 2"/>
    <tableColumn id="10" xr3:uid="{00000000-0010-0000-1F00-00000A000000}" name="Doubel Skin 2&quot; Insulation For Unit" dataDxfId="238" dataCellStyle="Normal 2 2"/>
    <tableColumn id="92" xr3:uid="{00000000-0010-0000-1F00-00005C000000}" name="Doubel Skin 2&quot; Insulation for Bag section" dataDxfId="237" dataCellStyle="Normal 2 2"/>
    <tableColumn id="94" xr3:uid="{00000000-0010-0000-1F00-00005E000000}" name="Doubel Skin 2&quot; Insulation for Mixing Box" dataDxfId="236" dataCellStyle="Normal 2 2"/>
    <tableColumn id="95" xr3:uid="{00000000-0010-0000-1F00-00005F000000}" name="Doubel Skin 2&quot; Insulation for Economizer" dataDxfId="235" dataCellStyle="Normal 2 2"/>
    <tableColumn id="91" xr3:uid="{00000000-0010-0000-1F00-00005B000000}" name="Double Skin Inner/Outter Casing  (1.5/1.0) mm." dataDxfId="234" dataCellStyle="Normal 2 2">
      <calculatedColumnFormula>PPH_Data_Base28[[#This Row],[PPH Unit Basic Price With Cu Tube]]*0.05</calculatedColumnFormula>
    </tableColumn>
    <tableColumn id="23" xr3:uid="{00000000-0010-0000-1F00-000017000000}" name="Wire Mesh Guard (GI)" dataDxfId="233" dataCellStyle="Normal 2 2"/>
    <tableColumn id="170" xr3:uid="{A91B7479-8B66-4A5D-A1E5-CE6A19C2E50A}" name="Wire Mesh Guard (SS 304)" dataDxfId="232" dataCellStyle="Normal 2 2"/>
    <tableColumn id="169" xr3:uid="{44B94E95-8958-4145-BB3F-32CFB3297037}" name="Wire Mesh Guard (SS 316)" dataDxfId="231" dataCellStyle="Normal 2 2"/>
    <tableColumn id="20" xr3:uid="{00000000-0010-0000-1F00-000014000000}" name="Rain Hood" dataDxfId="230" dataCellStyle="Normal 2 2"/>
    <tableColumn id="19" xr3:uid="{00000000-0010-0000-1F00-000013000000}" name="Sand Trap Louver " dataDxfId="229" dataCellStyle="Normal 2 2"/>
    <tableColumn id="15" xr3:uid="{00000000-0010-0000-1F00-00000F000000}" name="Inlet Damper" dataDxfId="228" dataCellStyle="Normal 2 2"/>
    <tableColumn id="16" xr3:uid="{00000000-0010-0000-1F00-000010000000}" name="Mixing Box" dataDxfId="227" dataCellStyle="Normal 2 2"/>
    <tableColumn id="17" xr3:uid="{00000000-0010-0000-1F00-000011000000}" name="Economizer Section" dataDxfId="226" dataCellStyle="Normal 2 2"/>
    <tableColumn id="13" xr3:uid="{00000000-0010-0000-1F00-00000D000000}" name="2&quot; Pre-Filter" dataDxfId="225" dataCellStyle="Normal 2 2"/>
    <tableColumn id="11" xr3:uid="{00000000-0010-0000-1F00-00000B000000}" name="Bag Filter EU-8" dataDxfId="224" dataCellStyle="Normal 2 2"/>
    <tableColumn id="86" xr3:uid="{00000000-0010-0000-1F00-000056000000}" name="HEPA Filter" dataDxfId="223" dataCellStyle="Normal 2 2"/>
    <tableColumn id="85" xr3:uid="{00000000-0010-0000-1F00-000055000000}" name="UV-C Lamp" dataDxfId="222" dataCellStyle="Normal 2 2"/>
    <tableColumn id="100" xr3:uid="{00000000-0010-0000-1F00-000064000000}" name="Droplet Eleminator Al" dataDxfId="221" dataCellStyle="Normal 2 2"/>
    <tableColumn id="101" xr3:uid="{00000000-0010-0000-1F00-000065000000}" name="Droplet Eleminator PVC" dataDxfId="220" dataCellStyle="Normal 2 2"/>
    <tableColumn id="158" xr3:uid="{EA919859-2D0D-4F8B-B09D-0581B2830A84}" name="C-Channel Base (5-mm Thickness) 100 mm" dataDxfId="219" dataCellStyle="Normal 2 2"/>
    <tableColumn id="41" xr3:uid="{6612CF94-F2A7-4F1B-9B71-4E8B9B354419}" name="Fully Welded C-Channel." dataDxfId="218" dataCellStyle="Normal 2 2">
      <calculatedColumnFormula>PPH_Data_Base28[[#This Row],[PPH Unit Basic Price With Cu Tube]]*0.1</calculatedColumnFormula>
    </tableColumn>
    <tableColumn id="113" xr3:uid="{00000000-0010-0000-1F00-000071000000}" name="Unit Base Coating (Gray)" dataDxfId="217" dataCellStyle="Normal 2 2"/>
    <tableColumn id="117" xr3:uid="{00000000-0010-0000-1F00-000075000000}" name="120 Micron Paint FOR STD UNIT" dataDxfId="216" dataCellStyle="Normal 2 2"/>
    <tableColumn id="114" xr3:uid="{00000000-0010-0000-1F00-000072000000}" name="120 Micron Paint FOR BAG FILTER" dataDxfId="215" dataCellStyle="Normal 2 2"/>
    <tableColumn id="115" xr3:uid="{00000000-0010-0000-1F00-000073000000}" name="120 Micron Paint FOR MIXING BOX" dataDxfId="214" dataCellStyle="Normal 2 2"/>
    <tableColumn id="116" xr3:uid="{00000000-0010-0000-1F00-000074000000}" name="120 Micron Paint FOR ECONOMIZER" dataDxfId="213" dataCellStyle="Normal 2 2"/>
    <tableColumn id="159" xr3:uid="{B8303746-98F4-4A48-8982-0FF56DFECAFF}" name="Casing Painting For Offshore Project (ASTM B117)" dataDxfId="212" dataCellStyle="Normal 2 2">
      <calculatedColumnFormula>PPH_Data_Base28[[#This Row],[PPH Unit Basic Price With Cu Tube]]*0.075</calculatedColumnFormula>
    </tableColumn>
    <tableColumn id="118" xr3:uid="{00000000-0010-0000-1F00-000076000000}" name="Basic Inner Skin Coating" dataDxfId="211" dataCellStyle="Normal 2 2"/>
    <tableColumn id="119" xr3:uid="{00000000-0010-0000-1F00-000077000000}" name="Inner Skin Coating  For Bag Filter Section" dataDxfId="210" dataCellStyle="Normal 2 2"/>
    <tableColumn id="120" xr3:uid="{00000000-0010-0000-1F00-000078000000}" name="Inner Skin Coating  For Mixing box Section" dataDxfId="209" dataCellStyle="Normal 2 2"/>
    <tableColumn id="121" xr3:uid="{00000000-0010-0000-1F00-000079000000}" name="Inner Skin Coating  For Economizer Section" dataDxfId="208" dataCellStyle="Normal 2 2"/>
    <tableColumn id="59" xr3:uid="{00000000-0010-0000-1F00-00003B000000}" name="Copper fin for Condenser Coil" dataDxfId="207" dataCellStyle="Normal 2 2">
      <calculatedColumnFormula>PPH_Data_Base28[[#This Row],[Total Condenser Coil Area]]*Naming!$M$62*4</calculatedColumnFormula>
    </tableColumn>
    <tableColumn id="60" xr3:uid="{00000000-0010-0000-1F00-00003C000000}" name="Copper fin for Evaporator Coil" dataDxfId="206" dataCellStyle="Normal 2 2">
      <calculatedColumnFormula>PPH_Data_Base28[[#This Row],[Total Evaporator  Coil Area]]*Naming!$M$62*4</calculatedColumnFormula>
    </tableColumn>
    <tableColumn id="61" xr3:uid="{00000000-0010-0000-1F00-00003D000000}" name="Pre-Coated Condenser Fins" dataDxfId="205" dataCellStyle="Normal 2 2">
      <calculatedColumnFormula>PPH_Data_Base28[[#This Row],[Total Condenser Coil Area]]*Naming!$D$61*4</calculatedColumnFormula>
    </tableColumn>
    <tableColumn id="62" xr3:uid="{00000000-0010-0000-1F00-00003E000000}" name="Pre-Coated Evaporator Fins" dataDxfId="204" dataCellStyle="Normal 2 2">
      <calculatedColumnFormula>PPH_Data_Base28[[#This Row],[Total Evaporator  Coil Area]]*Naming!$D$61*6</calculatedColumnFormula>
    </tableColumn>
    <tableColumn id="45" xr3:uid="{00000000-0010-0000-1F00-00002D000000}" name="Post Coated Copper Tube Al Fins For Evaporator Coil" dataDxfId="203" dataCellStyle="Normal 2 2">
      <calculatedColumnFormula>$G$195*PPH_Data_Base28[[#This Row],[Total Evaporator  Coil Area]]</calculatedColumnFormula>
    </tableColumn>
    <tableColumn id="44" xr3:uid="{00000000-0010-0000-1F00-00002C000000}" name="Post Coated Copper Tube Copper Fins For Evaporator Coil" dataDxfId="202" dataCellStyle="Normal 2 2">
      <calculatedColumnFormula>$G$199*PPH_Data_Base28[[#This Row],[Total Evaporator  Coil Area]]</calculatedColumnFormula>
    </tableColumn>
    <tableColumn id="42" xr3:uid="{00000000-0010-0000-1F00-00002A000000}" name="Heresite Coated Copper Tube Al Fins For Evaporator Coil" dataDxfId="201" dataCellStyle="Normal 2 2">
      <calculatedColumnFormula>$E$185*PPH_Data_Base28[[#This Row],[Total Evaporator  Coil Area]]</calculatedColumnFormula>
    </tableColumn>
    <tableColumn id="37" xr3:uid="{00000000-0010-0000-1F00-000025000000}" name="Heresite Coated Copper Tube Copper Fins For Evaporator Coil" dataDxfId="200" dataCellStyle="Normal 2 2">
      <calculatedColumnFormula>$E$188*PPH_Data_Base28[[#This Row],[Total Evaporator  Coil Area]]</calculatedColumnFormula>
    </tableColumn>
    <tableColumn id="58" xr3:uid="{00000000-0010-0000-1F00-00003A000000}" name="Post Coated Copper Tube Al Fins For Condenser Coil" dataDxfId="199" dataCellStyle="Normal 2 2">
      <calculatedColumnFormula>$G$195*PPH_Data_Base28[[#This Row],[Total Condenser Coil Area]]</calculatedColumnFormula>
    </tableColumn>
    <tableColumn id="50" xr3:uid="{00000000-0010-0000-1F00-000032000000}" name="Post Coated Copper Tube Copper Fins For Condenser Coil" dataDxfId="198" dataCellStyle="Normal 2 2">
      <calculatedColumnFormula>$G$199*PPH_Data_Base28[[#This Row],[Total Condenser Coil Area]]</calculatedColumnFormula>
    </tableColumn>
    <tableColumn id="47" xr3:uid="{00000000-0010-0000-1F00-00002F000000}" name="Heresite Coated Copper Tube Al Fins For Condenser Coil" dataDxfId="197" dataCellStyle="Normal 2 2">
      <calculatedColumnFormula>$E$185*PPH_Data_Base28[[#This Row],[Total Condenser Coil Area]]</calculatedColumnFormula>
    </tableColumn>
    <tableColumn id="46" xr3:uid="{00000000-0010-0000-1F00-00002E000000}" name="Heresite Coated Copper Tube Copper Fins For Condenser Coil" dataDxfId="196" dataCellStyle="Normal 2 2">
      <calculatedColumnFormula>$E$188*PPH_Data_Base28[[#This Row],[Total Condenser Coil Area]]</calculatedColumnFormula>
    </tableColumn>
    <tableColumn id="14" xr3:uid="{00000000-0010-0000-1F00-00000E000000}" name="Stainless Steel 316 Drain" dataDxfId="195" dataCellStyle="Normal 2 2"/>
    <tableColumn id="99" xr3:uid="{00000000-0010-0000-1F00-000063000000}" name="Stainless Steel 304 Drain" dataDxfId="194" dataCellStyle="Normal 2 2"/>
    <tableColumn id="174" xr3:uid="{915269B5-568A-4E8D-8581-11F9713C02F6}" name="Stainless Steel 316 Coil Casing" dataDxfId="193" dataCellStyle="Normal 2 2"/>
    <tableColumn id="173" xr3:uid="{C3C75CFE-6D3B-4EEB-9D39-1E313F98F02C}" name="Stainless Steel 304 Coil Casing" dataDxfId="192" dataCellStyle="Normal 2 2"/>
    <tableColumn id="70" xr3:uid="{00000000-0010-0000-1F00-000046000000}" name="Roof Canopy" dataDxfId="191" dataCellStyle="Normal 2 2">
      <calculatedColumnFormula>PPH_Data_Base28[[#This Row],[PPH Unit Basic Price With Cu Tube]]*0.05</calculatedColumnFormula>
    </tableColumn>
    <tableColumn id="71" xr3:uid="{00000000-0010-0000-1F00-000047000000}" name="Access Doors" dataDxfId="190" dataCellStyle="Normal 2 2">
      <calculatedColumnFormula>PPH_Data_Base28[[#This Row],[PPH Unit Basic Price With Cu Tube]]*0.03</calculatedColumnFormula>
    </tableColumn>
    <tableColumn id="87" xr3:uid="{00000000-0010-0000-1F00-000057000000}" name="SS Screw &amp; Bolt" dataDxfId="189" dataCellStyle="Normal 2 2">
      <calculatedColumnFormula>PPH_Data_Base28[[#This Row],[PPH Unit Basic Price With Cu Tube]]*0.02</calculatedColumnFormula>
    </tableColumn>
    <tableColumn id="145" xr3:uid="{00000000-0010-0000-1F00-000091000000}" name="Refrigeration" dataDxfId="188" dataCellStyle="Normal 2 2"/>
    <tableColumn id="166" xr3:uid="{3A8A1845-E9E0-4B11-BC34-BE2191B67209}" name="The PPH Units Are Totally Fresh (100%)" dataDxfId="187" dataCellStyle="Normal 2 2">
      <calculatedColumnFormula>PPH_Data_Base28[[#This Row],[PPH Unit Basic Price With Cu Tube]]*0.25</calculatedColumnFormula>
    </tableColumn>
    <tableColumn id="162" xr3:uid="{FA14C73C-182D-4051-9955-690B66A70331}" name="The DSP Units Are Totally Fresh (100%)" dataDxfId="186" dataCellStyle="Normal 2 2">
      <calculatedColumnFormula>PPH_Data_Base28[[#This Row],[DSP Unit Basic Price With Cu Tube]]*0.35</calculatedColumnFormula>
    </tableColumn>
    <tableColumn id="18" xr3:uid="{00000000-0010-0000-1F00-000012000000}" name="High &amp; Low Pressure Gauges" dataDxfId="185" dataCellStyle="Normal 2 2">
      <calculatedColumnFormula>99*Q7*1.35</calculatedColumnFormula>
    </tableColumn>
    <tableColumn id="21" xr3:uid="{00000000-0010-0000-1F00-000015000000}" name="High Pressure Relief Valve" dataDxfId="184" dataCellStyle="Normal 2 2">
      <calculatedColumnFormula>93*Q7*1.35</calculatedColumnFormula>
    </tableColumn>
    <tableColumn id="22" xr3:uid="{00000000-0010-0000-1F00-000016000000}" name="Sight Glass" dataDxfId="183" dataCellStyle="Normal 2 2">
      <calculatedColumnFormula>Q7*28*1.35</calculatedColumnFormula>
    </tableColumn>
    <tableColumn id="34" xr3:uid="{00000000-0010-0000-1F00-000022000000}" name="Replaceble Filter Drier " dataDxfId="182" dataCellStyle="Normal 2 2">
      <calculatedColumnFormula>110*1.35*PPH_Data_Base28[[#This Row],[No. of Unit  Compressors]]</calculatedColumnFormula>
    </tableColumn>
    <tableColumn id="90" xr3:uid="{00000000-0010-0000-1F00-00005A000000}" name="Isolating Valves Before Filter" dataDxfId="181" dataCellStyle="Normal 2 2">
      <calculatedColumnFormula>140*1.35*PPH_Data_Base28[[#This Row],[No. of Unit  Compressors]]</calculatedColumnFormula>
    </tableColumn>
    <tableColumn id="36" xr3:uid="{00000000-0010-0000-1F00-000024000000}" name="Discharge Shut Off Valve " dataDxfId="180" dataCellStyle="Normal 2 2">
      <calculatedColumnFormula>180*1.35*PPH_Data_Base28[[#This Row],[No. of Unit  Compressors]]</calculatedColumnFormula>
    </tableColumn>
    <tableColumn id="112" xr3:uid="{00000000-0010-0000-1F00-000070000000}" name="Liquid line solenoid valve &amp; Liquid line shut off valve for Below 5 HP Compressor" dataDxfId="179" dataCellStyle="Normal 2 2"/>
    <tableColumn id="40" xr3:uid="{00000000-0010-0000-1F00-000028000000}" name="Suction Line Accumulator" dataDxfId="178" dataCellStyle="Normal 2 2">
      <calculatedColumnFormula>160*1.35*PPH_Data_Base28[[#This Row],[No. of Unit  Compressors]]</calculatedColumnFormula>
    </tableColumn>
    <tableColumn id="102" xr3:uid="{00000000-0010-0000-1F00-000066000000}" name="Liquid Receiver" dataDxfId="177" dataCellStyle="Normal 2 2"/>
    <tableColumn id="55" xr3:uid="{00000000-0010-0000-1F00-000037000000}" name="Hot Gas By Pass For Lead Compressor." dataDxfId="176" dataCellStyle="Normal 2 2"/>
    <tableColumn id="68" xr3:uid="{00000000-0010-0000-1F00-000044000000}" name="Heat Pump (100%)" dataDxfId="175" dataCellStyle="Normal 2 2">
      <calculatedColumnFormula>PPH_Data_Base28[[#This Row],[PPH Unit Basic Price With Cu Tube]]*0.35</calculatedColumnFormula>
    </tableColumn>
    <tableColumn id="32" xr3:uid="{00000000-0010-0000-1F00-000020000000}" name="Electronic Expansion Valve" dataDxfId="174" dataCellStyle="Normal 2 2">
      <calculatedColumnFormula>$L$252*1.35*PPH_Data_Base28[[#This Row],[No. of Unit  Compressors]]</calculatedColumnFormula>
    </tableColumn>
    <tableColumn id="108" xr3:uid="{00000000-0010-0000-1F00-00006C000000}" name="Compressor Jacket" dataDxfId="173" dataCellStyle="Normal 2 2"/>
    <tableColumn id="127" xr3:uid="{00000000-0010-0000-1F00-00007F000000}" name="USA Copeland Comp." dataDxfId="172" dataCellStyle="Normal 2 2"/>
    <tableColumn id="35" xr3:uid="{00000000-0010-0000-1F00-000023000000}" name="Sound Jacket " dataDxfId="171" dataCellStyle="Normal 2 2">
      <calculatedColumnFormula>400*1.35*PPH_Data_Base28[[#This Row],[No. of Unit  Compressors]]</calculatedColumnFormula>
    </tableColumn>
    <tableColumn id="146" xr3:uid="{00000000-0010-0000-1F00-000092000000}" name="Electrical" dataDxfId="170" dataCellStyle="Normal 2 2"/>
    <tableColumn id="25" xr3:uid="{00000000-0010-0000-1F00-000019000000}" name="External Oveload For Each Compressor" dataDxfId="169" dataCellStyle="Normal 2 2">
      <calculatedColumnFormula>47*PPH_Data_Base28[[#This Row],[No. of Unit  Compressors]]*1.35</calculatedColumnFormula>
    </tableColumn>
    <tableColumn id="26" xr3:uid="{00000000-0010-0000-1F00-00001A000000}" name="External Oveload For Each CFM" dataDxfId="168" dataCellStyle="Normal 2 2">
      <calculatedColumnFormula>30*1.35*PPH_Data_Base28[[#This Row],[NO Condenser Fans]]</calculatedColumnFormula>
    </tableColumn>
    <tableColumn id="66" xr3:uid="{00000000-0010-0000-1F00-000042000000}" name="External Oveload For Evaporator Fan Motor" dataDxfId="167" dataCellStyle="Normal 2 2">
      <calculatedColumnFormula>INDEX($B$136:$F$154,MATCH(PPH_Data_Base28[[#This Row],[STD Supply Fan Motor]],$B$136:$B$154,0),5)*PPH_Data_Base28[[#This Row],[Fan QTY]]</calculatedColumnFormula>
    </tableColumn>
    <tableColumn id="27" xr3:uid="{00000000-0010-0000-1F00-00001B000000}" name="Circuit Breaker For Each Compressor" dataDxfId="166" dataCellStyle="Normal 2 2">
      <calculatedColumnFormula>47*1.35*PPH_Data_Base28[[#This Row],[No. of Unit  Compressors]]</calculatedColumnFormula>
    </tableColumn>
    <tableColumn id="28" xr3:uid="{00000000-0010-0000-1F00-00001C000000}" name="Circuit Breaker For Each CFM" dataDxfId="165" dataCellStyle="Normal 2 2">
      <calculatedColumnFormula>28*PPH_Data_Base28[[#This Row],[NO Condenser Fans]]</calculatedColumnFormula>
    </tableColumn>
    <tableColumn id="67" xr3:uid="{00000000-0010-0000-1F00-000043000000}" name="Circuit Breaker For Evaporator Fan Motor" dataDxfId="164" dataCellStyle="Normal 2 2">
      <calculatedColumnFormula>INDEX($B$136:$F$154,MATCH(PPH_Data_Base28[[#This Row],[STD Supply Fan Motor]],$B$136:$B$154,0),3)*PPH_Data_Base28[[#This Row],[Fan QTY]]</calculatedColumnFormula>
    </tableColumn>
    <tableColumn id="109" xr3:uid="{00000000-0010-0000-1F00-00006D000000}" name="MMS For Each Compressor" dataDxfId="163" dataCellStyle="Normal 2 2"/>
    <tableColumn id="110" xr3:uid="{00000000-0010-0000-1F00-00006E000000}" name="MMS For Each CFM" dataDxfId="162" dataCellStyle="Normal 2 2">
      <calculatedColumnFormula>58*PPH_Data_Base28[[#This Row],[NO Condenser Fans]]</calculatedColumnFormula>
    </tableColumn>
    <tableColumn id="128" xr3:uid="{00000000-0010-0000-1F00-000080000000}" name="MMS For  Evaporator Motor" dataDxfId="161" dataCellStyle="Normal 2 2"/>
    <tableColumn id="24" xr3:uid="{00000000-0010-0000-1F00-000018000000}" name="Main Circuit Breaker" dataDxfId="160" dataCellStyle="Normal 2 2"/>
    <tableColumn id="29" xr3:uid="{00000000-0010-0000-1F00-00001D000000}" name="Main Disconnect Switch" dataDxfId="159" dataCellStyle="Normal 2 2"/>
    <tableColumn id="72" xr3:uid="{00000000-0010-0000-1F00-000048000000}" name="VFD For Lead Compressor" dataDxfId="158" dataCellStyle="Normal 2 2"/>
    <tableColumn id="73" xr3:uid="{00000000-0010-0000-1F00-000049000000}" name="VFD For All Compressors" dataDxfId="157" dataCellStyle="Normal 2 2"/>
    <tableColumn id="74" xr3:uid="{00000000-0010-0000-1F00-00004A000000}" name="VFD for Supply Fan Motor" dataDxfId="156" dataCellStyle="Normal 2 2"/>
    <tableColumn id="129" xr3:uid="{00000000-0010-0000-1F00-000081000000}" name="ADV Controller" dataDxfId="155" dataCellStyle="Normal 2 2"/>
    <tableColumn id="130" xr3:uid="{00000000-0010-0000-1F00-000082000000}" name="MPC Controller" dataDxfId="154" dataCellStyle="Normal 2 2"/>
    <tableColumn id="176" xr3:uid="{C33FF835-B38B-4030-86F1-A225A777F133}" name="ALC Controller With Touch Screen" dataDxfId="153" dataCellStyle="Normal 2 2"/>
    <tableColumn id="54" xr3:uid="{00000000-0010-0000-1F00-000036000000}" name="NEMA 4X For Electrical Panel" dataDxfId="152" dataCellStyle="Normal 2 2"/>
    <tableColumn id="161" xr3:uid="{490B37DC-19C8-497C-97F1-D38A471026B1}" name="NEMA 4X For Separate Control Panel" dataDxfId="151" dataCellStyle="Normal 2 2">
      <calculatedColumnFormula>PPH_Data_Base28[[#This Row],[NEMA 4X For Electrical Panel]]</calculatedColumnFormula>
    </tableColumn>
    <tableColumn id="103" xr3:uid="{00000000-0010-0000-1F00-000067000000}" name="NEMA 4X For Main Disconnect Switch Box" dataDxfId="150" dataCellStyle="Normal 2 2"/>
    <tableColumn id="175" xr3:uid="{47FD49D7-7C15-40F6-836B-9E9EC27C8DEA}" name="IP55 Electrical Panel" dataDxfId="149" dataCellStyle="Normal 2 2"/>
    <tableColumn id="75" xr3:uid="{00000000-0010-0000-1F00-00004B000000}" name="TEFC Condenser Fan Motors." dataDxfId="148" dataCellStyle="Normal 2 2">
      <calculatedColumnFormula>PPH_Data_Base28[[#This Row],[NO Condenser Fans]]*350</calculatedColumnFormula>
    </tableColumn>
    <tableColumn id="126" xr3:uid="{00000000-0010-0000-1F00-00007E000000}" name="EBM Brand Condenser Fans." dataDxfId="147" dataCellStyle="Normal 2 2"/>
    <tableColumn id="167" xr3:uid="{21243A6C-03CF-4FDC-8F90-84E352EC43C0}" name="EC Condenser Fans." dataDxfId="146" dataCellStyle="Normal 2 2">
      <calculatedColumnFormula>150*PPH_Data_Base28[[#This Row],[NO Condenser Fans]]</calculatedColumnFormula>
    </tableColumn>
    <tableColumn id="31" xr3:uid="{00000000-0010-0000-1F00-00001F000000}" name="Speed Regulator For CFM (Each V)" dataDxfId="145" dataCellStyle="Normal 2 2">
      <calculatedColumnFormula>720*1.35*PPH_Data_Base28[[#This Row],[NO Condenser Fans]]</calculatedColumnFormula>
    </tableColumn>
    <tableColumn id="168" xr3:uid="{DDDD74BA-28D2-4163-AB41-B9BE1F588E62}" name="Space Heater For Control Panel." dataDxfId="144" dataCellStyle="Normal 2 2"/>
    <tableColumn id="93" xr3:uid="{00000000-0010-0000-1F00-00005D000000}" name="Required Signals For SCECO Controls" dataDxfId="143" dataCellStyle="Normal 2 2"/>
    <tableColumn id="137" xr3:uid="{00000000-0010-0000-1F00-000089000000}" name="Earth Boss" dataDxfId="142" dataCellStyle="Normal 2 2"/>
    <tableColumn id="138" xr3:uid="{00000000-0010-0000-1F00-00008A000000}" name="Earth Leakage Relay" dataDxfId="141" dataCellStyle="Normal 2 2"/>
    <tableColumn id="132" xr3:uid="{00000000-0010-0000-1F00-000084000000}" name="General Alarm" dataDxfId="140" dataCellStyle="Normal 2 2"/>
    <tableColumn id="122" xr3:uid="{00000000-0010-0000-1F00-00007A000000}" name="Fire Inter Lock" dataDxfId="139" dataCellStyle="Normal 2 2"/>
    <tableColumn id="131" xr3:uid="{00000000-0010-0000-1F00-000083000000}" name="Fire Alarm" dataDxfId="138" dataCellStyle="Normal 2 2"/>
    <tableColumn id="153" xr3:uid="{00000000-0010-0000-1F00-000099000000}" name="Current Transformer For Compressors" dataDxfId="137" dataCellStyle="Normal 2 2"/>
    <tableColumn id="152" xr3:uid="{00000000-0010-0000-1F00-000098000000}" name="Current Transformer For Evaporator Fan Motor" dataDxfId="136" dataCellStyle="Normal 2 2"/>
    <tableColumn id="65" xr3:uid="{00000000-0010-0000-1F00-000041000000}" name="BACnet Card" dataDxfId="135" dataCellStyle="Normal 2 2"/>
    <tableColumn id="69" xr3:uid="{00000000-0010-0000-1F00-000045000000}" name="Automatic Change Over Function" dataDxfId="134" dataCellStyle="Normal 2 2"/>
    <tableColumn id="82" xr3:uid="{00000000-0010-0000-1F00-000052000000}" name="Extended Key Pad" dataDxfId="133" dataCellStyle="Normal 2 2"/>
    <tableColumn id="148" xr3:uid="{00000000-0010-0000-1F00-000094000000}" name="Anti Freeze Thermostat" dataDxfId="132" dataCellStyle="Normal 2 2"/>
    <tableColumn id="81" xr3:uid="{00000000-0010-0000-1F00-000051000000}" name="Manual Thermostat" dataDxfId="131" dataCellStyle="Normal 2 2"/>
    <tableColumn id="80" xr3:uid="{00000000-0010-0000-1F00-000050000000}" name="Digital Thermostat" dataDxfId="130" dataCellStyle="Normal 2 2"/>
    <tableColumn id="83" xr3:uid="{00000000-0010-0000-1F00-000053000000}" name="Programmable Thermostat " dataDxfId="129" dataCellStyle="Normal 2 2"/>
    <tableColumn id="104" xr3:uid="{00000000-0010-0000-1F00-000068000000}" name="Humidity Sensor" dataDxfId="128" dataCellStyle="Normal 2 2"/>
    <tableColumn id="149" xr3:uid="{00000000-0010-0000-1F00-000095000000}" name="Smoke Detector" dataDxfId="127" dataCellStyle="Normal 2 2"/>
    <tableColumn id="177" xr3:uid="{FB709EF3-7C85-4731-A4EF-5E17549499CB}" name="CO2 Secsor" dataDxfId="126" dataCellStyle="Normal 2 2"/>
    <tableColumn id="124" xr3:uid="{00000000-0010-0000-1F00-00007C000000}" name="Air Flow Siwtch" dataDxfId="125" dataCellStyle="Normal 2 2"/>
    <tableColumn id="125" xr3:uid="{00000000-0010-0000-1F00-00007D000000}" name="Free Terminals" dataDxfId="124" dataCellStyle="Normal 2 2"/>
    <tableColumn id="151" xr3:uid="{00000000-0010-0000-1F00-000097000000}" name="Emergency Switch" dataDxfId="123" dataCellStyle="Normal 2 2"/>
    <tableColumn id="150" xr3:uid="{00000000-0010-0000-1F00-000096000000}" name="Power Flow Switch" dataDxfId="122" dataCellStyle="Normal 2 2"/>
    <tableColumn id="160" xr3:uid="{6D9A6FE5-58D7-436F-BC4F-A091B8869EFB}" name="Differential Pressure Transmitter" dataDxfId="121" dataCellStyle="Normal 2 2"/>
    <tableColumn id="139" xr3:uid="{00000000-0010-0000-1F00-00008B000000}" name="Relays and solenoids are (70 C) rated." dataDxfId="120" dataCellStyle="Normal 2 2"/>
    <tableColumn id="147" xr3:uid="{00000000-0010-0000-1F00-000093000000}" name="Accessory" dataDxfId="119" dataCellStyle="Normal 2 2"/>
    <tableColumn id="38" xr3:uid="{00000000-0010-0000-1F00-000026000000}" name="1 Inch Spring Isolator Under Fan Motor" dataDxfId="118" dataCellStyle="Normal 2 2">
      <calculatedColumnFormula>4*50*1.35*PPH_Data_Base28[[#This Row],[Fan QTY]]</calculatedColumnFormula>
    </tableColumn>
    <tableColumn id="39" xr3:uid="{00000000-0010-0000-1F00-000027000000}" name="2 Inch Spring Isolator Under Fan Motor" dataDxfId="117" dataCellStyle="Normal 2 2">
      <calculatedColumnFormula>4*100*1.35*PPH_Data_Base28[[#This Row],[Fan QTY]]</calculatedColumnFormula>
    </tableColumn>
    <tableColumn id="107" xr3:uid="{00000000-0010-0000-1F00-00006B000000}" name="Rubber Pad Under Fan Motor" dataDxfId="116" dataCellStyle="Normal 2 2"/>
    <tableColumn id="88" xr3:uid="{00000000-0010-0000-1F00-000058000000}" name="Inspection Window For Filter Section" dataDxfId="115" dataCellStyle="Normal 2 2"/>
    <tableColumn id="89" xr3:uid="{00000000-0010-0000-1F00-000059000000}" name="Inspection Windows For Fan Section" dataDxfId="114" dataCellStyle="Normal 2 2"/>
    <tableColumn id="64" xr3:uid="{00000000-0010-0000-1F00-000040000000}" name="Bulkhead Light For Filter Section" dataDxfId="113" dataCellStyle="Normal 2 2"/>
    <tableColumn id="63" xr3:uid="{00000000-0010-0000-1F00-00003F000000}" name="Bulkhead Light For Fan Section" dataDxfId="112" dataCellStyle="Normal 2 2"/>
    <tableColumn id="105" xr3:uid="{00000000-0010-0000-1F00-000069000000}" name="Extended Lubrication Line For Fan Bearing." dataDxfId="111" dataCellStyle="Normal 2 2"/>
    <tableColumn id="106" xr3:uid="{00000000-0010-0000-1F00-00006A000000}" name="Belt Guard For Fan" dataDxfId="110" dataCellStyle="Normal 2 2"/>
    <tableColumn id="111" xr3:uid="{00000000-0010-0000-1F00-00006F000000}" name="Stainless Steel For Fan Shaft" dataDxfId="109" dataCellStyle="Normal 2 2"/>
    <tableColumn id="133" xr3:uid="{00000000-0010-0000-1F00-000085000000}" name=" Stainless steel_x000a_ 316 For Filter Frame" dataDxfId="108" dataCellStyle="Normal 2 2"/>
    <tableColumn id="134" xr3:uid="{00000000-0010-0000-1F00-000086000000}" name=" Stainless steel_x000a_ 304 For Filter Frame" dataDxfId="107" dataCellStyle="Normal 2 2"/>
    <tableColumn id="123" xr3:uid="{00000000-0010-0000-1F00-00007B000000}" name="Differential Pressure Switch" dataDxfId="106" dataCellStyle="Normal 2 2"/>
    <tableColumn id="154" xr3:uid="{00000000-0010-0000-1F00-00009A000000}" name="2XDifferential Pressure Switch" dataDxfId="105" dataCellStyle="Normal 2 2">
      <calculatedColumnFormula>PPH_Data_Base28[[#This Row],[Differential Pressure Switch]]*2</calculatedColumnFormula>
    </tableColumn>
    <tableColumn id="135" xr3:uid="{00000000-0010-0000-1F00-000087000000}" name="STD PETRA DIAL DIFF.PRESS.GAUGE NOT DWYER" dataDxfId="104" dataCellStyle="Normal 2 2"/>
    <tableColumn id="136" xr3:uid="{00000000-0010-0000-1F00-000088000000}" name="2X STD PETRA DIAL DIFF.PRESS.GAUGE NOT DWYER" dataDxfId="103" dataCellStyle="Normal 2 2"/>
    <tableColumn id="156" xr3:uid="{00000000-0010-0000-1F00-00009C000000}" name="Two Set of Spare Belt" dataDxfId="102" dataCellStyle="Normal 2 2"/>
    <tableColumn id="165" xr3:uid="{D9FE7EB4-0483-4371-92E0-D1E6F055073A}" name="One Set Of Filter Drier" dataDxfId="101" dataCellStyle="Normal 2 2">
      <calculatedColumnFormula>PPH_Data_Base28[[#This Row],[Replaceble Filter Drier ]]</calculatedColumnFormula>
    </tableColumn>
    <tableColumn id="164" xr3:uid="{4CD62D63-CC3E-4AC1-AE07-57B39DF8DA5F}" name="One Set Of Pre-Filter" dataDxfId="100" dataCellStyle="Normal 2 2">
      <calculatedColumnFormula>PPH_Data_Base28[[#This Row],[2" Pre-Filter]]*2</calculatedColumnFormula>
    </tableColumn>
    <tableColumn id="163" xr3:uid="{831DE5D9-BC1E-4DF5-9DB5-A499747973C8}" name="One Set Of Bag Filter." dataDxfId="99" dataCellStyle="Normal 2 2">
      <calculatedColumnFormula>PPH_Data_Base28[[#This Row],[Bag Filter EU-8]]</calculatedColumnFormula>
    </tableColumn>
    <tableColumn id="157" xr3:uid="{00000000-0010-0000-1F00-00009D000000}" name="SAES-K-002" dataDxfId="98" dataCellStyle="Normal 2 2"/>
    <tableColumn id="155" xr3:uid="{00000000-0010-0000-1F00-00009B000000}" name="S.S Name Plate" dataDxfId="97" dataCellStyle="Normal 2 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0000000}" name="Table33" displayName="Table33" ref="A1:CQ18" totalsRowShown="0" headerRowDxfId="96" dataDxfId="94" headerRowBorderDxfId="95" tableBorderDxfId="93">
  <autoFilter ref="A1:CQ18" xr:uid="{00000000-0009-0000-0100-000021000000}"/>
  <tableColumns count="95">
    <tableColumn id="1" xr3:uid="{00000000-0010-0000-2000-000001000000}" name="Model" dataDxfId="92"/>
    <tableColumn id="2" xr3:uid="{00000000-0010-0000-2000-000002000000}" name="Area ft2" dataDxfId="91"/>
    <tableColumn id="3" xr3:uid="{00000000-0010-0000-2000-000003000000}" name="MOTOR STD (Low)" dataDxfId="90"/>
    <tableColumn id="4" xr3:uid="{00000000-0010-0000-2000-000004000000}" name="STD Pirce (FF+CC+SF)" dataDxfId="89"/>
    <tableColumn id="5" xr3:uid="{00000000-0010-0000-2000-000005000000}" name="Mixing Box" dataDxfId="88"/>
    <tableColumn id="6" xr3:uid="{00000000-0010-0000-2000-000006000000}" name="Inlet Damper" dataDxfId="87"/>
    <tableColumn id="7" xr3:uid="{00000000-0010-0000-2000-000007000000}" name="Economizer" dataDxfId="86"/>
    <tableColumn id="8" xr3:uid="{00000000-0010-0000-2000-000008000000}" name="Rain Hood" dataDxfId="85"/>
    <tableColumn id="9" xr3:uid="{00000000-0010-0000-2000-000009000000}" name="Sand Trap Louver" dataDxfId="84"/>
    <tableColumn id="10" xr3:uid="{00000000-0010-0000-2000-00000A000000}" name="Bag Filter" dataDxfId="83"/>
    <tableColumn id="11" xr3:uid="{00000000-0010-0000-2000-00000B000000}" name="HEPA Filter" dataDxfId="82"/>
    <tableColumn id="12" xr3:uid="{00000000-0010-0000-2000-00000C000000}" name="Chemical Filter" dataDxfId="81"/>
    <tableColumn id="13" xr3:uid="{00000000-0010-0000-2000-00000D000000}" name="Carbon Filter (Flat Type)" dataDxfId="80"/>
    <tableColumn id="14" xr3:uid="{00000000-0010-0000-2000-00000E000000}" name="Chemical Filter 2STG" dataDxfId="79"/>
    <tableColumn id="15" xr3:uid="{00000000-0010-0000-2000-00000F000000}" name="UV Lamp" dataDxfId="78"/>
    <tableColumn id="16" xr3:uid="{00000000-0010-0000-2000-000010000000}" name="Access section Ecology" dataDxfId="77"/>
    <tableColumn id="17" xr3:uid="{00000000-0010-0000-2000-000011000000}" name="PVC Droplet" dataDxfId="76"/>
    <tableColumn id="18" xr3:uid="{00000000-0010-0000-2000-000012000000}" name="AL Droplet" dataDxfId="75"/>
    <tableColumn id="19" xr3:uid="{00000000-0010-0000-2000-000013000000}" name="ESP Filter (Without Washer)"/>
    <tableColumn id="20" xr3:uid="{00000000-0010-0000-2000-000014000000}" name="ESP Filter (WithWasher)"/>
    <tableColumn id="21" xr3:uid="{00000000-0010-0000-2000-000015000000}" name="Energy Wheel + (Return Fan)" dataDxfId="74"/>
    <tableColumn id="22" xr3:uid="{00000000-0010-0000-2000-000016000000}" name="Drain Pan SS 304" dataDxfId="73"/>
    <tableColumn id="23" xr3:uid="{00000000-0010-0000-2000-000017000000}" name="Drain Pan SS 316" dataDxfId="72"/>
    <tableColumn id="24" xr3:uid="{00000000-0010-0000-2000-000018000000}" name="Coil Frame SS" dataDxfId="71"/>
    <tableColumn id="25" xr3:uid="{00000000-0010-0000-2000-000019000000}" name="Filter Frame SS 304" dataDxfId="70"/>
    <tableColumn id="26" xr3:uid="{00000000-0010-0000-2000-00001A000000}" name="Filter Frame SS 316" dataDxfId="69"/>
    <tableColumn id="27" xr3:uid="{00000000-0010-0000-2000-00001B000000}" name="Inspection Win (Filter)" dataDxfId="68"/>
    <tableColumn id="28" xr3:uid="{00000000-0010-0000-2000-00001C000000}" name="Inspection Win (FAN)" dataDxfId="67"/>
    <tableColumn id="29" xr3:uid="{00000000-0010-0000-2000-00001D000000}" name="BulkH(Fan)" dataDxfId="66"/>
    <tableColumn id="30" xr3:uid="{00000000-0010-0000-2000-00001E000000}" name="BulkH(Filter)" dataDxfId="65"/>
    <tableColumn id="31" xr3:uid="{00000000-0010-0000-2000-00001F000000}" name="Spring Isolator 1&quot; Fan" dataDxfId="64"/>
    <tableColumn id="32" xr3:uid="{00000000-0010-0000-2000-000020000000}" name="Spring Isolator 2&quot; Fan" dataDxfId="63"/>
    <tableColumn id="33" xr3:uid="{00000000-0010-0000-2000-000021000000}" name="Belt Guard" dataDxfId="62"/>
    <tableColumn id="34" xr3:uid="{00000000-0010-0000-2000-000022000000}" name="EX lubricant Line" dataDxfId="61"/>
    <tableColumn id="35" xr3:uid="{00000000-0010-0000-2000-000023000000}" name="Diff Switch 1Fil" dataDxfId="60"/>
    <tableColumn id="36" xr3:uid="{00000000-0010-0000-2000-000024000000}" name="Diff Switch 2 Fil" dataDxfId="59"/>
    <tableColumn id="37" xr3:uid="{00000000-0010-0000-2000-000025000000}" name="Access Door" dataDxfId="58"/>
    <tableColumn id="38" xr3:uid="{00000000-0010-0000-2000-000026000000}" name="Roof Canopy" dataDxfId="57"/>
    <tableColumn id="39" xr3:uid="{00000000-0010-0000-2000-000027000000}" name="MMS For Evap" dataDxfId="56"/>
    <tableColumn id="40" xr3:uid="{00000000-0010-0000-2000-000028000000}" name="Dial Manometer 1Fil" dataDxfId="55"/>
    <tableColumn id="41" xr3:uid="{00000000-0010-0000-2000-000029000000}" name="Dial Manometer 2Fil" dataDxfId="54"/>
    <tableColumn id="42" xr3:uid="{00000000-0010-0000-2000-00002A000000}" name="Air Flow Switch" dataDxfId="53"/>
    <tableColumn id="43" xr3:uid="{00000000-0010-0000-2000-00002B000000}" name="S.S Bolt" dataDxfId="52"/>
    <tableColumn id="44" xr3:uid="{00000000-0010-0000-2000-00002C000000}" name="S.S. Name Plate" dataDxfId="51"/>
    <tableColumn id="45" xr3:uid="{00000000-0010-0000-2000-00002D000000}" name="Base Coated" dataDxfId="50"/>
    <tableColumn id="46" xr3:uid="{00000000-0010-0000-2000-00002E000000}" name="Access Door Wheel" dataDxfId="49"/>
    <tableColumn id="47" xr3:uid="{00000000-0010-0000-2000-00002F000000}" name="Bulk Head (Return Fan)" dataDxfId="48"/>
    <tableColumn id="48" xr3:uid="{00000000-0010-0000-2000-000030000000}" name="Pre Coated Fins" dataDxfId="47"/>
    <tableColumn id="49" xr3:uid="{00000000-0010-0000-2000-000031000000}" name="Copper Fins" dataDxfId="46"/>
    <tableColumn id="50" xr3:uid="{00000000-0010-0000-2000-000032000000}" name="1.5/1.0 mm STD" dataDxfId="45"/>
    <tableColumn id="51" xr3:uid="{00000000-0010-0000-2000-000033000000}" name="1.5/1.0 mm BAG" dataDxfId="44"/>
    <tableColumn id="52" xr3:uid="{00000000-0010-0000-2000-000034000000}" name="1.5/1.0 mm MIX" dataDxfId="43"/>
    <tableColumn id="53" xr3:uid="{00000000-0010-0000-2000-000035000000}" name="1.5/1.0 mm Eco" dataDxfId="42"/>
    <tableColumn id="54" xr3:uid="{00000000-0010-0000-2000-000036000000}" name="Motor Med ESP" dataDxfId="41"/>
    <tableColumn id="55" xr3:uid="{00000000-0010-0000-2000-000037000000}" name="Motor HIGH ESP" dataDxfId="40"/>
    <tableColumn id="56" xr3:uid="{00000000-0010-0000-2000-000038000000}" name="MMS Med Pirce" dataDxfId="39"/>
    <tableColumn id="57" xr3:uid="{00000000-0010-0000-2000-000039000000}" name="MMS HIGH Pirce" dataDxfId="38"/>
    <tableColumn id="58" xr3:uid="{00000000-0010-0000-2000-00003A000000}" name="Fan &amp; motor ESP Med Pirce" dataDxfId="37"/>
    <tableColumn id="59" xr3:uid="{00000000-0010-0000-2000-00003B000000}" name="Fan &amp; motor ESP HIGH Pirce" dataDxfId="36"/>
    <tableColumn id="60" xr3:uid="{00000000-0010-0000-2000-00003C000000}" name="VFD Low ESP" dataDxfId="35"/>
    <tableColumn id="61" xr3:uid="{00000000-0010-0000-2000-00003D000000}" name="VFD MED ESP" dataDxfId="34"/>
    <tableColumn id="62" xr3:uid="{00000000-0010-0000-2000-00003E000000}" name="VFD HIGH ESP" dataDxfId="33"/>
    <tableColumn id="63" xr3:uid="{00000000-0010-0000-2000-00003F000000}" name="2 Set Of Belt" dataDxfId="32"/>
    <tableColumn id="64" xr3:uid="{00000000-0010-0000-2000-000040000000}" name="Double Wall Drain Pan" dataDxfId="31"/>
    <tableColumn id="65" xr3:uid="{00000000-0010-0000-2000-000041000000}" name="Current Transformer Evap" dataDxfId="30"/>
    <tableColumn id="66" xr3:uid="{00000000-0010-0000-2000-000042000000}" name="Earth Boss" dataDxfId="29"/>
    <tableColumn id="67" xr3:uid="{00000000-0010-0000-2000-000043000000}" name="Basic Inner SkinCoating" dataDxfId="28"/>
    <tableColumn id="68" xr3:uid="{00000000-0010-0000-2000-000044000000}" name="Inner For Bag" dataDxfId="27"/>
    <tableColumn id="69" xr3:uid="{00000000-0010-0000-2000-000045000000}" name="Inner For Mixing" dataDxfId="26"/>
    <tableColumn id="70" xr3:uid="{00000000-0010-0000-2000-000046000000}" name="Inner For Econo" dataDxfId="25"/>
    <tableColumn id="71" xr3:uid="{00000000-0010-0000-2000-000047000000}" name="120 Micron paint FOR BAG FILTER" dataDxfId="24"/>
    <tableColumn id="72" xr3:uid="{00000000-0010-0000-2000-000048000000}" name="120 Micron paint FOR MIXING BOX" dataDxfId="23"/>
    <tableColumn id="73" xr3:uid="{00000000-0010-0000-2000-000049000000}" name="120 Micron paint FOR ECONOMIZER" dataDxfId="22"/>
    <tableColumn id="74" xr3:uid="{00000000-0010-0000-2000-00004A000000}" name="120 Micron paint FOR STD UNIT" dataDxfId="21"/>
    <tableColumn id="75" xr3:uid="{00000000-0010-0000-2000-00004B000000}" name="Plenum Fan" dataDxfId="20"/>
    <tableColumn id="76" xr3:uid="{00000000-0010-0000-2000-00004C000000}" name="Inspection Windows (Return Fan)" dataDxfId="19"/>
    <tableColumn id="77" xr3:uid="{00000000-0010-0000-2000-00004D000000}" name="Heat pipe Dehumi" dataDxfId="18"/>
    <tableColumn id="78" xr3:uid="{00000000-0010-0000-2000-00004E000000}" name="Diff Filter ( Return Fan)" dataDxfId="17"/>
    <tableColumn id="79" xr3:uid="{00000000-0010-0000-2000-00004F000000}" name="MANOMETER ( Return Fan)" dataDxfId="16"/>
    <tableColumn id="80" xr3:uid="{00000000-0010-0000-2000-000050000000}" name="Spring 1&quot;(Return Fan)" dataDxfId="15"/>
    <tableColumn id="81" xr3:uid="{00000000-0010-0000-2000-000051000000}" name="Spring 2&quot;(Return Fan)" dataDxfId="14"/>
    <tableColumn id="82" xr3:uid="{00000000-0010-0000-2000-000052000000}" name="Belt Guard (Return Fan)" dataDxfId="13"/>
    <tableColumn id="83" xr3:uid="{00000000-0010-0000-2000-000053000000}" name="Extended Lubricant (Return Fan)" dataDxfId="12"/>
    <tableColumn id="84" xr3:uid="{00000000-0010-0000-2000-000054000000}" name="Air Flow Siwtch (Return Fan)" dataDxfId="11"/>
    <tableColumn id="85" xr3:uid="{00000000-0010-0000-2000-000055000000}" name="1.5/1.0mm Wheel" dataDxfId="10"/>
    <tableColumn id="86" xr3:uid="{00000000-0010-0000-2000-000056000000}" name="Diffuser" dataDxfId="9"/>
    <tableColumn id="87" xr3:uid="{00000000-0010-0000-2000-000057000000}" name="Diffused 1.5/1.0 mm" dataDxfId="8"/>
    <tableColumn id="88" xr3:uid="{00000000-0010-0000-2000-000058000000}" name="STD(MB) $" dataDxfId="7"/>
    <tableColumn id="89" xr3:uid="{00000000-0010-0000-2000-000059000000}" name="STD(ID) $" dataDxfId="6"/>
    <tableColumn id="90" xr3:uid="{00000000-0010-0000-2000-00005A000000}" name="ARAMCO(MB) $" dataDxfId="5"/>
    <tableColumn id="91" xr3:uid="{00000000-0010-0000-2000-00005B000000}" name="ARAMCO(ID) $" dataDxfId="4"/>
    <tableColumn id="92" xr3:uid="{00000000-0010-0000-2000-00005C000000}" name="Chemical Filter Cells" dataDxfId="3"/>
    <tableColumn id="93" xr3:uid="{00000000-0010-0000-2000-00005D000000}" name="Energy Wheel QTY" dataDxfId="2"/>
    <tableColumn id="94" xr3:uid="{00000000-0010-0000-2000-00005E000000}" name="Energy Wheel Model" dataDxfId="1"/>
    <tableColumn id="95" xr3:uid="{00000000-0010-0000-2000-00005F000000}" name="E.W Correction"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 dockstate="right" visibility="0" width="350" row="8">
    <wetp:webextensionref xmlns:r="http://schemas.openxmlformats.org/officeDocument/2006/relationships" r:id="rId2"/>
  </wetp:taskpane>
  <wetp:taskpane dockstate="right" visibility="0" width="350" row="7">
    <wetp:webextensionref xmlns:r="http://schemas.openxmlformats.org/officeDocument/2006/relationships" r:id="rId3"/>
  </wetp:taskpane>
</wetp:taskpanes>
</file>

<file path=xl/webextensions/webextension1.xml><?xml version="1.0" encoding="utf-8"?>
<we:webextension xmlns:we="http://schemas.microsoft.com/office/webextensions/webextension/2010/11" id="{6F8E35C1-D6C5-4F08-839A-054AF2B89769}">
  <we:reference id="d277b149-59bc-44e7-ac9b-0a65d28ae425" version="1.0.0.7" store="EXCatalog" storeType="EXCatalog"/>
  <we:alternateReferences>
    <we:reference id="WA104380686" version="1.0.0.7" store="en-US"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6427772D-F66B-4723-9548-D22994A2C8D8}">
  <we:reference id="wa104380955" version="3.6.4.1" store="en-US" storeType="OMEX"/>
  <we:alternateReferences>
    <we:reference id="wa104380955" version="3.6.4.1" store="WA10438095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9DEA79C2-EB6C-43F1-9F92-4ACBC5B30957}">
  <we:reference id="wa104099688" version="1.3.0.0" store="en-U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Word_Document1.docx"/><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2.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4.emf"/><Relationship Id="rId50" Type="http://schemas.openxmlformats.org/officeDocument/2006/relationships/control" Target="../activeX/activeX24.xml"/><Relationship Id="rId55" Type="http://schemas.openxmlformats.org/officeDocument/2006/relationships/image" Target="../media/image28.emf"/><Relationship Id="rId7" Type="http://schemas.openxmlformats.org/officeDocument/2006/relationships/image" Target="../media/image4.emf"/><Relationship Id="rId2" Type="http://schemas.openxmlformats.org/officeDocument/2006/relationships/drawing" Target="../drawings/drawing2.xml"/><Relationship Id="rId16" Type="http://schemas.openxmlformats.org/officeDocument/2006/relationships/control" Target="../activeX/activeX7.xml"/><Relationship Id="rId29" Type="http://schemas.openxmlformats.org/officeDocument/2006/relationships/image" Target="../media/image15.emf"/><Relationship Id="rId11" Type="http://schemas.openxmlformats.org/officeDocument/2006/relationships/image" Target="../media/image6.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9.emf"/><Relationship Id="rId40" Type="http://schemas.openxmlformats.org/officeDocument/2006/relationships/control" Target="../activeX/activeX19.xml"/><Relationship Id="rId45" Type="http://schemas.openxmlformats.org/officeDocument/2006/relationships/image" Target="../media/image23.emf"/><Relationship Id="rId53" Type="http://schemas.openxmlformats.org/officeDocument/2006/relationships/image" Target="../media/image27.emf"/><Relationship Id="rId5" Type="http://schemas.openxmlformats.org/officeDocument/2006/relationships/image" Target="../media/image3.emf"/><Relationship Id="rId10" Type="http://schemas.openxmlformats.org/officeDocument/2006/relationships/control" Target="../activeX/activeX4.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4.emf"/><Relationship Id="rId30" Type="http://schemas.openxmlformats.org/officeDocument/2006/relationships/control" Target="../activeX/activeX14.xml"/><Relationship Id="rId35" Type="http://schemas.openxmlformats.org/officeDocument/2006/relationships/image" Target="../media/image18.emf"/><Relationship Id="rId43" Type="http://schemas.openxmlformats.org/officeDocument/2006/relationships/image" Target="../media/image22.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6.emf"/><Relationship Id="rId3" Type="http://schemas.openxmlformats.org/officeDocument/2006/relationships/vmlDrawing" Target="../drawings/vmlDrawing2.vml"/><Relationship Id="rId12" Type="http://schemas.openxmlformats.org/officeDocument/2006/relationships/control" Target="../activeX/activeX5.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21.emf"/><Relationship Id="rId54" Type="http://schemas.openxmlformats.org/officeDocument/2006/relationships/control" Target="../activeX/activeX26.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5.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29.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30.xml"/><Relationship Id="rId3" Type="http://schemas.openxmlformats.org/officeDocument/2006/relationships/vmlDrawing" Target="../drawings/vmlDrawing4.vml"/><Relationship Id="rId7" Type="http://schemas.openxmlformats.org/officeDocument/2006/relationships/image" Target="../media/image3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29.xml"/><Relationship Id="rId5" Type="http://schemas.openxmlformats.org/officeDocument/2006/relationships/image" Target="../media/image32.emf"/><Relationship Id="rId4" Type="http://schemas.openxmlformats.org/officeDocument/2006/relationships/control" Target="../activeX/activeX28.xml"/><Relationship Id="rId9" Type="http://schemas.openxmlformats.org/officeDocument/2006/relationships/image" Target="../media/image34.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3.xml"/><Relationship Id="rId3" Type="http://schemas.openxmlformats.org/officeDocument/2006/relationships/vmlDrawing" Target="../drawings/vmlDrawing5.vml"/><Relationship Id="rId7" Type="http://schemas.openxmlformats.org/officeDocument/2006/relationships/image" Target="../media/image33.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32.xml"/><Relationship Id="rId5" Type="http://schemas.openxmlformats.org/officeDocument/2006/relationships/image" Target="../media/image32.emf"/><Relationship Id="rId4" Type="http://schemas.openxmlformats.org/officeDocument/2006/relationships/control" Target="../activeX/activeX31.xml"/><Relationship Id="rId9" Type="http://schemas.openxmlformats.org/officeDocument/2006/relationships/image" Target="../media/image34.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6.xml"/><Relationship Id="rId3" Type="http://schemas.openxmlformats.org/officeDocument/2006/relationships/vmlDrawing" Target="../drawings/vmlDrawing6.vml"/><Relationship Id="rId7" Type="http://schemas.openxmlformats.org/officeDocument/2006/relationships/image" Target="../media/image33.emf"/><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ntrol" Target="../activeX/activeX35.xml"/><Relationship Id="rId5" Type="http://schemas.openxmlformats.org/officeDocument/2006/relationships/image" Target="../media/image35.emf"/><Relationship Id="rId4" Type="http://schemas.openxmlformats.org/officeDocument/2006/relationships/control" Target="../activeX/activeX34.xml"/><Relationship Id="rId9" Type="http://schemas.openxmlformats.org/officeDocument/2006/relationships/image" Target="../media/image32.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9.xml"/><Relationship Id="rId3" Type="http://schemas.openxmlformats.org/officeDocument/2006/relationships/vmlDrawing" Target="../drawings/vmlDrawing7.vml"/><Relationship Id="rId7" Type="http://schemas.openxmlformats.org/officeDocument/2006/relationships/image" Target="../media/image33.emf"/><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ntrol" Target="../activeX/activeX38.xml"/><Relationship Id="rId5" Type="http://schemas.openxmlformats.org/officeDocument/2006/relationships/image" Target="../media/image32.emf"/><Relationship Id="rId4" Type="http://schemas.openxmlformats.org/officeDocument/2006/relationships/control" Target="../activeX/activeX37.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42.xml"/><Relationship Id="rId3" Type="http://schemas.openxmlformats.org/officeDocument/2006/relationships/vmlDrawing" Target="../drawings/vmlDrawing8.vml"/><Relationship Id="rId7" Type="http://schemas.openxmlformats.org/officeDocument/2006/relationships/image" Target="../media/image33.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41.xml"/><Relationship Id="rId5" Type="http://schemas.openxmlformats.org/officeDocument/2006/relationships/image" Target="../media/image32.emf"/><Relationship Id="rId4" Type="http://schemas.openxmlformats.org/officeDocument/2006/relationships/control" Target="../activeX/activeX40.xml"/><Relationship Id="rId9" Type="http://schemas.openxmlformats.org/officeDocument/2006/relationships/image" Target="../media/image37.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5.xml"/><Relationship Id="rId13" Type="http://schemas.openxmlformats.org/officeDocument/2006/relationships/image" Target="../media/image42.emf"/><Relationship Id="rId3" Type="http://schemas.openxmlformats.org/officeDocument/2006/relationships/vmlDrawing" Target="../drawings/vmlDrawing9.vml"/><Relationship Id="rId7" Type="http://schemas.openxmlformats.org/officeDocument/2006/relationships/image" Target="../media/image39.emf"/><Relationship Id="rId12" Type="http://schemas.openxmlformats.org/officeDocument/2006/relationships/control" Target="../activeX/activeX4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44.xml"/><Relationship Id="rId11" Type="http://schemas.openxmlformats.org/officeDocument/2006/relationships/image" Target="../media/image41.emf"/><Relationship Id="rId5" Type="http://schemas.openxmlformats.org/officeDocument/2006/relationships/image" Target="../media/image38.emf"/><Relationship Id="rId10" Type="http://schemas.openxmlformats.org/officeDocument/2006/relationships/control" Target="../activeX/activeX46.xml"/><Relationship Id="rId4" Type="http://schemas.openxmlformats.org/officeDocument/2006/relationships/control" Target="../activeX/activeX43.xml"/><Relationship Id="rId9" Type="http://schemas.openxmlformats.org/officeDocument/2006/relationships/image" Target="../media/image40.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50.xml"/><Relationship Id="rId3" Type="http://schemas.openxmlformats.org/officeDocument/2006/relationships/vmlDrawing" Target="../drawings/vmlDrawing10.vml"/><Relationship Id="rId7" Type="http://schemas.openxmlformats.org/officeDocument/2006/relationships/image" Target="../media/image41.emf"/><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ntrol" Target="../activeX/activeX49.xml"/><Relationship Id="rId5" Type="http://schemas.openxmlformats.org/officeDocument/2006/relationships/image" Target="../media/image43.emf"/><Relationship Id="rId4" Type="http://schemas.openxmlformats.org/officeDocument/2006/relationships/control" Target="../activeX/activeX48.xml"/><Relationship Id="rId9" Type="http://schemas.openxmlformats.org/officeDocument/2006/relationships/image" Target="../media/image40.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53.xml"/><Relationship Id="rId3" Type="http://schemas.openxmlformats.org/officeDocument/2006/relationships/vmlDrawing" Target="../drawings/vmlDrawing11.vml"/><Relationship Id="rId7" Type="http://schemas.openxmlformats.org/officeDocument/2006/relationships/image" Target="../media/image41.emf"/><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ntrol" Target="../activeX/activeX52.xml"/><Relationship Id="rId5" Type="http://schemas.openxmlformats.org/officeDocument/2006/relationships/image" Target="../media/image44.emf"/><Relationship Id="rId4" Type="http://schemas.openxmlformats.org/officeDocument/2006/relationships/control" Target="../activeX/activeX51.xml"/><Relationship Id="rId9" Type="http://schemas.openxmlformats.org/officeDocument/2006/relationships/image" Target="../media/image40.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56.xml"/><Relationship Id="rId13" Type="http://schemas.openxmlformats.org/officeDocument/2006/relationships/image" Target="../media/image47.emf"/><Relationship Id="rId3" Type="http://schemas.openxmlformats.org/officeDocument/2006/relationships/vmlDrawing" Target="../drawings/vmlDrawing12.vml"/><Relationship Id="rId7" Type="http://schemas.openxmlformats.org/officeDocument/2006/relationships/image" Target="../media/image46.emf"/><Relationship Id="rId12" Type="http://schemas.openxmlformats.org/officeDocument/2006/relationships/control" Target="../activeX/activeX58.x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ntrol" Target="../activeX/activeX55.xml"/><Relationship Id="rId11" Type="http://schemas.openxmlformats.org/officeDocument/2006/relationships/image" Target="../media/image41.emf"/><Relationship Id="rId5" Type="http://schemas.openxmlformats.org/officeDocument/2006/relationships/image" Target="../media/image45.emf"/><Relationship Id="rId10" Type="http://schemas.openxmlformats.org/officeDocument/2006/relationships/control" Target="../activeX/activeX57.xml"/><Relationship Id="rId4" Type="http://schemas.openxmlformats.org/officeDocument/2006/relationships/control" Target="../activeX/activeX54.xml"/><Relationship Id="rId9" Type="http://schemas.openxmlformats.org/officeDocument/2006/relationships/image" Target="../media/image40.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13.vml"/><Relationship Id="rId7" Type="http://schemas.openxmlformats.org/officeDocument/2006/relationships/image" Target="../media/image33.emf"/><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ntrol" Target="../activeX/activeX60.xml"/><Relationship Id="rId5" Type="http://schemas.openxmlformats.org/officeDocument/2006/relationships/image" Target="../media/image32.emf"/><Relationship Id="rId4" Type="http://schemas.openxmlformats.org/officeDocument/2006/relationships/control" Target="../activeX/activeX59.xml"/><Relationship Id="rId9" Type="http://schemas.openxmlformats.org/officeDocument/2006/relationships/image" Target="../media/image48.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14.vml"/><Relationship Id="rId7" Type="http://schemas.openxmlformats.org/officeDocument/2006/relationships/image" Target="../media/image33.emf"/><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ntrol" Target="../activeX/activeX63.xml"/><Relationship Id="rId5" Type="http://schemas.openxmlformats.org/officeDocument/2006/relationships/image" Target="../media/image49.emf"/><Relationship Id="rId4" Type="http://schemas.openxmlformats.org/officeDocument/2006/relationships/control" Target="../activeX/activeX62.xml"/><Relationship Id="rId9" Type="http://schemas.openxmlformats.org/officeDocument/2006/relationships/image" Target="../media/image32.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15.vml"/><Relationship Id="rId7" Type="http://schemas.openxmlformats.org/officeDocument/2006/relationships/image" Target="../media/image33.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66.xml"/><Relationship Id="rId5" Type="http://schemas.openxmlformats.org/officeDocument/2006/relationships/image" Target="../media/image50.emf"/><Relationship Id="rId4" Type="http://schemas.openxmlformats.org/officeDocument/2006/relationships/control" Target="../activeX/activeX65.xml"/><Relationship Id="rId9" Type="http://schemas.openxmlformats.org/officeDocument/2006/relationships/image" Target="../media/image32.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16.vml"/><Relationship Id="rId7" Type="http://schemas.openxmlformats.org/officeDocument/2006/relationships/image" Target="../media/image33.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69.xml"/><Relationship Id="rId5" Type="http://schemas.openxmlformats.org/officeDocument/2006/relationships/image" Target="../media/image51.emf"/><Relationship Id="rId4" Type="http://schemas.openxmlformats.org/officeDocument/2006/relationships/control" Target="../activeX/activeX68.xml"/><Relationship Id="rId9" Type="http://schemas.openxmlformats.org/officeDocument/2006/relationships/image" Target="../media/image32.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17.vml"/><Relationship Id="rId7" Type="http://schemas.openxmlformats.org/officeDocument/2006/relationships/image" Target="../media/image41.emf"/><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ntrol" Target="../activeX/activeX72.xml"/><Relationship Id="rId5" Type="http://schemas.openxmlformats.org/officeDocument/2006/relationships/image" Target="../media/image52.emf"/><Relationship Id="rId4" Type="http://schemas.openxmlformats.org/officeDocument/2006/relationships/control" Target="../activeX/activeX71.xml"/><Relationship Id="rId9" Type="http://schemas.openxmlformats.org/officeDocument/2006/relationships/image" Target="../media/image40.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76.xml"/><Relationship Id="rId3" Type="http://schemas.openxmlformats.org/officeDocument/2006/relationships/vmlDrawing" Target="../drawings/vmlDrawing18.vml"/><Relationship Id="rId7" Type="http://schemas.openxmlformats.org/officeDocument/2006/relationships/image" Target="../media/image33.emf"/><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ntrol" Target="../activeX/activeX75.xml"/><Relationship Id="rId5" Type="http://schemas.openxmlformats.org/officeDocument/2006/relationships/image" Target="../media/image53.emf"/><Relationship Id="rId4" Type="http://schemas.openxmlformats.org/officeDocument/2006/relationships/control" Target="../activeX/activeX74.xml"/><Relationship Id="rId9" Type="http://schemas.openxmlformats.org/officeDocument/2006/relationships/image" Target="../media/image54.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vmlDrawing" Target="../drawings/vmlDrawing19.vml"/><Relationship Id="rId7" Type="http://schemas.openxmlformats.org/officeDocument/2006/relationships/image" Target="../media/image33.emf"/><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ntrol" Target="../activeX/activeX78.xml"/><Relationship Id="rId5" Type="http://schemas.openxmlformats.org/officeDocument/2006/relationships/image" Target="../media/image32.emf"/><Relationship Id="rId4" Type="http://schemas.openxmlformats.org/officeDocument/2006/relationships/control" Target="../activeX/activeX77.xml"/><Relationship Id="rId9"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82.xml"/><Relationship Id="rId3" Type="http://schemas.openxmlformats.org/officeDocument/2006/relationships/vmlDrawing" Target="../drawings/vmlDrawing20.vml"/><Relationship Id="rId7" Type="http://schemas.openxmlformats.org/officeDocument/2006/relationships/image" Target="../media/image33.emf"/><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ntrol" Target="../activeX/activeX81.xml"/><Relationship Id="rId5" Type="http://schemas.openxmlformats.org/officeDocument/2006/relationships/image" Target="../media/image56.emf"/><Relationship Id="rId4" Type="http://schemas.openxmlformats.org/officeDocument/2006/relationships/control" Target="../activeX/activeX80.xml"/><Relationship Id="rId9" Type="http://schemas.openxmlformats.org/officeDocument/2006/relationships/image" Target="../media/image32.emf"/></Relationships>
</file>

<file path=xl/worksheets/_rels/sheet27.xml.rels><?xml version="1.0" encoding="UTF-8" standalone="yes"?>
<Relationships xmlns="http://schemas.openxmlformats.org/package/2006/relationships"><Relationship Id="rId8" Type="http://schemas.openxmlformats.org/officeDocument/2006/relationships/control" Target="../activeX/activeX85.xml"/><Relationship Id="rId3" Type="http://schemas.openxmlformats.org/officeDocument/2006/relationships/vmlDrawing" Target="../drawings/vmlDrawing21.vml"/><Relationship Id="rId7" Type="http://schemas.openxmlformats.org/officeDocument/2006/relationships/image" Target="../media/image33.emf"/><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ntrol" Target="../activeX/activeX84.xml"/><Relationship Id="rId5" Type="http://schemas.openxmlformats.org/officeDocument/2006/relationships/image" Target="../media/image56.emf"/><Relationship Id="rId4" Type="http://schemas.openxmlformats.org/officeDocument/2006/relationships/control" Target="../activeX/activeX83.xml"/><Relationship Id="rId9" Type="http://schemas.openxmlformats.org/officeDocument/2006/relationships/image" Target="../media/image54.emf"/></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88.xml"/><Relationship Id="rId3" Type="http://schemas.openxmlformats.org/officeDocument/2006/relationships/vmlDrawing" Target="../drawings/vmlDrawing22.vml"/><Relationship Id="rId7" Type="http://schemas.openxmlformats.org/officeDocument/2006/relationships/image" Target="../media/image33.emf"/><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ntrol" Target="../activeX/activeX87.xml"/><Relationship Id="rId5" Type="http://schemas.openxmlformats.org/officeDocument/2006/relationships/image" Target="../media/image57.emf"/><Relationship Id="rId4" Type="http://schemas.openxmlformats.org/officeDocument/2006/relationships/control" Target="../activeX/activeX86.xml"/><Relationship Id="rId9" Type="http://schemas.openxmlformats.org/officeDocument/2006/relationships/image" Target="../media/image32.emf"/></Relationships>
</file>

<file path=xl/worksheets/_rels/sheet29.x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control" Target="../activeX/activeX89.xml"/><Relationship Id="rId7" Type="http://schemas.openxmlformats.org/officeDocument/2006/relationships/control" Target="../activeX/activeX91.xml"/><Relationship Id="rId2" Type="http://schemas.openxmlformats.org/officeDocument/2006/relationships/vmlDrawing" Target="../drawings/vmlDrawing23.vml"/><Relationship Id="rId1" Type="http://schemas.openxmlformats.org/officeDocument/2006/relationships/drawing" Target="../drawings/drawing25.xml"/><Relationship Id="rId6" Type="http://schemas.openxmlformats.org/officeDocument/2006/relationships/image" Target="../media/image33.emf"/><Relationship Id="rId5" Type="http://schemas.openxmlformats.org/officeDocument/2006/relationships/control" Target="../activeX/activeX90.xml"/><Relationship Id="rId4" Type="http://schemas.openxmlformats.org/officeDocument/2006/relationships/image" Target="../media/image58.emf"/></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94.xml"/><Relationship Id="rId3" Type="http://schemas.openxmlformats.org/officeDocument/2006/relationships/vmlDrawing" Target="../drawings/vmlDrawing24.vml"/><Relationship Id="rId7" Type="http://schemas.openxmlformats.org/officeDocument/2006/relationships/image" Target="../media/image33.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93.xml"/><Relationship Id="rId5" Type="http://schemas.openxmlformats.org/officeDocument/2006/relationships/image" Target="../media/image59.emf"/><Relationship Id="rId4" Type="http://schemas.openxmlformats.org/officeDocument/2006/relationships/control" Target="../activeX/activeX92.xml"/><Relationship Id="rId9" Type="http://schemas.openxmlformats.org/officeDocument/2006/relationships/image" Target="../media/image32.emf"/></Relationships>
</file>

<file path=xl/worksheets/_rels/sheet31.xml.rels><?xml version="1.0" encoding="UTF-8" standalone="yes"?>
<Relationships xmlns="http://schemas.openxmlformats.org/package/2006/relationships"><Relationship Id="rId8" Type="http://schemas.openxmlformats.org/officeDocument/2006/relationships/control" Target="../activeX/activeX97.xml"/><Relationship Id="rId3" Type="http://schemas.openxmlformats.org/officeDocument/2006/relationships/vmlDrawing" Target="../drawings/vmlDrawing25.vml"/><Relationship Id="rId7" Type="http://schemas.openxmlformats.org/officeDocument/2006/relationships/image" Target="../media/image33.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96.xml"/><Relationship Id="rId5" Type="http://schemas.openxmlformats.org/officeDocument/2006/relationships/image" Target="../media/image59.emf"/><Relationship Id="rId4" Type="http://schemas.openxmlformats.org/officeDocument/2006/relationships/control" Target="../activeX/activeX95.xml"/><Relationship Id="rId9" Type="http://schemas.openxmlformats.org/officeDocument/2006/relationships/image" Target="../media/image32.emf"/></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00.xml"/><Relationship Id="rId3" Type="http://schemas.openxmlformats.org/officeDocument/2006/relationships/vmlDrawing" Target="../drawings/vmlDrawing26.vml"/><Relationship Id="rId7" Type="http://schemas.openxmlformats.org/officeDocument/2006/relationships/image" Target="../media/image33.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99.xml"/><Relationship Id="rId5" Type="http://schemas.openxmlformats.org/officeDocument/2006/relationships/image" Target="../media/image60.emf"/><Relationship Id="rId4" Type="http://schemas.openxmlformats.org/officeDocument/2006/relationships/control" Target="../activeX/activeX98.xml"/><Relationship Id="rId9" Type="http://schemas.openxmlformats.org/officeDocument/2006/relationships/image" Target="../media/image32.emf"/></Relationships>
</file>

<file path=xl/worksheets/_rels/sheet33.xml.rels><?xml version="1.0" encoding="UTF-8" standalone="yes"?>
<Relationships xmlns="http://schemas.openxmlformats.org/package/2006/relationships"><Relationship Id="rId8" Type="http://schemas.openxmlformats.org/officeDocument/2006/relationships/package" Target="../embeddings/Microsoft_Word_Document4.docx"/><Relationship Id="rId3" Type="http://schemas.openxmlformats.org/officeDocument/2006/relationships/vmlDrawing" Target="../drawings/vmlDrawing27.vml"/><Relationship Id="rId7" Type="http://schemas.openxmlformats.org/officeDocument/2006/relationships/image" Target="../media/image62.emf"/><Relationship Id="rId12" Type="http://schemas.openxmlformats.org/officeDocument/2006/relationships/package" Target="../embeddings/Microsoft_Word_Document6.docx"/><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package" Target="../embeddings/Microsoft_Word_Document3.docx"/><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package" Target="../embeddings/Microsoft_Word_Document5.docx"/><Relationship Id="rId4" Type="http://schemas.openxmlformats.org/officeDocument/2006/relationships/package" Target="../embeddings/Microsoft_Word_Document2.docx"/><Relationship Id="rId9" Type="http://schemas.openxmlformats.org/officeDocument/2006/relationships/image" Target="../media/image63.emf"/></Relationships>
</file>

<file path=xl/worksheets/_rels/sheet34.xml.rels><?xml version="1.0" encoding="UTF-8" standalone="yes"?>
<Relationships xmlns="http://schemas.openxmlformats.org/package/2006/relationships"><Relationship Id="rId13" Type="http://schemas.openxmlformats.org/officeDocument/2006/relationships/image" Target="../media/image69.emf"/><Relationship Id="rId18" Type="http://schemas.openxmlformats.org/officeDocument/2006/relationships/control" Target="../activeX/activeX108.xml"/><Relationship Id="rId26" Type="http://schemas.openxmlformats.org/officeDocument/2006/relationships/control" Target="../activeX/activeX112.xml"/><Relationship Id="rId39" Type="http://schemas.openxmlformats.org/officeDocument/2006/relationships/image" Target="../media/image79.emf"/><Relationship Id="rId21" Type="http://schemas.openxmlformats.org/officeDocument/2006/relationships/image" Target="../media/image73.emf"/><Relationship Id="rId34" Type="http://schemas.openxmlformats.org/officeDocument/2006/relationships/control" Target="../activeX/activeX116.xml"/><Relationship Id="rId42" Type="http://schemas.openxmlformats.org/officeDocument/2006/relationships/control" Target="../activeX/activeX120.xml"/><Relationship Id="rId47" Type="http://schemas.openxmlformats.org/officeDocument/2006/relationships/image" Target="../media/image83.emf"/><Relationship Id="rId50" Type="http://schemas.openxmlformats.org/officeDocument/2006/relationships/control" Target="../activeX/activeX124.xml"/><Relationship Id="rId7" Type="http://schemas.openxmlformats.org/officeDocument/2006/relationships/image" Target="../media/image66.emf"/><Relationship Id="rId2" Type="http://schemas.openxmlformats.org/officeDocument/2006/relationships/drawing" Target="../drawings/drawing30.xml"/><Relationship Id="rId16" Type="http://schemas.openxmlformats.org/officeDocument/2006/relationships/control" Target="../activeX/activeX107.xml"/><Relationship Id="rId29" Type="http://schemas.openxmlformats.org/officeDocument/2006/relationships/image" Target="../media/image13.emf"/><Relationship Id="rId11" Type="http://schemas.openxmlformats.org/officeDocument/2006/relationships/image" Target="../media/image68.emf"/><Relationship Id="rId24" Type="http://schemas.openxmlformats.org/officeDocument/2006/relationships/control" Target="../activeX/activeX111.xml"/><Relationship Id="rId32" Type="http://schemas.openxmlformats.org/officeDocument/2006/relationships/control" Target="../activeX/activeX115.xml"/><Relationship Id="rId37" Type="http://schemas.openxmlformats.org/officeDocument/2006/relationships/image" Target="../media/image78.emf"/><Relationship Id="rId40" Type="http://schemas.openxmlformats.org/officeDocument/2006/relationships/control" Target="../activeX/activeX119.xml"/><Relationship Id="rId45" Type="http://schemas.openxmlformats.org/officeDocument/2006/relationships/image" Target="../media/image82.emf"/><Relationship Id="rId53" Type="http://schemas.openxmlformats.org/officeDocument/2006/relationships/image" Target="../media/image86.emf"/><Relationship Id="rId5" Type="http://schemas.openxmlformats.org/officeDocument/2006/relationships/image" Target="../media/image65.emf"/><Relationship Id="rId10" Type="http://schemas.openxmlformats.org/officeDocument/2006/relationships/control" Target="../activeX/activeX104.xml"/><Relationship Id="rId19" Type="http://schemas.openxmlformats.org/officeDocument/2006/relationships/image" Target="../media/image72.emf"/><Relationship Id="rId31" Type="http://schemas.openxmlformats.org/officeDocument/2006/relationships/image" Target="../media/image12.emf"/><Relationship Id="rId44" Type="http://schemas.openxmlformats.org/officeDocument/2006/relationships/control" Target="../activeX/activeX121.xml"/><Relationship Id="rId52" Type="http://schemas.openxmlformats.org/officeDocument/2006/relationships/control" Target="../activeX/activeX125.xml"/><Relationship Id="rId4" Type="http://schemas.openxmlformats.org/officeDocument/2006/relationships/control" Target="../activeX/activeX101.xml"/><Relationship Id="rId9" Type="http://schemas.openxmlformats.org/officeDocument/2006/relationships/image" Target="../media/image67.emf"/><Relationship Id="rId14" Type="http://schemas.openxmlformats.org/officeDocument/2006/relationships/control" Target="../activeX/activeX106.xml"/><Relationship Id="rId22" Type="http://schemas.openxmlformats.org/officeDocument/2006/relationships/control" Target="../activeX/activeX110.xml"/><Relationship Id="rId27" Type="http://schemas.openxmlformats.org/officeDocument/2006/relationships/image" Target="../media/image76.emf"/><Relationship Id="rId30" Type="http://schemas.openxmlformats.org/officeDocument/2006/relationships/control" Target="../activeX/activeX114.xml"/><Relationship Id="rId35" Type="http://schemas.openxmlformats.org/officeDocument/2006/relationships/image" Target="../media/image10.emf"/><Relationship Id="rId43" Type="http://schemas.openxmlformats.org/officeDocument/2006/relationships/image" Target="../media/image81.emf"/><Relationship Id="rId48" Type="http://schemas.openxmlformats.org/officeDocument/2006/relationships/control" Target="../activeX/activeX123.xml"/><Relationship Id="rId8" Type="http://schemas.openxmlformats.org/officeDocument/2006/relationships/control" Target="../activeX/activeX103.xml"/><Relationship Id="rId51" Type="http://schemas.openxmlformats.org/officeDocument/2006/relationships/image" Target="../media/image85.emf"/><Relationship Id="rId3" Type="http://schemas.openxmlformats.org/officeDocument/2006/relationships/vmlDrawing" Target="../drawings/vmlDrawing28.vml"/><Relationship Id="rId12" Type="http://schemas.openxmlformats.org/officeDocument/2006/relationships/control" Target="../activeX/activeX105.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7.emf"/><Relationship Id="rId38" Type="http://schemas.openxmlformats.org/officeDocument/2006/relationships/control" Target="../activeX/activeX118.xml"/><Relationship Id="rId46" Type="http://schemas.openxmlformats.org/officeDocument/2006/relationships/control" Target="../activeX/activeX122.xml"/><Relationship Id="rId20" Type="http://schemas.openxmlformats.org/officeDocument/2006/relationships/control" Target="../activeX/activeX109.xml"/><Relationship Id="rId41" Type="http://schemas.openxmlformats.org/officeDocument/2006/relationships/image" Target="../media/image80.emf"/><Relationship Id="rId1" Type="http://schemas.openxmlformats.org/officeDocument/2006/relationships/printerSettings" Target="../printerSettings/printerSettings30.bin"/><Relationship Id="rId6" Type="http://schemas.openxmlformats.org/officeDocument/2006/relationships/control" Target="../activeX/activeX102.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113.xml"/><Relationship Id="rId36" Type="http://schemas.openxmlformats.org/officeDocument/2006/relationships/control" Target="../activeX/activeX117.xml"/><Relationship Id="rId49" Type="http://schemas.openxmlformats.org/officeDocument/2006/relationships/image" Target="../media/image84.emf"/></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3" Type="http://schemas.openxmlformats.org/officeDocument/2006/relationships/table" Target="../tables/table3.xml"/><Relationship Id="rId21" Type="http://schemas.openxmlformats.org/officeDocument/2006/relationships/table" Target="../tables/table21.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10" Type="http://schemas.openxmlformats.org/officeDocument/2006/relationships/table" Target="../tables/table10.xml"/><Relationship Id="rId19" Type="http://schemas.openxmlformats.org/officeDocument/2006/relationships/table" Target="../tables/table19.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126.xml"/><Relationship Id="rId2" Type="http://schemas.openxmlformats.org/officeDocument/2006/relationships/vmlDrawing" Target="../drawings/vmlDrawing29.vml"/><Relationship Id="rId1" Type="http://schemas.openxmlformats.org/officeDocument/2006/relationships/drawing" Target="../drawings/drawing32.xml"/><Relationship Id="rId4" Type="http://schemas.openxmlformats.org/officeDocument/2006/relationships/image" Target="../media/image89.emf"/></Relationships>
</file>

<file path=xl/worksheets/_rels/sheet40.xml.rels><?xml version="1.0" encoding="UTF-8" standalone="yes"?>
<Relationships xmlns="http://schemas.openxmlformats.org/package/2006/relationships"><Relationship Id="rId13" Type="http://schemas.openxmlformats.org/officeDocument/2006/relationships/image" Target="../media/image94.emf"/><Relationship Id="rId18" Type="http://schemas.openxmlformats.org/officeDocument/2006/relationships/control" Target="../activeX/activeX134.xml"/><Relationship Id="rId26" Type="http://schemas.openxmlformats.org/officeDocument/2006/relationships/control" Target="../activeX/activeX138.xml"/><Relationship Id="rId39" Type="http://schemas.openxmlformats.org/officeDocument/2006/relationships/image" Target="../media/image107.emf"/><Relationship Id="rId21" Type="http://schemas.openxmlformats.org/officeDocument/2006/relationships/image" Target="../media/image98.emf"/><Relationship Id="rId34" Type="http://schemas.openxmlformats.org/officeDocument/2006/relationships/control" Target="../activeX/activeX142.xml"/><Relationship Id="rId42" Type="http://schemas.openxmlformats.org/officeDocument/2006/relationships/control" Target="../activeX/activeX146.xml"/><Relationship Id="rId7" Type="http://schemas.openxmlformats.org/officeDocument/2006/relationships/image" Target="../media/image91.emf"/><Relationship Id="rId2" Type="http://schemas.openxmlformats.org/officeDocument/2006/relationships/drawing" Target="../drawings/drawing33.xml"/><Relationship Id="rId16" Type="http://schemas.openxmlformats.org/officeDocument/2006/relationships/control" Target="../activeX/activeX133.xml"/><Relationship Id="rId29" Type="http://schemas.openxmlformats.org/officeDocument/2006/relationships/image" Target="../media/image102.emf"/><Relationship Id="rId1" Type="http://schemas.openxmlformats.org/officeDocument/2006/relationships/printerSettings" Target="../printerSettings/printerSettings33.bin"/><Relationship Id="rId6" Type="http://schemas.openxmlformats.org/officeDocument/2006/relationships/control" Target="../activeX/activeX128.xml"/><Relationship Id="rId11" Type="http://schemas.openxmlformats.org/officeDocument/2006/relationships/image" Target="../media/image93.emf"/><Relationship Id="rId24" Type="http://schemas.openxmlformats.org/officeDocument/2006/relationships/control" Target="../activeX/activeX137.xml"/><Relationship Id="rId32" Type="http://schemas.openxmlformats.org/officeDocument/2006/relationships/control" Target="../activeX/activeX141.xml"/><Relationship Id="rId37" Type="http://schemas.openxmlformats.org/officeDocument/2006/relationships/image" Target="../media/image106.emf"/><Relationship Id="rId40" Type="http://schemas.openxmlformats.org/officeDocument/2006/relationships/control" Target="../activeX/activeX145.xml"/><Relationship Id="rId45" Type="http://schemas.openxmlformats.org/officeDocument/2006/relationships/image" Target="../media/image110.emf"/><Relationship Id="rId5" Type="http://schemas.openxmlformats.org/officeDocument/2006/relationships/image" Target="../media/image90.emf"/><Relationship Id="rId15" Type="http://schemas.openxmlformats.org/officeDocument/2006/relationships/image" Target="../media/image95.emf"/><Relationship Id="rId23" Type="http://schemas.openxmlformats.org/officeDocument/2006/relationships/image" Target="../media/image99.emf"/><Relationship Id="rId28" Type="http://schemas.openxmlformats.org/officeDocument/2006/relationships/control" Target="../activeX/activeX139.xml"/><Relationship Id="rId36" Type="http://schemas.openxmlformats.org/officeDocument/2006/relationships/control" Target="../activeX/activeX143.xml"/><Relationship Id="rId10" Type="http://schemas.openxmlformats.org/officeDocument/2006/relationships/control" Target="../activeX/activeX130.xml"/><Relationship Id="rId19" Type="http://schemas.openxmlformats.org/officeDocument/2006/relationships/image" Target="../media/image97.emf"/><Relationship Id="rId31" Type="http://schemas.openxmlformats.org/officeDocument/2006/relationships/image" Target="../media/image103.emf"/><Relationship Id="rId44" Type="http://schemas.openxmlformats.org/officeDocument/2006/relationships/control" Target="../activeX/activeX147.xml"/><Relationship Id="rId4" Type="http://schemas.openxmlformats.org/officeDocument/2006/relationships/control" Target="../activeX/activeX127.xml"/><Relationship Id="rId9" Type="http://schemas.openxmlformats.org/officeDocument/2006/relationships/image" Target="../media/image92.emf"/><Relationship Id="rId14" Type="http://schemas.openxmlformats.org/officeDocument/2006/relationships/control" Target="../activeX/activeX132.xml"/><Relationship Id="rId22" Type="http://schemas.openxmlformats.org/officeDocument/2006/relationships/control" Target="../activeX/activeX136.xml"/><Relationship Id="rId27" Type="http://schemas.openxmlformats.org/officeDocument/2006/relationships/image" Target="../media/image101.emf"/><Relationship Id="rId30" Type="http://schemas.openxmlformats.org/officeDocument/2006/relationships/control" Target="../activeX/activeX140.xml"/><Relationship Id="rId35" Type="http://schemas.openxmlformats.org/officeDocument/2006/relationships/image" Target="../media/image105.emf"/><Relationship Id="rId43" Type="http://schemas.openxmlformats.org/officeDocument/2006/relationships/image" Target="../media/image109.emf"/><Relationship Id="rId8" Type="http://schemas.openxmlformats.org/officeDocument/2006/relationships/control" Target="../activeX/activeX129.xml"/><Relationship Id="rId3" Type="http://schemas.openxmlformats.org/officeDocument/2006/relationships/vmlDrawing" Target="../drawings/vmlDrawing30.vml"/><Relationship Id="rId12" Type="http://schemas.openxmlformats.org/officeDocument/2006/relationships/control" Target="../activeX/activeX131.xml"/><Relationship Id="rId17" Type="http://schemas.openxmlformats.org/officeDocument/2006/relationships/image" Target="../media/image96.emf"/><Relationship Id="rId25" Type="http://schemas.openxmlformats.org/officeDocument/2006/relationships/image" Target="../media/image100.emf"/><Relationship Id="rId33" Type="http://schemas.openxmlformats.org/officeDocument/2006/relationships/image" Target="../media/image104.emf"/><Relationship Id="rId38" Type="http://schemas.openxmlformats.org/officeDocument/2006/relationships/control" Target="../activeX/activeX144.xml"/><Relationship Id="rId20" Type="http://schemas.openxmlformats.org/officeDocument/2006/relationships/control" Target="../activeX/activeX135.xml"/><Relationship Id="rId41" Type="http://schemas.openxmlformats.org/officeDocument/2006/relationships/image" Target="../media/image108.emf"/></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4.bin"/></Relationships>
</file>

<file path=xl/worksheets/_rels/sheet42.xml.rels><?xml version="1.0" encoding="UTF-8" standalone="yes"?>
<Relationships xmlns="http://schemas.openxmlformats.org/package/2006/relationships"><Relationship Id="rId13" Type="http://schemas.openxmlformats.org/officeDocument/2006/relationships/image" Target="../media/image117.emf"/><Relationship Id="rId18" Type="http://schemas.openxmlformats.org/officeDocument/2006/relationships/control" Target="../activeX/activeX155.xml"/><Relationship Id="rId26" Type="http://schemas.openxmlformats.org/officeDocument/2006/relationships/control" Target="../activeX/activeX159.xml"/><Relationship Id="rId39" Type="http://schemas.openxmlformats.org/officeDocument/2006/relationships/image" Target="../media/image130.emf"/><Relationship Id="rId21" Type="http://schemas.openxmlformats.org/officeDocument/2006/relationships/image" Target="../media/image121.emf"/><Relationship Id="rId34" Type="http://schemas.openxmlformats.org/officeDocument/2006/relationships/control" Target="../activeX/activeX163.xml"/><Relationship Id="rId42" Type="http://schemas.openxmlformats.org/officeDocument/2006/relationships/control" Target="../activeX/activeX167.xml"/><Relationship Id="rId47" Type="http://schemas.openxmlformats.org/officeDocument/2006/relationships/image" Target="../media/image134.emf"/><Relationship Id="rId7" Type="http://schemas.openxmlformats.org/officeDocument/2006/relationships/image" Target="../media/image114.emf"/><Relationship Id="rId2" Type="http://schemas.openxmlformats.org/officeDocument/2006/relationships/drawing" Target="../drawings/drawing34.xml"/><Relationship Id="rId16" Type="http://schemas.openxmlformats.org/officeDocument/2006/relationships/control" Target="../activeX/activeX154.xml"/><Relationship Id="rId29" Type="http://schemas.openxmlformats.org/officeDocument/2006/relationships/image" Target="../media/image125.emf"/><Relationship Id="rId1" Type="http://schemas.openxmlformats.org/officeDocument/2006/relationships/printerSettings" Target="../printerSettings/printerSettings35.bin"/><Relationship Id="rId6" Type="http://schemas.openxmlformats.org/officeDocument/2006/relationships/control" Target="../activeX/activeX149.xml"/><Relationship Id="rId11" Type="http://schemas.openxmlformats.org/officeDocument/2006/relationships/image" Target="../media/image116.emf"/><Relationship Id="rId24" Type="http://schemas.openxmlformats.org/officeDocument/2006/relationships/control" Target="../activeX/activeX158.xml"/><Relationship Id="rId32" Type="http://schemas.openxmlformats.org/officeDocument/2006/relationships/control" Target="../activeX/activeX162.xml"/><Relationship Id="rId37" Type="http://schemas.openxmlformats.org/officeDocument/2006/relationships/image" Target="../media/image129.emf"/><Relationship Id="rId40" Type="http://schemas.openxmlformats.org/officeDocument/2006/relationships/control" Target="../activeX/activeX166.xml"/><Relationship Id="rId45" Type="http://schemas.openxmlformats.org/officeDocument/2006/relationships/image" Target="../media/image133.emf"/><Relationship Id="rId5" Type="http://schemas.openxmlformats.org/officeDocument/2006/relationships/image" Target="../media/image113.emf"/><Relationship Id="rId15" Type="http://schemas.openxmlformats.org/officeDocument/2006/relationships/image" Target="../media/image118.emf"/><Relationship Id="rId23" Type="http://schemas.openxmlformats.org/officeDocument/2006/relationships/image" Target="../media/image122.emf"/><Relationship Id="rId28" Type="http://schemas.openxmlformats.org/officeDocument/2006/relationships/control" Target="../activeX/activeX160.xml"/><Relationship Id="rId36" Type="http://schemas.openxmlformats.org/officeDocument/2006/relationships/control" Target="../activeX/activeX164.xml"/><Relationship Id="rId10" Type="http://schemas.openxmlformats.org/officeDocument/2006/relationships/control" Target="../activeX/activeX151.xml"/><Relationship Id="rId19" Type="http://schemas.openxmlformats.org/officeDocument/2006/relationships/image" Target="../media/image120.emf"/><Relationship Id="rId31" Type="http://schemas.openxmlformats.org/officeDocument/2006/relationships/image" Target="../media/image126.emf"/><Relationship Id="rId44" Type="http://schemas.openxmlformats.org/officeDocument/2006/relationships/control" Target="../activeX/activeX168.xml"/><Relationship Id="rId4" Type="http://schemas.openxmlformats.org/officeDocument/2006/relationships/control" Target="../activeX/activeX148.xml"/><Relationship Id="rId9" Type="http://schemas.openxmlformats.org/officeDocument/2006/relationships/image" Target="../media/image115.emf"/><Relationship Id="rId14" Type="http://schemas.openxmlformats.org/officeDocument/2006/relationships/control" Target="../activeX/activeX153.xml"/><Relationship Id="rId22" Type="http://schemas.openxmlformats.org/officeDocument/2006/relationships/control" Target="../activeX/activeX157.xml"/><Relationship Id="rId27" Type="http://schemas.openxmlformats.org/officeDocument/2006/relationships/image" Target="../media/image124.emf"/><Relationship Id="rId30" Type="http://schemas.openxmlformats.org/officeDocument/2006/relationships/control" Target="../activeX/activeX161.xml"/><Relationship Id="rId35" Type="http://schemas.openxmlformats.org/officeDocument/2006/relationships/image" Target="../media/image128.emf"/><Relationship Id="rId43" Type="http://schemas.openxmlformats.org/officeDocument/2006/relationships/image" Target="../media/image132.emf"/><Relationship Id="rId8" Type="http://schemas.openxmlformats.org/officeDocument/2006/relationships/control" Target="../activeX/activeX150.xml"/><Relationship Id="rId3" Type="http://schemas.openxmlformats.org/officeDocument/2006/relationships/vmlDrawing" Target="../drawings/vmlDrawing32.vml"/><Relationship Id="rId12" Type="http://schemas.openxmlformats.org/officeDocument/2006/relationships/control" Target="../activeX/activeX152.xml"/><Relationship Id="rId17" Type="http://schemas.openxmlformats.org/officeDocument/2006/relationships/image" Target="../media/image119.emf"/><Relationship Id="rId25" Type="http://schemas.openxmlformats.org/officeDocument/2006/relationships/image" Target="../media/image123.emf"/><Relationship Id="rId33" Type="http://schemas.openxmlformats.org/officeDocument/2006/relationships/image" Target="../media/image127.emf"/><Relationship Id="rId38" Type="http://schemas.openxmlformats.org/officeDocument/2006/relationships/control" Target="../activeX/activeX165.xml"/><Relationship Id="rId46" Type="http://schemas.openxmlformats.org/officeDocument/2006/relationships/control" Target="../activeX/activeX169.xml"/><Relationship Id="rId20" Type="http://schemas.openxmlformats.org/officeDocument/2006/relationships/control" Target="../activeX/activeX156.xml"/><Relationship Id="rId41" Type="http://schemas.openxmlformats.org/officeDocument/2006/relationships/image" Target="../media/image131.emf"/></Relationships>
</file>

<file path=xl/worksheets/_rels/sheet4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117" Type="http://schemas.openxmlformats.org/officeDocument/2006/relationships/control" Target="../activeX/activeX232.xml"/><Relationship Id="rId21" Type="http://schemas.openxmlformats.org/officeDocument/2006/relationships/control" Target="../activeX/activeX179.xml"/><Relationship Id="rId42" Type="http://schemas.openxmlformats.org/officeDocument/2006/relationships/image" Target="../media/image153.emf"/><Relationship Id="rId63" Type="http://schemas.openxmlformats.org/officeDocument/2006/relationships/control" Target="../activeX/activeX200.xml"/><Relationship Id="rId84" Type="http://schemas.openxmlformats.org/officeDocument/2006/relationships/image" Target="../media/image174.emf"/><Relationship Id="rId138" Type="http://schemas.openxmlformats.org/officeDocument/2006/relationships/image" Target="../media/image195.emf"/><Relationship Id="rId159" Type="http://schemas.openxmlformats.org/officeDocument/2006/relationships/control" Target="../activeX/activeX254.xml"/><Relationship Id="rId170" Type="http://schemas.openxmlformats.org/officeDocument/2006/relationships/image" Target="../media/image211.emf"/><Relationship Id="rId191" Type="http://schemas.openxmlformats.org/officeDocument/2006/relationships/image" Target="../media/image220.emf"/><Relationship Id="rId205" Type="http://schemas.openxmlformats.org/officeDocument/2006/relationships/image" Target="../media/image227.emf"/><Relationship Id="rId226" Type="http://schemas.openxmlformats.org/officeDocument/2006/relationships/control" Target="../activeX/activeX289.xml"/><Relationship Id="rId107" Type="http://schemas.openxmlformats.org/officeDocument/2006/relationships/control" Target="../activeX/activeX226.xml"/><Relationship Id="rId11" Type="http://schemas.openxmlformats.org/officeDocument/2006/relationships/image" Target="../media/image138.emf"/><Relationship Id="rId32" Type="http://schemas.openxmlformats.org/officeDocument/2006/relationships/image" Target="../media/image148.emf"/><Relationship Id="rId53" Type="http://schemas.openxmlformats.org/officeDocument/2006/relationships/control" Target="../activeX/activeX195.xml"/><Relationship Id="rId74" Type="http://schemas.openxmlformats.org/officeDocument/2006/relationships/image" Target="../media/image169.emf"/><Relationship Id="rId128" Type="http://schemas.openxmlformats.org/officeDocument/2006/relationships/image" Target="../media/image190.emf"/><Relationship Id="rId149" Type="http://schemas.openxmlformats.org/officeDocument/2006/relationships/control" Target="../activeX/activeX249.xml"/><Relationship Id="rId5" Type="http://schemas.openxmlformats.org/officeDocument/2006/relationships/image" Target="../media/image135.emf"/><Relationship Id="rId95" Type="http://schemas.openxmlformats.org/officeDocument/2006/relationships/image" Target="../media/image178.emf"/><Relationship Id="rId160" Type="http://schemas.openxmlformats.org/officeDocument/2006/relationships/image" Target="../media/image206.emf"/><Relationship Id="rId181" Type="http://schemas.openxmlformats.org/officeDocument/2006/relationships/image" Target="../media/image216.emf"/><Relationship Id="rId216" Type="http://schemas.openxmlformats.org/officeDocument/2006/relationships/control" Target="../activeX/activeX284.xml"/><Relationship Id="rId22" Type="http://schemas.openxmlformats.org/officeDocument/2006/relationships/image" Target="../media/image143.emf"/><Relationship Id="rId43" Type="http://schemas.openxmlformats.org/officeDocument/2006/relationships/control" Target="../activeX/activeX190.xml"/><Relationship Id="rId64" Type="http://schemas.openxmlformats.org/officeDocument/2006/relationships/image" Target="../media/image164.emf"/><Relationship Id="rId118" Type="http://schemas.openxmlformats.org/officeDocument/2006/relationships/control" Target="../activeX/activeX233.xml"/><Relationship Id="rId139" Type="http://schemas.openxmlformats.org/officeDocument/2006/relationships/control" Target="../activeX/activeX244.xml"/><Relationship Id="rId85" Type="http://schemas.openxmlformats.org/officeDocument/2006/relationships/control" Target="../activeX/activeX211.xml"/><Relationship Id="rId150" Type="http://schemas.openxmlformats.org/officeDocument/2006/relationships/image" Target="../media/image201.emf"/><Relationship Id="rId171" Type="http://schemas.openxmlformats.org/officeDocument/2006/relationships/control" Target="../activeX/activeX260.xml"/><Relationship Id="rId192" Type="http://schemas.openxmlformats.org/officeDocument/2006/relationships/control" Target="../activeX/activeX272.xml"/><Relationship Id="rId206" Type="http://schemas.openxmlformats.org/officeDocument/2006/relationships/control" Target="../activeX/activeX279.xml"/><Relationship Id="rId227" Type="http://schemas.openxmlformats.org/officeDocument/2006/relationships/image" Target="../media/image238.emf"/><Relationship Id="rId12" Type="http://schemas.openxmlformats.org/officeDocument/2006/relationships/control" Target="../activeX/activeX174.xml"/><Relationship Id="rId33" Type="http://schemas.openxmlformats.org/officeDocument/2006/relationships/control" Target="../activeX/activeX185.xml"/><Relationship Id="rId108" Type="http://schemas.openxmlformats.org/officeDocument/2006/relationships/image" Target="../media/image182.emf"/><Relationship Id="rId129" Type="http://schemas.openxmlformats.org/officeDocument/2006/relationships/control" Target="../activeX/activeX239.xml"/><Relationship Id="rId54" Type="http://schemas.openxmlformats.org/officeDocument/2006/relationships/image" Target="../media/image159.emf"/><Relationship Id="rId75" Type="http://schemas.openxmlformats.org/officeDocument/2006/relationships/control" Target="../activeX/activeX206.xml"/><Relationship Id="rId96" Type="http://schemas.openxmlformats.org/officeDocument/2006/relationships/control" Target="../activeX/activeX218.xml"/><Relationship Id="rId140" Type="http://schemas.openxmlformats.org/officeDocument/2006/relationships/image" Target="../media/image196.emf"/><Relationship Id="rId161" Type="http://schemas.openxmlformats.org/officeDocument/2006/relationships/control" Target="../activeX/activeX255.xml"/><Relationship Id="rId182" Type="http://schemas.openxmlformats.org/officeDocument/2006/relationships/control" Target="../activeX/activeX266.xml"/><Relationship Id="rId217" Type="http://schemas.openxmlformats.org/officeDocument/2006/relationships/image" Target="../media/image233.emf"/><Relationship Id="rId6" Type="http://schemas.openxmlformats.org/officeDocument/2006/relationships/control" Target="../activeX/activeX171.xml"/><Relationship Id="rId23" Type="http://schemas.openxmlformats.org/officeDocument/2006/relationships/control" Target="../activeX/activeX180.xml"/><Relationship Id="rId119" Type="http://schemas.openxmlformats.org/officeDocument/2006/relationships/control" Target="../activeX/activeX234.xml"/><Relationship Id="rId44" Type="http://schemas.openxmlformats.org/officeDocument/2006/relationships/image" Target="../media/image154.emf"/><Relationship Id="rId65" Type="http://schemas.openxmlformats.org/officeDocument/2006/relationships/control" Target="../activeX/activeX201.xml"/><Relationship Id="rId86" Type="http://schemas.openxmlformats.org/officeDocument/2006/relationships/image" Target="../media/image175.emf"/><Relationship Id="rId130" Type="http://schemas.openxmlformats.org/officeDocument/2006/relationships/image" Target="../media/image191.emf"/><Relationship Id="rId151" Type="http://schemas.openxmlformats.org/officeDocument/2006/relationships/control" Target="../activeX/activeX250.xml"/><Relationship Id="rId172" Type="http://schemas.openxmlformats.org/officeDocument/2006/relationships/image" Target="../media/image212.emf"/><Relationship Id="rId193" Type="http://schemas.openxmlformats.org/officeDocument/2006/relationships/image" Target="../media/image221.emf"/><Relationship Id="rId207" Type="http://schemas.openxmlformats.org/officeDocument/2006/relationships/image" Target="../media/image228.emf"/><Relationship Id="rId228" Type="http://schemas.openxmlformats.org/officeDocument/2006/relationships/control" Target="../activeX/activeX290.xml"/><Relationship Id="rId13" Type="http://schemas.openxmlformats.org/officeDocument/2006/relationships/image" Target="../media/image139.emf"/><Relationship Id="rId109" Type="http://schemas.openxmlformats.org/officeDocument/2006/relationships/control" Target="../activeX/activeX227.xml"/><Relationship Id="rId34" Type="http://schemas.openxmlformats.org/officeDocument/2006/relationships/image" Target="../media/image149.emf"/><Relationship Id="rId55" Type="http://schemas.openxmlformats.org/officeDocument/2006/relationships/control" Target="../activeX/activeX196.xml"/><Relationship Id="rId76" Type="http://schemas.openxmlformats.org/officeDocument/2006/relationships/image" Target="../media/image170.emf"/><Relationship Id="rId97" Type="http://schemas.openxmlformats.org/officeDocument/2006/relationships/control" Target="../activeX/activeX219.xml"/><Relationship Id="rId120" Type="http://schemas.openxmlformats.org/officeDocument/2006/relationships/image" Target="../media/image186.emf"/><Relationship Id="rId141" Type="http://schemas.openxmlformats.org/officeDocument/2006/relationships/control" Target="../activeX/activeX245.xml"/><Relationship Id="rId7" Type="http://schemas.openxmlformats.org/officeDocument/2006/relationships/image" Target="../media/image136.emf"/><Relationship Id="rId162" Type="http://schemas.openxmlformats.org/officeDocument/2006/relationships/image" Target="../media/image207.emf"/><Relationship Id="rId183" Type="http://schemas.openxmlformats.org/officeDocument/2006/relationships/control" Target="../activeX/activeX267.xml"/><Relationship Id="rId218" Type="http://schemas.openxmlformats.org/officeDocument/2006/relationships/control" Target="../activeX/activeX285.xml"/><Relationship Id="rId24" Type="http://schemas.openxmlformats.org/officeDocument/2006/relationships/image" Target="../media/image144.emf"/><Relationship Id="rId45" Type="http://schemas.openxmlformats.org/officeDocument/2006/relationships/control" Target="../activeX/activeX191.xml"/><Relationship Id="rId66" Type="http://schemas.openxmlformats.org/officeDocument/2006/relationships/image" Target="../media/image165.emf"/><Relationship Id="rId87" Type="http://schemas.openxmlformats.org/officeDocument/2006/relationships/control" Target="../activeX/activeX212.xml"/><Relationship Id="rId110" Type="http://schemas.openxmlformats.org/officeDocument/2006/relationships/control" Target="../activeX/activeX228.xml"/><Relationship Id="rId131" Type="http://schemas.openxmlformats.org/officeDocument/2006/relationships/control" Target="../activeX/activeX240.xml"/><Relationship Id="rId152" Type="http://schemas.openxmlformats.org/officeDocument/2006/relationships/image" Target="../media/image202.emf"/><Relationship Id="rId173" Type="http://schemas.openxmlformats.org/officeDocument/2006/relationships/control" Target="../activeX/activeX261.xml"/><Relationship Id="rId194" Type="http://schemas.openxmlformats.org/officeDocument/2006/relationships/control" Target="../activeX/activeX273.xml"/><Relationship Id="rId208" Type="http://schemas.openxmlformats.org/officeDocument/2006/relationships/control" Target="../activeX/activeX280.xml"/><Relationship Id="rId229" Type="http://schemas.openxmlformats.org/officeDocument/2006/relationships/image" Target="../media/image239.emf"/><Relationship Id="rId14" Type="http://schemas.openxmlformats.org/officeDocument/2006/relationships/control" Target="../activeX/activeX175.xml"/><Relationship Id="rId35" Type="http://schemas.openxmlformats.org/officeDocument/2006/relationships/control" Target="../activeX/activeX186.xml"/><Relationship Id="rId56" Type="http://schemas.openxmlformats.org/officeDocument/2006/relationships/image" Target="../media/image160.emf"/><Relationship Id="rId77" Type="http://schemas.openxmlformats.org/officeDocument/2006/relationships/control" Target="../activeX/activeX207.xml"/><Relationship Id="rId100" Type="http://schemas.openxmlformats.org/officeDocument/2006/relationships/control" Target="../activeX/activeX221.xml"/><Relationship Id="rId8" Type="http://schemas.openxmlformats.org/officeDocument/2006/relationships/control" Target="../activeX/activeX172.xml"/><Relationship Id="rId98" Type="http://schemas.openxmlformats.org/officeDocument/2006/relationships/control" Target="../activeX/activeX220.xml"/><Relationship Id="rId121" Type="http://schemas.openxmlformats.org/officeDocument/2006/relationships/control" Target="../activeX/activeX235.xml"/><Relationship Id="rId142" Type="http://schemas.openxmlformats.org/officeDocument/2006/relationships/image" Target="../media/image197.emf"/><Relationship Id="rId163" Type="http://schemas.openxmlformats.org/officeDocument/2006/relationships/control" Target="../activeX/activeX256.xml"/><Relationship Id="rId184" Type="http://schemas.openxmlformats.org/officeDocument/2006/relationships/control" Target="../activeX/activeX268.xml"/><Relationship Id="rId219" Type="http://schemas.openxmlformats.org/officeDocument/2006/relationships/image" Target="../media/image234.emf"/><Relationship Id="rId230" Type="http://schemas.openxmlformats.org/officeDocument/2006/relationships/control" Target="../activeX/activeX291.xml"/><Relationship Id="rId25" Type="http://schemas.openxmlformats.org/officeDocument/2006/relationships/control" Target="../activeX/activeX181.xml"/><Relationship Id="rId46" Type="http://schemas.openxmlformats.org/officeDocument/2006/relationships/image" Target="../media/image155.emf"/><Relationship Id="rId67" Type="http://schemas.openxmlformats.org/officeDocument/2006/relationships/control" Target="../activeX/activeX202.xml"/><Relationship Id="rId20" Type="http://schemas.openxmlformats.org/officeDocument/2006/relationships/image" Target="../media/image142.emf"/><Relationship Id="rId41" Type="http://schemas.openxmlformats.org/officeDocument/2006/relationships/control" Target="../activeX/activeX189.xml"/><Relationship Id="rId62" Type="http://schemas.openxmlformats.org/officeDocument/2006/relationships/image" Target="../media/image163.emf"/><Relationship Id="rId83" Type="http://schemas.openxmlformats.org/officeDocument/2006/relationships/control" Target="../activeX/activeX210.xml"/><Relationship Id="rId88" Type="http://schemas.openxmlformats.org/officeDocument/2006/relationships/image" Target="../media/image176.emf"/><Relationship Id="rId111" Type="http://schemas.openxmlformats.org/officeDocument/2006/relationships/image" Target="../media/image183.emf"/><Relationship Id="rId132" Type="http://schemas.openxmlformats.org/officeDocument/2006/relationships/image" Target="../media/image192.emf"/><Relationship Id="rId153" Type="http://schemas.openxmlformats.org/officeDocument/2006/relationships/control" Target="../activeX/activeX251.xml"/><Relationship Id="rId174" Type="http://schemas.openxmlformats.org/officeDocument/2006/relationships/image" Target="../media/image213.emf"/><Relationship Id="rId179" Type="http://schemas.openxmlformats.org/officeDocument/2006/relationships/image" Target="../media/image215.emf"/><Relationship Id="rId195" Type="http://schemas.openxmlformats.org/officeDocument/2006/relationships/image" Target="../media/image222.emf"/><Relationship Id="rId209" Type="http://schemas.openxmlformats.org/officeDocument/2006/relationships/image" Target="../media/image229.emf"/><Relationship Id="rId190" Type="http://schemas.openxmlformats.org/officeDocument/2006/relationships/control" Target="../activeX/activeX271.xml"/><Relationship Id="rId204" Type="http://schemas.openxmlformats.org/officeDocument/2006/relationships/control" Target="../activeX/activeX278.xml"/><Relationship Id="rId220" Type="http://schemas.openxmlformats.org/officeDocument/2006/relationships/control" Target="../activeX/activeX286.xml"/><Relationship Id="rId225" Type="http://schemas.openxmlformats.org/officeDocument/2006/relationships/image" Target="../media/image237.emf"/><Relationship Id="rId15" Type="http://schemas.openxmlformats.org/officeDocument/2006/relationships/image" Target="../media/image140.emf"/><Relationship Id="rId36" Type="http://schemas.openxmlformats.org/officeDocument/2006/relationships/image" Target="../media/image150.emf"/><Relationship Id="rId57" Type="http://schemas.openxmlformats.org/officeDocument/2006/relationships/control" Target="../activeX/activeX197.xml"/><Relationship Id="rId106" Type="http://schemas.openxmlformats.org/officeDocument/2006/relationships/control" Target="../activeX/activeX225.xml"/><Relationship Id="rId127" Type="http://schemas.openxmlformats.org/officeDocument/2006/relationships/control" Target="../activeX/activeX238.xml"/><Relationship Id="rId10" Type="http://schemas.openxmlformats.org/officeDocument/2006/relationships/control" Target="../activeX/activeX173.xml"/><Relationship Id="rId31" Type="http://schemas.openxmlformats.org/officeDocument/2006/relationships/control" Target="../activeX/activeX184.xml"/><Relationship Id="rId52" Type="http://schemas.openxmlformats.org/officeDocument/2006/relationships/image" Target="../media/image158.emf"/><Relationship Id="rId73" Type="http://schemas.openxmlformats.org/officeDocument/2006/relationships/control" Target="../activeX/activeX205.xml"/><Relationship Id="rId78" Type="http://schemas.openxmlformats.org/officeDocument/2006/relationships/image" Target="../media/image171.emf"/><Relationship Id="rId94" Type="http://schemas.openxmlformats.org/officeDocument/2006/relationships/control" Target="../activeX/activeX217.xml"/><Relationship Id="rId99" Type="http://schemas.openxmlformats.org/officeDocument/2006/relationships/image" Target="../media/image179.emf"/><Relationship Id="rId101" Type="http://schemas.openxmlformats.org/officeDocument/2006/relationships/image" Target="../media/image180.emf"/><Relationship Id="rId122" Type="http://schemas.openxmlformats.org/officeDocument/2006/relationships/image" Target="../media/image187.emf"/><Relationship Id="rId143" Type="http://schemas.openxmlformats.org/officeDocument/2006/relationships/control" Target="../activeX/activeX246.xml"/><Relationship Id="rId148" Type="http://schemas.openxmlformats.org/officeDocument/2006/relationships/image" Target="../media/image200.emf"/><Relationship Id="rId164" Type="http://schemas.openxmlformats.org/officeDocument/2006/relationships/image" Target="../media/image208.emf"/><Relationship Id="rId169" Type="http://schemas.openxmlformats.org/officeDocument/2006/relationships/control" Target="../activeX/activeX259.xml"/><Relationship Id="rId185" Type="http://schemas.openxmlformats.org/officeDocument/2006/relationships/image" Target="../media/image217.emf"/><Relationship Id="rId4" Type="http://schemas.openxmlformats.org/officeDocument/2006/relationships/control" Target="../activeX/activeX170.xml"/><Relationship Id="rId9" Type="http://schemas.openxmlformats.org/officeDocument/2006/relationships/image" Target="../media/image137.emf"/><Relationship Id="rId180" Type="http://schemas.openxmlformats.org/officeDocument/2006/relationships/control" Target="../activeX/activeX265.xml"/><Relationship Id="rId210" Type="http://schemas.openxmlformats.org/officeDocument/2006/relationships/control" Target="../activeX/activeX281.xml"/><Relationship Id="rId215" Type="http://schemas.openxmlformats.org/officeDocument/2006/relationships/image" Target="../media/image232.emf"/><Relationship Id="rId26" Type="http://schemas.openxmlformats.org/officeDocument/2006/relationships/image" Target="../media/image145.emf"/><Relationship Id="rId231" Type="http://schemas.openxmlformats.org/officeDocument/2006/relationships/image" Target="../media/image240.emf"/><Relationship Id="rId47" Type="http://schemas.openxmlformats.org/officeDocument/2006/relationships/control" Target="../activeX/activeX192.xml"/><Relationship Id="rId68" Type="http://schemas.openxmlformats.org/officeDocument/2006/relationships/image" Target="../media/image166.emf"/><Relationship Id="rId89" Type="http://schemas.openxmlformats.org/officeDocument/2006/relationships/control" Target="../activeX/activeX213.xml"/><Relationship Id="rId112" Type="http://schemas.openxmlformats.org/officeDocument/2006/relationships/control" Target="../activeX/activeX229.xml"/><Relationship Id="rId133" Type="http://schemas.openxmlformats.org/officeDocument/2006/relationships/control" Target="../activeX/activeX241.xml"/><Relationship Id="rId154" Type="http://schemas.openxmlformats.org/officeDocument/2006/relationships/image" Target="../media/image203.emf"/><Relationship Id="rId175" Type="http://schemas.openxmlformats.org/officeDocument/2006/relationships/control" Target="../activeX/activeX262.xml"/><Relationship Id="rId196" Type="http://schemas.openxmlformats.org/officeDocument/2006/relationships/control" Target="../activeX/activeX274.xml"/><Relationship Id="rId200" Type="http://schemas.openxmlformats.org/officeDocument/2006/relationships/control" Target="../activeX/activeX276.xml"/><Relationship Id="rId16" Type="http://schemas.openxmlformats.org/officeDocument/2006/relationships/control" Target="../activeX/activeX176.xml"/><Relationship Id="rId221" Type="http://schemas.openxmlformats.org/officeDocument/2006/relationships/image" Target="../media/image235.emf"/><Relationship Id="rId37" Type="http://schemas.openxmlformats.org/officeDocument/2006/relationships/control" Target="../activeX/activeX187.xml"/><Relationship Id="rId58" Type="http://schemas.openxmlformats.org/officeDocument/2006/relationships/image" Target="../media/image161.emf"/><Relationship Id="rId79" Type="http://schemas.openxmlformats.org/officeDocument/2006/relationships/control" Target="../activeX/activeX208.xml"/><Relationship Id="rId102" Type="http://schemas.openxmlformats.org/officeDocument/2006/relationships/control" Target="../activeX/activeX222.xml"/><Relationship Id="rId123" Type="http://schemas.openxmlformats.org/officeDocument/2006/relationships/control" Target="../activeX/activeX236.xml"/><Relationship Id="rId144" Type="http://schemas.openxmlformats.org/officeDocument/2006/relationships/image" Target="../media/image198.emf"/><Relationship Id="rId90" Type="http://schemas.openxmlformats.org/officeDocument/2006/relationships/control" Target="../activeX/activeX214.xml"/><Relationship Id="rId165" Type="http://schemas.openxmlformats.org/officeDocument/2006/relationships/control" Target="../activeX/activeX257.xml"/><Relationship Id="rId186" Type="http://schemas.openxmlformats.org/officeDocument/2006/relationships/control" Target="../activeX/activeX269.xml"/><Relationship Id="rId211" Type="http://schemas.openxmlformats.org/officeDocument/2006/relationships/image" Target="../media/image230.emf"/><Relationship Id="rId232" Type="http://schemas.openxmlformats.org/officeDocument/2006/relationships/control" Target="../activeX/activeX292.xml"/><Relationship Id="rId27" Type="http://schemas.openxmlformats.org/officeDocument/2006/relationships/control" Target="../activeX/activeX182.xml"/><Relationship Id="rId48" Type="http://schemas.openxmlformats.org/officeDocument/2006/relationships/image" Target="../media/image156.emf"/><Relationship Id="rId69" Type="http://schemas.openxmlformats.org/officeDocument/2006/relationships/control" Target="../activeX/activeX203.xml"/><Relationship Id="rId113" Type="http://schemas.openxmlformats.org/officeDocument/2006/relationships/image" Target="../media/image184.emf"/><Relationship Id="rId134" Type="http://schemas.openxmlformats.org/officeDocument/2006/relationships/image" Target="../media/image193.emf"/><Relationship Id="rId80" Type="http://schemas.openxmlformats.org/officeDocument/2006/relationships/image" Target="../media/image172.emf"/><Relationship Id="rId155" Type="http://schemas.openxmlformats.org/officeDocument/2006/relationships/control" Target="../activeX/activeX252.xml"/><Relationship Id="rId176" Type="http://schemas.openxmlformats.org/officeDocument/2006/relationships/image" Target="../media/image214.emf"/><Relationship Id="rId197" Type="http://schemas.openxmlformats.org/officeDocument/2006/relationships/image" Target="../media/image223.emf"/><Relationship Id="rId201" Type="http://schemas.openxmlformats.org/officeDocument/2006/relationships/image" Target="../media/image225.emf"/><Relationship Id="rId222" Type="http://schemas.openxmlformats.org/officeDocument/2006/relationships/control" Target="../activeX/activeX287.xml"/><Relationship Id="rId17" Type="http://schemas.openxmlformats.org/officeDocument/2006/relationships/image" Target="../media/image141.emf"/><Relationship Id="rId38" Type="http://schemas.openxmlformats.org/officeDocument/2006/relationships/image" Target="../media/image151.emf"/><Relationship Id="rId59" Type="http://schemas.openxmlformats.org/officeDocument/2006/relationships/control" Target="../activeX/activeX198.xml"/><Relationship Id="rId103" Type="http://schemas.openxmlformats.org/officeDocument/2006/relationships/image" Target="../media/image181.emf"/><Relationship Id="rId124" Type="http://schemas.openxmlformats.org/officeDocument/2006/relationships/image" Target="../media/image188.emf"/><Relationship Id="rId70" Type="http://schemas.openxmlformats.org/officeDocument/2006/relationships/image" Target="../media/image167.emf"/><Relationship Id="rId91" Type="http://schemas.openxmlformats.org/officeDocument/2006/relationships/control" Target="../activeX/activeX215.xml"/><Relationship Id="rId145" Type="http://schemas.openxmlformats.org/officeDocument/2006/relationships/control" Target="../activeX/activeX247.xml"/><Relationship Id="rId166" Type="http://schemas.openxmlformats.org/officeDocument/2006/relationships/image" Target="../media/image209.emf"/><Relationship Id="rId187" Type="http://schemas.openxmlformats.org/officeDocument/2006/relationships/image" Target="../media/image218.emf"/><Relationship Id="rId1" Type="http://schemas.openxmlformats.org/officeDocument/2006/relationships/printerSettings" Target="../printerSettings/printerSettings37.bin"/><Relationship Id="rId212" Type="http://schemas.openxmlformats.org/officeDocument/2006/relationships/control" Target="../activeX/activeX282.xml"/><Relationship Id="rId233" Type="http://schemas.openxmlformats.org/officeDocument/2006/relationships/image" Target="../media/image241.emf"/><Relationship Id="rId28" Type="http://schemas.openxmlformats.org/officeDocument/2006/relationships/image" Target="../media/image146.emf"/><Relationship Id="rId49" Type="http://schemas.openxmlformats.org/officeDocument/2006/relationships/control" Target="../activeX/activeX193.xml"/><Relationship Id="rId114" Type="http://schemas.openxmlformats.org/officeDocument/2006/relationships/control" Target="../activeX/activeX230.xml"/><Relationship Id="rId60" Type="http://schemas.openxmlformats.org/officeDocument/2006/relationships/image" Target="../media/image162.emf"/><Relationship Id="rId81" Type="http://schemas.openxmlformats.org/officeDocument/2006/relationships/control" Target="../activeX/activeX209.xml"/><Relationship Id="rId135" Type="http://schemas.openxmlformats.org/officeDocument/2006/relationships/control" Target="../activeX/activeX242.xml"/><Relationship Id="rId156" Type="http://schemas.openxmlformats.org/officeDocument/2006/relationships/image" Target="../media/image204.emf"/><Relationship Id="rId177" Type="http://schemas.openxmlformats.org/officeDocument/2006/relationships/control" Target="../activeX/activeX263.xml"/><Relationship Id="rId198" Type="http://schemas.openxmlformats.org/officeDocument/2006/relationships/control" Target="../activeX/activeX275.xml"/><Relationship Id="rId202" Type="http://schemas.openxmlformats.org/officeDocument/2006/relationships/control" Target="../activeX/activeX277.xml"/><Relationship Id="rId223" Type="http://schemas.openxmlformats.org/officeDocument/2006/relationships/image" Target="../media/image236.emf"/><Relationship Id="rId18" Type="http://schemas.openxmlformats.org/officeDocument/2006/relationships/control" Target="../activeX/activeX177.xml"/><Relationship Id="rId39" Type="http://schemas.openxmlformats.org/officeDocument/2006/relationships/control" Target="../activeX/activeX188.xml"/><Relationship Id="rId50" Type="http://schemas.openxmlformats.org/officeDocument/2006/relationships/image" Target="../media/image157.emf"/><Relationship Id="rId104" Type="http://schemas.openxmlformats.org/officeDocument/2006/relationships/control" Target="../activeX/activeX223.xml"/><Relationship Id="rId125" Type="http://schemas.openxmlformats.org/officeDocument/2006/relationships/control" Target="../activeX/activeX237.xml"/><Relationship Id="rId146" Type="http://schemas.openxmlformats.org/officeDocument/2006/relationships/image" Target="../media/image199.emf"/><Relationship Id="rId167" Type="http://schemas.openxmlformats.org/officeDocument/2006/relationships/control" Target="../activeX/activeX258.xml"/><Relationship Id="rId188" Type="http://schemas.openxmlformats.org/officeDocument/2006/relationships/control" Target="../activeX/activeX270.xml"/><Relationship Id="rId71" Type="http://schemas.openxmlformats.org/officeDocument/2006/relationships/control" Target="../activeX/activeX204.xml"/><Relationship Id="rId92" Type="http://schemas.openxmlformats.org/officeDocument/2006/relationships/control" Target="../activeX/activeX216.xml"/><Relationship Id="rId213" Type="http://schemas.openxmlformats.org/officeDocument/2006/relationships/image" Target="../media/image231.emf"/><Relationship Id="rId234" Type="http://schemas.openxmlformats.org/officeDocument/2006/relationships/control" Target="../activeX/activeX293.xml"/><Relationship Id="rId2" Type="http://schemas.openxmlformats.org/officeDocument/2006/relationships/drawing" Target="../drawings/drawing35.xml"/><Relationship Id="rId29" Type="http://schemas.openxmlformats.org/officeDocument/2006/relationships/control" Target="../activeX/activeX183.xml"/><Relationship Id="rId40" Type="http://schemas.openxmlformats.org/officeDocument/2006/relationships/image" Target="../media/image152.emf"/><Relationship Id="rId115" Type="http://schemas.openxmlformats.org/officeDocument/2006/relationships/control" Target="../activeX/activeX231.xml"/><Relationship Id="rId136" Type="http://schemas.openxmlformats.org/officeDocument/2006/relationships/image" Target="../media/image194.emf"/><Relationship Id="rId157" Type="http://schemas.openxmlformats.org/officeDocument/2006/relationships/control" Target="../activeX/activeX253.xml"/><Relationship Id="rId178" Type="http://schemas.openxmlformats.org/officeDocument/2006/relationships/control" Target="../activeX/activeX264.xml"/><Relationship Id="rId61" Type="http://schemas.openxmlformats.org/officeDocument/2006/relationships/control" Target="../activeX/activeX199.xml"/><Relationship Id="rId82" Type="http://schemas.openxmlformats.org/officeDocument/2006/relationships/image" Target="../media/image173.emf"/><Relationship Id="rId199" Type="http://schemas.openxmlformats.org/officeDocument/2006/relationships/image" Target="../media/image224.emf"/><Relationship Id="rId203" Type="http://schemas.openxmlformats.org/officeDocument/2006/relationships/image" Target="../media/image226.emf"/><Relationship Id="rId19" Type="http://schemas.openxmlformats.org/officeDocument/2006/relationships/control" Target="../activeX/activeX178.xml"/><Relationship Id="rId224" Type="http://schemas.openxmlformats.org/officeDocument/2006/relationships/control" Target="../activeX/activeX288.xml"/><Relationship Id="rId30" Type="http://schemas.openxmlformats.org/officeDocument/2006/relationships/image" Target="../media/image147.emf"/><Relationship Id="rId105" Type="http://schemas.openxmlformats.org/officeDocument/2006/relationships/control" Target="../activeX/activeX224.xml"/><Relationship Id="rId126" Type="http://schemas.openxmlformats.org/officeDocument/2006/relationships/image" Target="../media/image189.emf"/><Relationship Id="rId147" Type="http://schemas.openxmlformats.org/officeDocument/2006/relationships/control" Target="../activeX/activeX248.xml"/><Relationship Id="rId168" Type="http://schemas.openxmlformats.org/officeDocument/2006/relationships/image" Target="../media/image210.emf"/><Relationship Id="rId51" Type="http://schemas.openxmlformats.org/officeDocument/2006/relationships/control" Target="../activeX/activeX194.xml"/><Relationship Id="rId72" Type="http://schemas.openxmlformats.org/officeDocument/2006/relationships/image" Target="../media/image168.emf"/><Relationship Id="rId93" Type="http://schemas.openxmlformats.org/officeDocument/2006/relationships/image" Target="../media/image177.emf"/><Relationship Id="rId189" Type="http://schemas.openxmlformats.org/officeDocument/2006/relationships/image" Target="../media/image219.emf"/><Relationship Id="rId3" Type="http://schemas.openxmlformats.org/officeDocument/2006/relationships/vmlDrawing" Target="../drawings/vmlDrawing33.vml"/><Relationship Id="rId214" Type="http://schemas.openxmlformats.org/officeDocument/2006/relationships/control" Target="../activeX/activeX283.xml"/><Relationship Id="rId235" Type="http://schemas.openxmlformats.org/officeDocument/2006/relationships/image" Target="../media/image242.emf"/><Relationship Id="rId116" Type="http://schemas.openxmlformats.org/officeDocument/2006/relationships/image" Target="../media/image185.emf"/><Relationship Id="rId137" Type="http://schemas.openxmlformats.org/officeDocument/2006/relationships/control" Target="../activeX/activeX243.xml"/><Relationship Id="rId158" Type="http://schemas.openxmlformats.org/officeDocument/2006/relationships/image" Target="../media/image205.emf"/></Relationships>
</file>

<file path=xl/worksheets/_rels/sheet45.xml.rels><?xml version="1.0" encoding="UTF-8" standalone="yes"?>
<Relationships xmlns="http://schemas.openxmlformats.org/package/2006/relationships"><Relationship Id="rId26" Type="http://schemas.openxmlformats.org/officeDocument/2006/relationships/control" Target="../activeX/activeX305.xml"/><Relationship Id="rId21" Type="http://schemas.openxmlformats.org/officeDocument/2006/relationships/image" Target="../media/image251.emf"/><Relationship Id="rId42" Type="http://schemas.openxmlformats.org/officeDocument/2006/relationships/control" Target="../activeX/activeX313.xml"/><Relationship Id="rId47" Type="http://schemas.openxmlformats.org/officeDocument/2006/relationships/image" Target="../media/image264.emf"/><Relationship Id="rId63" Type="http://schemas.openxmlformats.org/officeDocument/2006/relationships/image" Target="../media/image272.emf"/><Relationship Id="rId68" Type="http://schemas.openxmlformats.org/officeDocument/2006/relationships/control" Target="../activeX/activeX326.xml"/><Relationship Id="rId84" Type="http://schemas.openxmlformats.org/officeDocument/2006/relationships/table" Target="../tables/table27.xml"/><Relationship Id="rId16" Type="http://schemas.openxmlformats.org/officeDocument/2006/relationships/control" Target="../activeX/activeX300.xml"/><Relationship Id="rId11" Type="http://schemas.openxmlformats.org/officeDocument/2006/relationships/image" Target="../media/image246.emf"/><Relationship Id="rId32" Type="http://schemas.openxmlformats.org/officeDocument/2006/relationships/control" Target="../activeX/activeX308.xml"/><Relationship Id="rId37" Type="http://schemas.openxmlformats.org/officeDocument/2006/relationships/image" Target="../media/image259.emf"/><Relationship Id="rId53" Type="http://schemas.openxmlformats.org/officeDocument/2006/relationships/image" Target="../media/image267.emf"/><Relationship Id="rId58" Type="http://schemas.openxmlformats.org/officeDocument/2006/relationships/control" Target="../activeX/activeX321.xml"/><Relationship Id="rId74" Type="http://schemas.openxmlformats.org/officeDocument/2006/relationships/control" Target="../activeX/activeX329.xml"/><Relationship Id="rId79" Type="http://schemas.openxmlformats.org/officeDocument/2006/relationships/image" Target="../media/image280.emf"/><Relationship Id="rId5" Type="http://schemas.openxmlformats.org/officeDocument/2006/relationships/image" Target="../media/image243.emf"/><Relationship Id="rId61" Type="http://schemas.openxmlformats.org/officeDocument/2006/relationships/image" Target="../media/image271.emf"/><Relationship Id="rId82" Type="http://schemas.openxmlformats.org/officeDocument/2006/relationships/control" Target="../activeX/activeX333.xml"/><Relationship Id="rId19" Type="http://schemas.openxmlformats.org/officeDocument/2006/relationships/image" Target="../media/image250.emf"/><Relationship Id="rId14" Type="http://schemas.openxmlformats.org/officeDocument/2006/relationships/control" Target="../activeX/activeX299.xml"/><Relationship Id="rId22" Type="http://schemas.openxmlformats.org/officeDocument/2006/relationships/control" Target="../activeX/activeX303.xml"/><Relationship Id="rId27" Type="http://schemas.openxmlformats.org/officeDocument/2006/relationships/image" Target="../media/image254.emf"/><Relationship Id="rId30" Type="http://schemas.openxmlformats.org/officeDocument/2006/relationships/control" Target="../activeX/activeX307.xml"/><Relationship Id="rId35" Type="http://schemas.openxmlformats.org/officeDocument/2006/relationships/image" Target="../media/image258.emf"/><Relationship Id="rId43" Type="http://schemas.openxmlformats.org/officeDocument/2006/relationships/image" Target="../media/image262.emf"/><Relationship Id="rId48" Type="http://schemas.openxmlformats.org/officeDocument/2006/relationships/control" Target="../activeX/activeX316.xml"/><Relationship Id="rId56" Type="http://schemas.openxmlformats.org/officeDocument/2006/relationships/control" Target="../activeX/activeX320.xml"/><Relationship Id="rId64" Type="http://schemas.openxmlformats.org/officeDocument/2006/relationships/control" Target="../activeX/activeX324.xml"/><Relationship Id="rId69" Type="http://schemas.openxmlformats.org/officeDocument/2006/relationships/image" Target="../media/image275.emf"/><Relationship Id="rId77" Type="http://schemas.openxmlformats.org/officeDocument/2006/relationships/image" Target="../media/image279.emf"/><Relationship Id="rId8" Type="http://schemas.openxmlformats.org/officeDocument/2006/relationships/control" Target="../activeX/activeX296.xml"/><Relationship Id="rId51" Type="http://schemas.openxmlformats.org/officeDocument/2006/relationships/image" Target="../media/image266.emf"/><Relationship Id="rId72" Type="http://schemas.openxmlformats.org/officeDocument/2006/relationships/control" Target="../activeX/activeX328.xml"/><Relationship Id="rId80" Type="http://schemas.openxmlformats.org/officeDocument/2006/relationships/control" Target="../activeX/activeX332.xml"/><Relationship Id="rId3" Type="http://schemas.openxmlformats.org/officeDocument/2006/relationships/vmlDrawing" Target="../drawings/vmlDrawing34.vml"/><Relationship Id="rId12" Type="http://schemas.openxmlformats.org/officeDocument/2006/relationships/control" Target="../activeX/activeX298.xml"/><Relationship Id="rId17" Type="http://schemas.openxmlformats.org/officeDocument/2006/relationships/image" Target="../media/image249.emf"/><Relationship Id="rId25" Type="http://schemas.openxmlformats.org/officeDocument/2006/relationships/image" Target="../media/image253.emf"/><Relationship Id="rId33" Type="http://schemas.openxmlformats.org/officeDocument/2006/relationships/image" Target="../media/image257.emf"/><Relationship Id="rId38" Type="http://schemas.openxmlformats.org/officeDocument/2006/relationships/control" Target="../activeX/activeX311.xml"/><Relationship Id="rId46" Type="http://schemas.openxmlformats.org/officeDocument/2006/relationships/control" Target="../activeX/activeX315.xml"/><Relationship Id="rId59" Type="http://schemas.openxmlformats.org/officeDocument/2006/relationships/image" Target="../media/image270.emf"/><Relationship Id="rId67" Type="http://schemas.openxmlformats.org/officeDocument/2006/relationships/image" Target="../media/image274.emf"/><Relationship Id="rId20" Type="http://schemas.openxmlformats.org/officeDocument/2006/relationships/control" Target="../activeX/activeX302.xml"/><Relationship Id="rId41" Type="http://schemas.openxmlformats.org/officeDocument/2006/relationships/image" Target="../media/image261.emf"/><Relationship Id="rId54" Type="http://schemas.openxmlformats.org/officeDocument/2006/relationships/control" Target="../activeX/activeX319.xml"/><Relationship Id="rId62" Type="http://schemas.openxmlformats.org/officeDocument/2006/relationships/control" Target="../activeX/activeX323.xml"/><Relationship Id="rId70" Type="http://schemas.openxmlformats.org/officeDocument/2006/relationships/control" Target="../activeX/activeX327.xml"/><Relationship Id="rId75" Type="http://schemas.openxmlformats.org/officeDocument/2006/relationships/image" Target="../media/image278.emf"/><Relationship Id="rId83" Type="http://schemas.openxmlformats.org/officeDocument/2006/relationships/image" Target="../media/image282.emf"/><Relationship Id="rId1" Type="http://schemas.openxmlformats.org/officeDocument/2006/relationships/printerSettings" Target="../printerSettings/printerSettings38.bin"/><Relationship Id="rId6" Type="http://schemas.openxmlformats.org/officeDocument/2006/relationships/control" Target="../activeX/activeX295.xml"/><Relationship Id="rId15" Type="http://schemas.openxmlformats.org/officeDocument/2006/relationships/image" Target="../media/image248.emf"/><Relationship Id="rId23" Type="http://schemas.openxmlformats.org/officeDocument/2006/relationships/image" Target="../media/image252.emf"/><Relationship Id="rId28" Type="http://schemas.openxmlformats.org/officeDocument/2006/relationships/control" Target="../activeX/activeX306.xml"/><Relationship Id="rId36" Type="http://schemas.openxmlformats.org/officeDocument/2006/relationships/control" Target="../activeX/activeX310.xml"/><Relationship Id="rId49" Type="http://schemas.openxmlformats.org/officeDocument/2006/relationships/image" Target="../media/image265.emf"/><Relationship Id="rId57" Type="http://schemas.openxmlformats.org/officeDocument/2006/relationships/image" Target="../media/image269.emf"/><Relationship Id="rId10" Type="http://schemas.openxmlformats.org/officeDocument/2006/relationships/control" Target="../activeX/activeX297.xml"/><Relationship Id="rId31" Type="http://schemas.openxmlformats.org/officeDocument/2006/relationships/image" Target="../media/image256.emf"/><Relationship Id="rId44" Type="http://schemas.openxmlformats.org/officeDocument/2006/relationships/control" Target="../activeX/activeX314.xml"/><Relationship Id="rId52" Type="http://schemas.openxmlformats.org/officeDocument/2006/relationships/control" Target="../activeX/activeX318.xml"/><Relationship Id="rId60" Type="http://schemas.openxmlformats.org/officeDocument/2006/relationships/control" Target="../activeX/activeX322.xml"/><Relationship Id="rId65" Type="http://schemas.openxmlformats.org/officeDocument/2006/relationships/image" Target="../media/image273.emf"/><Relationship Id="rId73" Type="http://schemas.openxmlformats.org/officeDocument/2006/relationships/image" Target="../media/image277.emf"/><Relationship Id="rId78" Type="http://schemas.openxmlformats.org/officeDocument/2006/relationships/control" Target="../activeX/activeX331.xml"/><Relationship Id="rId81" Type="http://schemas.openxmlformats.org/officeDocument/2006/relationships/image" Target="../media/image281.emf"/><Relationship Id="rId4" Type="http://schemas.openxmlformats.org/officeDocument/2006/relationships/control" Target="../activeX/activeX294.xml"/><Relationship Id="rId9" Type="http://schemas.openxmlformats.org/officeDocument/2006/relationships/image" Target="../media/image245.emf"/><Relationship Id="rId13" Type="http://schemas.openxmlformats.org/officeDocument/2006/relationships/image" Target="../media/image247.emf"/><Relationship Id="rId18" Type="http://schemas.openxmlformats.org/officeDocument/2006/relationships/control" Target="../activeX/activeX301.xml"/><Relationship Id="rId39" Type="http://schemas.openxmlformats.org/officeDocument/2006/relationships/image" Target="../media/image260.emf"/><Relationship Id="rId34" Type="http://schemas.openxmlformats.org/officeDocument/2006/relationships/control" Target="../activeX/activeX309.xml"/><Relationship Id="rId50" Type="http://schemas.openxmlformats.org/officeDocument/2006/relationships/control" Target="../activeX/activeX317.xml"/><Relationship Id="rId55" Type="http://schemas.openxmlformats.org/officeDocument/2006/relationships/image" Target="../media/image268.emf"/><Relationship Id="rId76" Type="http://schemas.openxmlformats.org/officeDocument/2006/relationships/control" Target="../activeX/activeX330.xml"/><Relationship Id="rId7" Type="http://schemas.openxmlformats.org/officeDocument/2006/relationships/image" Target="../media/image244.emf"/><Relationship Id="rId71" Type="http://schemas.openxmlformats.org/officeDocument/2006/relationships/image" Target="../media/image276.emf"/><Relationship Id="rId2" Type="http://schemas.openxmlformats.org/officeDocument/2006/relationships/drawing" Target="../drawings/drawing36.xml"/><Relationship Id="rId29" Type="http://schemas.openxmlformats.org/officeDocument/2006/relationships/image" Target="../media/image255.emf"/><Relationship Id="rId24" Type="http://schemas.openxmlformats.org/officeDocument/2006/relationships/control" Target="../activeX/activeX304.xml"/><Relationship Id="rId40" Type="http://schemas.openxmlformats.org/officeDocument/2006/relationships/control" Target="../activeX/activeX312.xml"/><Relationship Id="rId45" Type="http://schemas.openxmlformats.org/officeDocument/2006/relationships/image" Target="../media/image263.emf"/><Relationship Id="rId66" Type="http://schemas.openxmlformats.org/officeDocument/2006/relationships/control" Target="../activeX/activeX325.xml"/></Relationships>
</file>

<file path=xl/worksheets/_rels/sheet46.xml.rels><?xml version="1.0" encoding="UTF-8" standalone="yes"?>
<Relationships xmlns="http://schemas.openxmlformats.org/package/2006/relationships"><Relationship Id="rId117" Type="http://schemas.openxmlformats.org/officeDocument/2006/relationships/image" Target="../media/image339.emf"/><Relationship Id="rId299" Type="http://schemas.openxmlformats.org/officeDocument/2006/relationships/image" Target="../media/image429.emf"/><Relationship Id="rId21" Type="http://schemas.openxmlformats.org/officeDocument/2006/relationships/image" Target="../media/image291.emf"/><Relationship Id="rId63" Type="http://schemas.openxmlformats.org/officeDocument/2006/relationships/image" Target="../media/image312.emf"/><Relationship Id="rId159" Type="http://schemas.openxmlformats.org/officeDocument/2006/relationships/image" Target="../media/image360.emf"/><Relationship Id="rId170" Type="http://schemas.openxmlformats.org/officeDocument/2006/relationships/control" Target="../activeX/activeX417.xml"/><Relationship Id="rId226" Type="http://schemas.openxmlformats.org/officeDocument/2006/relationships/control" Target="../activeX/activeX445.xml"/><Relationship Id="rId268" Type="http://schemas.openxmlformats.org/officeDocument/2006/relationships/control" Target="../activeX/activeX466.xml"/><Relationship Id="rId32" Type="http://schemas.openxmlformats.org/officeDocument/2006/relationships/control" Target="../activeX/activeX348.xml"/><Relationship Id="rId74" Type="http://schemas.openxmlformats.org/officeDocument/2006/relationships/control" Target="../activeX/activeX369.xml"/><Relationship Id="rId128" Type="http://schemas.openxmlformats.org/officeDocument/2006/relationships/control" Target="../activeX/activeX396.xml"/><Relationship Id="rId5" Type="http://schemas.openxmlformats.org/officeDocument/2006/relationships/image" Target="../media/image283.emf"/><Relationship Id="rId181" Type="http://schemas.openxmlformats.org/officeDocument/2006/relationships/image" Target="../media/image371.emf"/><Relationship Id="rId237" Type="http://schemas.openxmlformats.org/officeDocument/2006/relationships/image" Target="../media/image399.emf"/><Relationship Id="rId279" Type="http://schemas.openxmlformats.org/officeDocument/2006/relationships/image" Target="../media/image419.emf"/><Relationship Id="rId43" Type="http://schemas.openxmlformats.org/officeDocument/2006/relationships/image" Target="../media/image302.emf"/><Relationship Id="rId139" Type="http://schemas.openxmlformats.org/officeDocument/2006/relationships/image" Target="../media/image350.emf"/><Relationship Id="rId290" Type="http://schemas.openxmlformats.org/officeDocument/2006/relationships/control" Target="../activeX/activeX477.xml"/><Relationship Id="rId304" Type="http://schemas.openxmlformats.org/officeDocument/2006/relationships/control" Target="../activeX/activeX484.xml"/><Relationship Id="rId85" Type="http://schemas.openxmlformats.org/officeDocument/2006/relationships/image" Target="../media/image323.emf"/><Relationship Id="rId150" Type="http://schemas.openxmlformats.org/officeDocument/2006/relationships/control" Target="../activeX/activeX407.xml"/><Relationship Id="rId192" Type="http://schemas.openxmlformats.org/officeDocument/2006/relationships/control" Target="../activeX/activeX428.xml"/><Relationship Id="rId206" Type="http://schemas.openxmlformats.org/officeDocument/2006/relationships/control" Target="../activeX/activeX435.xml"/><Relationship Id="rId248" Type="http://schemas.openxmlformats.org/officeDocument/2006/relationships/control" Target="../activeX/activeX456.xml"/><Relationship Id="rId12" Type="http://schemas.openxmlformats.org/officeDocument/2006/relationships/control" Target="../activeX/activeX338.xml"/><Relationship Id="rId108" Type="http://schemas.openxmlformats.org/officeDocument/2006/relationships/control" Target="../activeX/activeX386.xml"/><Relationship Id="rId54" Type="http://schemas.openxmlformats.org/officeDocument/2006/relationships/control" Target="../activeX/activeX359.xml"/><Relationship Id="rId96" Type="http://schemas.openxmlformats.org/officeDocument/2006/relationships/control" Target="../activeX/activeX380.xml"/><Relationship Id="rId161" Type="http://schemas.openxmlformats.org/officeDocument/2006/relationships/image" Target="../media/image361.emf"/><Relationship Id="rId217" Type="http://schemas.openxmlformats.org/officeDocument/2006/relationships/image" Target="../media/image389.emf"/><Relationship Id="rId259" Type="http://schemas.openxmlformats.org/officeDocument/2006/relationships/image" Target="../media/image410.emf"/><Relationship Id="rId23" Type="http://schemas.openxmlformats.org/officeDocument/2006/relationships/image" Target="../media/image292.emf"/><Relationship Id="rId119" Type="http://schemas.openxmlformats.org/officeDocument/2006/relationships/image" Target="../media/image340.emf"/><Relationship Id="rId270" Type="http://schemas.openxmlformats.org/officeDocument/2006/relationships/control" Target="../activeX/activeX467.xml"/><Relationship Id="rId44" Type="http://schemas.openxmlformats.org/officeDocument/2006/relationships/control" Target="../activeX/activeX354.xml"/><Relationship Id="rId65" Type="http://schemas.openxmlformats.org/officeDocument/2006/relationships/image" Target="../media/image313.emf"/><Relationship Id="rId86" Type="http://schemas.openxmlformats.org/officeDocument/2006/relationships/control" Target="../activeX/activeX375.xml"/><Relationship Id="rId130" Type="http://schemas.openxmlformats.org/officeDocument/2006/relationships/control" Target="../activeX/activeX397.xml"/><Relationship Id="rId151" Type="http://schemas.openxmlformats.org/officeDocument/2006/relationships/image" Target="../media/image356.emf"/><Relationship Id="rId172" Type="http://schemas.openxmlformats.org/officeDocument/2006/relationships/control" Target="../activeX/activeX418.xml"/><Relationship Id="rId193" Type="http://schemas.openxmlformats.org/officeDocument/2006/relationships/image" Target="../media/image377.emf"/><Relationship Id="rId207" Type="http://schemas.openxmlformats.org/officeDocument/2006/relationships/image" Target="../media/image384.emf"/><Relationship Id="rId228" Type="http://schemas.openxmlformats.org/officeDocument/2006/relationships/control" Target="../activeX/activeX446.xml"/><Relationship Id="rId249" Type="http://schemas.openxmlformats.org/officeDocument/2006/relationships/image" Target="../media/image405.emf"/><Relationship Id="rId13" Type="http://schemas.openxmlformats.org/officeDocument/2006/relationships/image" Target="../media/image287.emf"/><Relationship Id="rId109" Type="http://schemas.openxmlformats.org/officeDocument/2006/relationships/image" Target="../media/image335.emf"/><Relationship Id="rId260" Type="http://schemas.openxmlformats.org/officeDocument/2006/relationships/control" Target="../activeX/activeX462.xml"/><Relationship Id="rId281" Type="http://schemas.openxmlformats.org/officeDocument/2006/relationships/image" Target="../media/image420.emf"/><Relationship Id="rId34" Type="http://schemas.openxmlformats.org/officeDocument/2006/relationships/control" Target="../activeX/activeX349.xml"/><Relationship Id="rId55" Type="http://schemas.openxmlformats.org/officeDocument/2006/relationships/image" Target="../media/image308.emf"/><Relationship Id="rId76" Type="http://schemas.openxmlformats.org/officeDocument/2006/relationships/control" Target="../activeX/activeX370.xml"/><Relationship Id="rId97" Type="http://schemas.openxmlformats.org/officeDocument/2006/relationships/image" Target="../media/image329.emf"/><Relationship Id="rId120" Type="http://schemas.openxmlformats.org/officeDocument/2006/relationships/control" Target="../activeX/activeX392.xml"/><Relationship Id="rId141" Type="http://schemas.openxmlformats.org/officeDocument/2006/relationships/image" Target="../media/image351.emf"/><Relationship Id="rId7" Type="http://schemas.openxmlformats.org/officeDocument/2006/relationships/image" Target="../media/image284.emf"/><Relationship Id="rId162" Type="http://schemas.openxmlformats.org/officeDocument/2006/relationships/control" Target="../activeX/activeX413.xml"/><Relationship Id="rId183" Type="http://schemas.openxmlformats.org/officeDocument/2006/relationships/image" Target="../media/image372.emf"/><Relationship Id="rId218" Type="http://schemas.openxmlformats.org/officeDocument/2006/relationships/control" Target="../activeX/activeX441.xml"/><Relationship Id="rId239" Type="http://schemas.openxmlformats.org/officeDocument/2006/relationships/image" Target="../media/image400.emf"/><Relationship Id="rId250" Type="http://schemas.openxmlformats.org/officeDocument/2006/relationships/control" Target="../activeX/activeX457.xml"/><Relationship Id="rId271" Type="http://schemas.openxmlformats.org/officeDocument/2006/relationships/image" Target="../media/image416.emf"/><Relationship Id="rId292" Type="http://schemas.openxmlformats.org/officeDocument/2006/relationships/control" Target="../activeX/activeX478.xml"/><Relationship Id="rId306" Type="http://schemas.openxmlformats.org/officeDocument/2006/relationships/control" Target="../activeX/activeX485.xml"/><Relationship Id="rId24" Type="http://schemas.openxmlformats.org/officeDocument/2006/relationships/control" Target="../activeX/activeX344.xml"/><Relationship Id="rId45" Type="http://schemas.openxmlformats.org/officeDocument/2006/relationships/image" Target="../media/image303.emf"/><Relationship Id="rId66" Type="http://schemas.openxmlformats.org/officeDocument/2006/relationships/control" Target="../activeX/activeX365.xml"/><Relationship Id="rId87" Type="http://schemas.openxmlformats.org/officeDocument/2006/relationships/image" Target="../media/image324.emf"/><Relationship Id="rId110" Type="http://schemas.openxmlformats.org/officeDocument/2006/relationships/control" Target="../activeX/activeX387.xml"/><Relationship Id="rId131" Type="http://schemas.openxmlformats.org/officeDocument/2006/relationships/image" Target="../media/image346.emf"/><Relationship Id="rId152" Type="http://schemas.openxmlformats.org/officeDocument/2006/relationships/control" Target="../activeX/activeX408.xml"/><Relationship Id="rId173" Type="http://schemas.openxmlformats.org/officeDocument/2006/relationships/image" Target="../media/image367.emf"/><Relationship Id="rId194" Type="http://schemas.openxmlformats.org/officeDocument/2006/relationships/control" Target="../activeX/activeX429.xml"/><Relationship Id="rId208" Type="http://schemas.openxmlformats.org/officeDocument/2006/relationships/control" Target="../activeX/activeX436.xml"/><Relationship Id="rId229" Type="http://schemas.openxmlformats.org/officeDocument/2006/relationships/image" Target="../media/image395.emf"/><Relationship Id="rId240" Type="http://schemas.openxmlformats.org/officeDocument/2006/relationships/control" Target="../activeX/activeX452.xml"/><Relationship Id="rId261" Type="http://schemas.openxmlformats.org/officeDocument/2006/relationships/image" Target="../media/image411.emf"/><Relationship Id="rId14" Type="http://schemas.openxmlformats.org/officeDocument/2006/relationships/control" Target="../activeX/activeX339.xml"/><Relationship Id="rId35" Type="http://schemas.openxmlformats.org/officeDocument/2006/relationships/image" Target="../media/image298.emf"/><Relationship Id="rId56" Type="http://schemas.openxmlformats.org/officeDocument/2006/relationships/control" Target="../activeX/activeX360.xml"/><Relationship Id="rId77" Type="http://schemas.openxmlformats.org/officeDocument/2006/relationships/image" Target="../media/image319.emf"/><Relationship Id="rId100" Type="http://schemas.openxmlformats.org/officeDocument/2006/relationships/control" Target="../activeX/activeX382.xml"/><Relationship Id="rId282" Type="http://schemas.openxmlformats.org/officeDocument/2006/relationships/control" Target="../activeX/activeX473.xml"/><Relationship Id="rId8" Type="http://schemas.openxmlformats.org/officeDocument/2006/relationships/control" Target="../activeX/activeX336.xml"/><Relationship Id="rId98" Type="http://schemas.openxmlformats.org/officeDocument/2006/relationships/control" Target="../activeX/activeX381.xml"/><Relationship Id="rId121" Type="http://schemas.openxmlformats.org/officeDocument/2006/relationships/image" Target="../media/image341.emf"/><Relationship Id="rId142" Type="http://schemas.openxmlformats.org/officeDocument/2006/relationships/control" Target="../activeX/activeX403.xml"/><Relationship Id="rId163" Type="http://schemas.openxmlformats.org/officeDocument/2006/relationships/image" Target="../media/image362.emf"/><Relationship Id="rId184" Type="http://schemas.openxmlformats.org/officeDocument/2006/relationships/control" Target="../activeX/activeX424.xml"/><Relationship Id="rId219" Type="http://schemas.openxmlformats.org/officeDocument/2006/relationships/image" Target="../media/image390.emf"/><Relationship Id="rId230" Type="http://schemas.openxmlformats.org/officeDocument/2006/relationships/control" Target="../activeX/activeX447.xml"/><Relationship Id="rId251" Type="http://schemas.openxmlformats.org/officeDocument/2006/relationships/image" Target="../media/image406.emf"/><Relationship Id="rId25" Type="http://schemas.openxmlformats.org/officeDocument/2006/relationships/image" Target="../media/image293.emf"/><Relationship Id="rId46" Type="http://schemas.openxmlformats.org/officeDocument/2006/relationships/control" Target="../activeX/activeX355.xml"/><Relationship Id="rId67" Type="http://schemas.openxmlformats.org/officeDocument/2006/relationships/image" Target="../media/image314.emf"/><Relationship Id="rId272" Type="http://schemas.openxmlformats.org/officeDocument/2006/relationships/control" Target="../activeX/activeX468.xml"/><Relationship Id="rId293" Type="http://schemas.openxmlformats.org/officeDocument/2006/relationships/image" Target="../media/image426.emf"/><Relationship Id="rId307" Type="http://schemas.openxmlformats.org/officeDocument/2006/relationships/image" Target="../media/image433.emf"/><Relationship Id="rId88" Type="http://schemas.openxmlformats.org/officeDocument/2006/relationships/control" Target="../activeX/activeX376.xml"/><Relationship Id="rId111" Type="http://schemas.openxmlformats.org/officeDocument/2006/relationships/image" Target="../media/image336.emf"/><Relationship Id="rId132" Type="http://schemas.openxmlformats.org/officeDocument/2006/relationships/control" Target="../activeX/activeX398.xml"/><Relationship Id="rId153" Type="http://schemas.openxmlformats.org/officeDocument/2006/relationships/image" Target="../media/image357.emf"/><Relationship Id="rId174" Type="http://schemas.openxmlformats.org/officeDocument/2006/relationships/control" Target="../activeX/activeX419.xml"/><Relationship Id="rId195" Type="http://schemas.openxmlformats.org/officeDocument/2006/relationships/image" Target="../media/image378.emf"/><Relationship Id="rId209" Type="http://schemas.openxmlformats.org/officeDocument/2006/relationships/image" Target="../media/image385.emf"/><Relationship Id="rId220" Type="http://schemas.openxmlformats.org/officeDocument/2006/relationships/control" Target="../activeX/activeX442.xml"/><Relationship Id="rId241" Type="http://schemas.openxmlformats.org/officeDocument/2006/relationships/image" Target="../media/image401.emf"/><Relationship Id="rId15" Type="http://schemas.openxmlformats.org/officeDocument/2006/relationships/image" Target="../media/image288.emf"/><Relationship Id="rId36" Type="http://schemas.openxmlformats.org/officeDocument/2006/relationships/control" Target="../activeX/activeX350.xml"/><Relationship Id="rId57" Type="http://schemas.openxmlformats.org/officeDocument/2006/relationships/image" Target="../media/image309.emf"/><Relationship Id="rId262" Type="http://schemas.openxmlformats.org/officeDocument/2006/relationships/control" Target="../activeX/activeX463.xml"/><Relationship Id="rId283" Type="http://schemas.openxmlformats.org/officeDocument/2006/relationships/image" Target="../media/image421.emf"/><Relationship Id="rId78" Type="http://schemas.openxmlformats.org/officeDocument/2006/relationships/control" Target="../activeX/activeX371.xml"/><Relationship Id="rId99" Type="http://schemas.openxmlformats.org/officeDocument/2006/relationships/image" Target="../media/image330.emf"/><Relationship Id="rId101" Type="http://schemas.openxmlformats.org/officeDocument/2006/relationships/image" Target="../media/image331.emf"/><Relationship Id="rId122" Type="http://schemas.openxmlformats.org/officeDocument/2006/relationships/control" Target="../activeX/activeX393.xml"/><Relationship Id="rId143" Type="http://schemas.openxmlformats.org/officeDocument/2006/relationships/image" Target="../media/image352.emf"/><Relationship Id="rId164" Type="http://schemas.openxmlformats.org/officeDocument/2006/relationships/control" Target="../activeX/activeX414.xml"/><Relationship Id="rId185" Type="http://schemas.openxmlformats.org/officeDocument/2006/relationships/image" Target="../media/image373.emf"/><Relationship Id="rId9" Type="http://schemas.openxmlformats.org/officeDocument/2006/relationships/image" Target="../media/image285.emf"/><Relationship Id="rId210" Type="http://schemas.openxmlformats.org/officeDocument/2006/relationships/control" Target="../activeX/activeX437.xml"/><Relationship Id="rId26" Type="http://schemas.openxmlformats.org/officeDocument/2006/relationships/control" Target="../activeX/activeX345.xml"/><Relationship Id="rId231" Type="http://schemas.openxmlformats.org/officeDocument/2006/relationships/image" Target="../media/image396.emf"/><Relationship Id="rId252" Type="http://schemas.openxmlformats.org/officeDocument/2006/relationships/control" Target="../activeX/activeX458.xml"/><Relationship Id="rId273" Type="http://schemas.openxmlformats.org/officeDocument/2006/relationships/image" Target="../media/image417.emf"/><Relationship Id="rId294" Type="http://schemas.openxmlformats.org/officeDocument/2006/relationships/control" Target="../activeX/activeX479.xml"/><Relationship Id="rId308" Type="http://schemas.openxmlformats.org/officeDocument/2006/relationships/control" Target="../activeX/activeX486.xml"/><Relationship Id="rId47" Type="http://schemas.openxmlformats.org/officeDocument/2006/relationships/image" Target="../media/image304.emf"/><Relationship Id="rId68" Type="http://schemas.openxmlformats.org/officeDocument/2006/relationships/control" Target="../activeX/activeX366.xml"/><Relationship Id="rId89" Type="http://schemas.openxmlformats.org/officeDocument/2006/relationships/image" Target="../media/image325.emf"/><Relationship Id="rId112" Type="http://schemas.openxmlformats.org/officeDocument/2006/relationships/control" Target="../activeX/activeX388.xml"/><Relationship Id="rId133" Type="http://schemas.openxmlformats.org/officeDocument/2006/relationships/image" Target="../media/image347.emf"/><Relationship Id="rId154" Type="http://schemas.openxmlformats.org/officeDocument/2006/relationships/control" Target="../activeX/activeX409.xml"/><Relationship Id="rId175" Type="http://schemas.openxmlformats.org/officeDocument/2006/relationships/image" Target="../media/image368.emf"/><Relationship Id="rId196" Type="http://schemas.openxmlformats.org/officeDocument/2006/relationships/control" Target="../activeX/activeX430.xml"/><Relationship Id="rId200" Type="http://schemas.openxmlformats.org/officeDocument/2006/relationships/control" Target="../activeX/activeX432.xml"/><Relationship Id="rId16" Type="http://schemas.openxmlformats.org/officeDocument/2006/relationships/control" Target="../activeX/activeX340.xml"/><Relationship Id="rId221" Type="http://schemas.openxmlformats.org/officeDocument/2006/relationships/image" Target="../media/image391.emf"/><Relationship Id="rId242" Type="http://schemas.openxmlformats.org/officeDocument/2006/relationships/control" Target="../activeX/activeX453.xml"/><Relationship Id="rId263" Type="http://schemas.openxmlformats.org/officeDocument/2006/relationships/image" Target="../media/image412.emf"/><Relationship Id="rId284" Type="http://schemas.openxmlformats.org/officeDocument/2006/relationships/control" Target="../activeX/activeX474.xml"/><Relationship Id="rId37" Type="http://schemas.openxmlformats.org/officeDocument/2006/relationships/image" Target="../media/image299.emf"/><Relationship Id="rId58" Type="http://schemas.openxmlformats.org/officeDocument/2006/relationships/control" Target="../activeX/activeX361.xml"/><Relationship Id="rId79" Type="http://schemas.openxmlformats.org/officeDocument/2006/relationships/image" Target="../media/image320.emf"/><Relationship Id="rId102" Type="http://schemas.openxmlformats.org/officeDocument/2006/relationships/control" Target="../activeX/activeX383.xml"/><Relationship Id="rId123" Type="http://schemas.openxmlformats.org/officeDocument/2006/relationships/image" Target="../media/image342.emf"/><Relationship Id="rId144" Type="http://schemas.openxmlformats.org/officeDocument/2006/relationships/control" Target="../activeX/activeX404.xml"/><Relationship Id="rId90" Type="http://schemas.openxmlformats.org/officeDocument/2006/relationships/control" Target="../activeX/activeX377.xml"/><Relationship Id="rId165" Type="http://schemas.openxmlformats.org/officeDocument/2006/relationships/image" Target="../media/image363.emf"/><Relationship Id="rId186" Type="http://schemas.openxmlformats.org/officeDocument/2006/relationships/control" Target="../activeX/activeX425.xml"/><Relationship Id="rId211" Type="http://schemas.openxmlformats.org/officeDocument/2006/relationships/image" Target="../media/image386.emf"/><Relationship Id="rId232" Type="http://schemas.openxmlformats.org/officeDocument/2006/relationships/control" Target="../activeX/activeX448.xml"/><Relationship Id="rId253" Type="http://schemas.openxmlformats.org/officeDocument/2006/relationships/image" Target="../media/image407.emf"/><Relationship Id="rId274" Type="http://schemas.openxmlformats.org/officeDocument/2006/relationships/control" Target="../activeX/activeX469.xml"/><Relationship Id="rId295" Type="http://schemas.openxmlformats.org/officeDocument/2006/relationships/image" Target="../media/image427.emf"/><Relationship Id="rId309" Type="http://schemas.openxmlformats.org/officeDocument/2006/relationships/image" Target="../media/image434.emf"/><Relationship Id="rId27" Type="http://schemas.openxmlformats.org/officeDocument/2006/relationships/image" Target="../media/image294.emf"/><Relationship Id="rId48" Type="http://schemas.openxmlformats.org/officeDocument/2006/relationships/control" Target="../activeX/activeX356.xml"/><Relationship Id="rId69" Type="http://schemas.openxmlformats.org/officeDocument/2006/relationships/image" Target="../media/image315.emf"/><Relationship Id="rId113" Type="http://schemas.openxmlformats.org/officeDocument/2006/relationships/image" Target="../media/image337.emf"/><Relationship Id="rId134" Type="http://schemas.openxmlformats.org/officeDocument/2006/relationships/control" Target="../activeX/activeX399.xml"/><Relationship Id="rId80" Type="http://schemas.openxmlformats.org/officeDocument/2006/relationships/control" Target="../activeX/activeX372.xml"/><Relationship Id="rId155" Type="http://schemas.openxmlformats.org/officeDocument/2006/relationships/image" Target="../media/image358.emf"/><Relationship Id="rId176" Type="http://schemas.openxmlformats.org/officeDocument/2006/relationships/control" Target="../activeX/activeX420.xml"/><Relationship Id="rId197" Type="http://schemas.openxmlformats.org/officeDocument/2006/relationships/image" Target="../media/image379.emf"/><Relationship Id="rId201" Type="http://schemas.openxmlformats.org/officeDocument/2006/relationships/image" Target="../media/image381.emf"/><Relationship Id="rId222" Type="http://schemas.openxmlformats.org/officeDocument/2006/relationships/control" Target="../activeX/activeX443.xml"/><Relationship Id="rId243" Type="http://schemas.openxmlformats.org/officeDocument/2006/relationships/image" Target="../media/image402.emf"/><Relationship Id="rId264" Type="http://schemas.openxmlformats.org/officeDocument/2006/relationships/control" Target="../activeX/activeX464.xml"/><Relationship Id="rId285" Type="http://schemas.openxmlformats.org/officeDocument/2006/relationships/image" Target="../media/image422.emf"/><Relationship Id="rId17" Type="http://schemas.openxmlformats.org/officeDocument/2006/relationships/image" Target="../media/image289.emf"/><Relationship Id="rId38" Type="http://schemas.openxmlformats.org/officeDocument/2006/relationships/control" Target="../activeX/activeX351.xml"/><Relationship Id="rId59" Type="http://schemas.openxmlformats.org/officeDocument/2006/relationships/image" Target="../media/image310.emf"/><Relationship Id="rId103" Type="http://schemas.openxmlformats.org/officeDocument/2006/relationships/image" Target="../media/image332.emf"/><Relationship Id="rId124" Type="http://schemas.openxmlformats.org/officeDocument/2006/relationships/control" Target="../activeX/activeX394.xml"/><Relationship Id="rId310" Type="http://schemas.openxmlformats.org/officeDocument/2006/relationships/table" Target="../tables/table28.xml"/><Relationship Id="rId70" Type="http://schemas.openxmlformats.org/officeDocument/2006/relationships/control" Target="../activeX/activeX367.xml"/><Relationship Id="rId91" Type="http://schemas.openxmlformats.org/officeDocument/2006/relationships/image" Target="../media/image326.emf"/><Relationship Id="rId145" Type="http://schemas.openxmlformats.org/officeDocument/2006/relationships/image" Target="../media/image353.emf"/><Relationship Id="rId166" Type="http://schemas.openxmlformats.org/officeDocument/2006/relationships/control" Target="../activeX/activeX415.xml"/><Relationship Id="rId187" Type="http://schemas.openxmlformats.org/officeDocument/2006/relationships/image" Target="../media/image374.emf"/><Relationship Id="rId1" Type="http://schemas.openxmlformats.org/officeDocument/2006/relationships/printerSettings" Target="../printerSettings/printerSettings39.bin"/><Relationship Id="rId212" Type="http://schemas.openxmlformats.org/officeDocument/2006/relationships/control" Target="../activeX/activeX438.xml"/><Relationship Id="rId233" Type="http://schemas.openxmlformats.org/officeDocument/2006/relationships/image" Target="../media/image397.emf"/><Relationship Id="rId254" Type="http://schemas.openxmlformats.org/officeDocument/2006/relationships/control" Target="../activeX/activeX459.xml"/><Relationship Id="rId28" Type="http://schemas.openxmlformats.org/officeDocument/2006/relationships/control" Target="../activeX/activeX346.xml"/><Relationship Id="rId49" Type="http://schemas.openxmlformats.org/officeDocument/2006/relationships/image" Target="../media/image305.emf"/><Relationship Id="rId114" Type="http://schemas.openxmlformats.org/officeDocument/2006/relationships/control" Target="../activeX/activeX389.xml"/><Relationship Id="rId275" Type="http://schemas.openxmlformats.org/officeDocument/2006/relationships/image" Target="../media/image256.emf"/><Relationship Id="rId296" Type="http://schemas.openxmlformats.org/officeDocument/2006/relationships/control" Target="../activeX/activeX480.xml"/><Relationship Id="rId300" Type="http://schemas.openxmlformats.org/officeDocument/2006/relationships/control" Target="../activeX/activeX482.xml"/><Relationship Id="rId60" Type="http://schemas.openxmlformats.org/officeDocument/2006/relationships/control" Target="../activeX/activeX362.xml"/><Relationship Id="rId81" Type="http://schemas.openxmlformats.org/officeDocument/2006/relationships/image" Target="../media/image321.emf"/><Relationship Id="rId135" Type="http://schemas.openxmlformats.org/officeDocument/2006/relationships/image" Target="../media/image348.emf"/><Relationship Id="rId156" Type="http://schemas.openxmlformats.org/officeDocument/2006/relationships/control" Target="../activeX/activeX410.xml"/><Relationship Id="rId177" Type="http://schemas.openxmlformats.org/officeDocument/2006/relationships/image" Target="../media/image369.emf"/><Relationship Id="rId198" Type="http://schemas.openxmlformats.org/officeDocument/2006/relationships/control" Target="../activeX/activeX431.xml"/><Relationship Id="rId202" Type="http://schemas.openxmlformats.org/officeDocument/2006/relationships/control" Target="../activeX/activeX433.xml"/><Relationship Id="rId223" Type="http://schemas.openxmlformats.org/officeDocument/2006/relationships/image" Target="../media/image392.emf"/><Relationship Id="rId244" Type="http://schemas.openxmlformats.org/officeDocument/2006/relationships/control" Target="../activeX/activeX454.xml"/><Relationship Id="rId18" Type="http://schemas.openxmlformats.org/officeDocument/2006/relationships/control" Target="../activeX/activeX341.xml"/><Relationship Id="rId39" Type="http://schemas.openxmlformats.org/officeDocument/2006/relationships/image" Target="../media/image300.emf"/><Relationship Id="rId265" Type="http://schemas.openxmlformats.org/officeDocument/2006/relationships/image" Target="../media/image413.emf"/><Relationship Id="rId286" Type="http://schemas.openxmlformats.org/officeDocument/2006/relationships/control" Target="../activeX/activeX475.xml"/><Relationship Id="rId50" Type="http://schemas.openxmlformats.org/officeDocument/2006/relationships/control" Target="../activeX/activeX357.xml"/><Relationship Id="rId104" Type="http://schemas.openxmlformats.org/officeDocument/2006/relationships/control" Target="../activeX/activeX384.xml"/><Relationship Id="rId125" Type="http://schemas.openxmlformats.org/officeDocument/2006/relationships/image" Target="../media/image343.emf"/><Relationship Id="rId146" Type="http://schemas.openxmlformats.org/officeDocument/2006/relationships/control" Target="../activeX/activeX405.xml"/><Relationship Id="rId167" Type="http://schemas.openxmlformats.org/officeDocument/2006/relationships/image" Target="../media/image364.emf"/><Relationship Id="rId188" Type="http://schemas.openxmlformats.org/officeDocument/2006/relationships/control" Target="../activeX/activeX426.xml"/><Relationship Id="rId71" Type="http://schemas.openxmlformats.org/officeDocument/2006/relationships/image" Target="../media/image316.emf"/><Relationship Id="rId92" Type="http://schemas.openxmlformats.org/officeDocument/2006/relationships/control" Target="../activeX/activeX378.xml"/><Relationship Id="rId213" Type="http://schemas.openxmlformats.org/officeDocument/2006/relationships/image" Target="../media/image387.emf"/><Relationship Id="rId234" Type="http://schemas.openxmlformats.org/officeDocument/2006/relationships/control" Target="../activeX/activeX449.xml"/><Relationship Id="rId2" Type="http://schemas.openxmlformats.org/officeDocument/2006/relationships/drawing" Target="../drawings/drawing37.xml"/><Relationship Id="rId29" Type="http://schemas.openxmlformats.org/officeDocument/2006/relationships/image" Target="../media/image295.emf"/><Relationship Id="rId255" Type="http://schemas.openxmlformats.org/officeDocument/2006/relationships/image" Target="../media/image408.emf"/><Relationship Id="rId276" Type="http://schemas.openxmlformats.org/officeDocument/2006/relationships/control" Target="../activeX/activeX470.xml"/><Relationship Id="rId297" Type="http://schemas.openxmlformats.org/officeDocument/2006/relationships/image" Target="../media/image428.emf"/><Relationship Id="rId40" Type="http://schemas.openxmlformats.org/officeDocument/2006/relationships/control" Target="../activeX/activeX352.xml"/><Relationship Id="rId115" Type="http://schemas.openxmlformats.org/officeDocument/2006/relationships/image" Target="../media/image338.emf"/><Relationship Id="rId136" Type="http://schemas.openxmlformats.org/officeDocument/2006/relationships/control" Target="../activeX/activeX400.xml"/><Relationship Id="rId157" Type="http://schemas.openxmlformats.org/officeDocument/2006/relationships/image" Target="../media/image359.emf"/><Relationship Id="rId178" Type="http://schemas.openxmlformats.org/officeDocument/2006/relationships/control" Target="../activeX/activeX421.xml"/><Relationship Id="rId301" Type="http://schemas.openxmlformats.org/officeDocument/2006/relationships/image" Target="../media/image430.emf"/><Relationship Id="rId61" Type="http://schemas.openxmlformats.org/officeDocument/2006/relationships/image" Target="../media/image311.emf"/><Relationship Id="rId82" Type="http://schemas.openxmlformats.org/officeDocument/2006/relationships/control" Target="../activeX/activeX373.xml"/><Relationship Id="rId199" Type="http://schemas.openxmlformats.org/officeDocument/2006/relationships/image" Target="../media/image380.emf"/><Relationship Id="rId203" Type="http://schemas.openxmlformats.org/officeDocument/2006/relationships/image" Target="../media/image382.emf"/><Relationship Id="rId19" Type="http://schemas.openxmlformats.org/officeDocument/2006/relationships/image" Target="../media/image290.emf"/><Relationship Id="rId224" Type="http://schemas.openxmlformats.org/officeDocument/2006/relationships/control" Target="../activeX/activeX444.xml"/><Relationship Id="rId245" Type="http://schemas.openxmlformats.org/officeDocument/2006/relationships/image" Target="../media/image403.emf"/><Relationship Id="rId266" Type="http://schemas.openxmlformats.org/officeDocument/2006/relationships/control" Target="../activeX/activeX465.xml"/><Relationship Id="rId287" Type="http://schemas.openxmlformats.org/officeDocument/2006/relationships/image" Target="../media/image423.emf"/><Relationship Id="rId30" Type="http://schemas.openxmlformats.org/officeDocument/2006/relationships/control" Target="../activeX/activeX347.xml"/><Relationship Id="rId105" Type="http://schemas.openxmlformats.org/officeDocument/2006/relationships/image" Target="../media/image333.emf"/><Relationship Id="rId126" Type="http://schemas.openxmlformats.org/officeDocument/2006/relationships/control" Target="../activeX/activeX395.xml"/><Relationship Id="rId147" Type="http://schemas.openxmlformats.org/officeDocument/2006/relationships/image" Target="../media/image354.emf"/><Relationship Id="rId168" Type="http://schemas.openxmlformats.org/officeDocument/2006/relationships/control" Target="../activeX/activeX416.xml"/><Relationship Id="rId51" Type="http://schemas.openxmlformats.org/officeDocument/2006/relationships/image" Target="../media/image306.emf"/><Relationship Id="rId72" Type="http://schemas.openxmlformats.org/officeDocument/2006/relationships/control" Target="../activeX/activeX368.xml"/><Relationship Id="rId93" Type="http://schemas.openxmlformats.org/officeDocument/2006/relationships/image" Target="../media/image327.emf"/><Relationship Id="rId189" Type="http://schemas.openxmlformats.org/officeDocument/2006/relationships/image" Target="../media/image375.emf"/><Relationship Id="rId3" Type="http://schemas.openxmlformats.org/officeDocument/2006/relationships/vmlDrawing" Target="../drawings/vmlDrawing35.vml"/><Relationship Id="rId214" Type="http://schemas.openxmlformats.org/officeDocument/2006/relationships/control" Target="../activeX/activeX439.xml"/><Relationship Id="rId235" Type="http://schemas.openxmlformats.org/officeDocument/2006/relationships/image" Target="../media/image398.emf"/><Relationship Id="rId256" Type="http://schemas.openxmlformats.org/officeDocument/2006/relationships/control" Target="../activeX/activeX460.xml"/><Relationship Id="rId277" Type="http://schemas.openxmlformats.org/officeDocument/2006/relationships/image" Target="../media/image418.emf"/><Relationship Id="rId298" Type="http://schemas.openxmlformats.org/officeDocument/2006/relationships/control" Target="../activeX/activeX481.xml"/><Relationship Id="rId116" Type="http://schemas.openxmlformats.org/officeDocument/2006/relationships/control" Target="../activeX/activeX390.xml"/><Relationship Id="rId137" Type="http://schemas.openxmlformats.org/officeDocument/2006/relationships/image" Target="../media/image349.emf"/><Relationship Id="rId158" Type="http://schemas.openxmlformats.org/officeDocument/2006/relationships/control" Target="../activeX/activeX411.xml"/><Relationship Id="rId302" Type="http://schemas.openxmlformats.org/officeDocument/2006/relationships/control" Target="../activeX/activeX483.xml"/><Relationship Id="rId20" Type="http://schemas.openxmlformats.org/officeDocument/2006/relationships/control" Target="../activeX/activeX342.xml"/><Relationship Id="rId41" Type="http://schemas.openxmlformats.org/officeDocument/2006/relationships/image" Target="../media/image301.emf"/><Relationship Id="rId62" Type="http://schemas.openxmlformats.org/officeDocument/2006/relationships/control" Target="../activeX/activeX363.xml"/><Relationship Id="rId83" Type="http://schemas.openxmlformats.org/officeDocument/2006/relationships/image" Target="../media/image322.emf"/><Relationship Id="rId179" Type="http://schemas.openxmlformats.org/officeDocument/2006/relationships/image" Target="../media/image370.emf"/><Relationship Id="rId190" Type="http://schemas.openxmlformats.org/officeDocument/2006/relationships/control" Target="../activeX/activeX427.xml"/><Relationship Id="rId204" Type="http://schemas.openxmlformats.org/officeDocument/2006/relationships/control" Target="../activeX/activeX434.xml"/><Relationship Id="rId225" Type="http://schemas.openxmlformats.org/officeDocument/2006/relationships/image" Target="../media/image393.emf"/><Relationship Id="rId246" Type="http://schemas.openxmlformats.org/officeDocument/2006/relationships/control" Target="../activeX/activeX455.xml"/><Relationship Id="rId267" Type="http://schemas.openxmlformats.org/officeDocument/2006/relationships/image" Target="../media/image414.emf"/><Relationship Id="rId288" Type="http://schemas.openxmlformats.org/officeDocument/2006/relationships/control" Target="../activeX/activeX476.xml"/><Relationship Id="rId106" Type="http://schemas.openxmlformats.org/officeDocument/2006/relationships/control" Target="../activeX/activeX385.xml"/><Relationship Id="rId127" Type="http://schemas.openxmlformats.org/officeDocument/2006/relationships/image" Target="../media/image344.emf"/><Relationship Id="rId10" Type="http://schemas.openxmlformats.org/officeDocument/2006/relationships/control" Target="../activeX/activeX337.xml"/><Relationship Id="rId31" Type="http://schemas.openxmlformats.org/officeDocument/2006/relationships/image" Target="../media/image296.emf"/><Relationship Id="rId52" Type="http://schemas.openxmlformats.org/officeDocument/2006/relationships/control" Target="../activeX/activeX358.xml"/><Relationship Id="rId73" Type="http://schemas.openxmlformats.org/officeDocument/2006/relationships/image" Target="../media/image317.emf"/><Relationship Id="rId94" Type="http://schemas.openxmlformats.org/officeDocument/2006/relationships/control" Target="../activeX/activeX379.xml"/><Relationship Id="rId148" Type="http://schemas.openxmlformats.org/officeDocument/2006/relationships/control" Target="../activeX/activeX406.xml"/><Relationship Id="rId169" Type="http://schemas.openxmlformats.org/officeDocument/2006/relationships/image" Target="../media/image365.emf"/><Relationship Id="rId4" Type="http://schemas.openxmlformats.org/officeDocument/2006/relationships/control" Target="../activeX/activeX334.xml"/><Relationship Id="rId180" Type="http://schemas.openxmlformats.org/officeDocument/2006/relationships/control" Target="../activeX/activeX422.xml"/><Relationship Id="rId215" Type="http://schemas.openxmlformats.org/officeDocument/2006/relationships/image" Target="../media/image388.emf"/><Relationship Id="rId236" Type="http://schemas.openxmlformats.org/officeDocument/2006/relationships/control" Target="../activeX/activeX450.xml"/><Relationship Id="rId257" Type="http://schemas.openxmlformats.org/officeDocument/2006/relationships/image" Target="../media/image409.emf"/><Relationship Id="rId278" Type="http://schemas.openxmlformats.org/officeDocument/2006/relationships/control" Target="../activeX/activeX471.xml"/><Relationship Id="rId303" Type="http://schemas.openxmlformats.org/officeDocument/2006/relationships/image" Target="../media/image431.emf"/><Relationship Id="rId42" Type="http://schemas.openxmlformats.org/officeDocument/2006/relationships/control" Target="../activeX/activeX353.xml"/><Relationship Id="rId84" Type="http://schemas.openxmlformats.org/officeDocument/2006/relationships/control" Target="../activeX/activeX374.xml"/><Relationship Id="rId138" Type="http://schemas.openxmlformats.org/officeDocument/2006/relationships/control" Target="../activeX/activeX401.xml"/><Relationship Id="rId191" Type="http://schemas.openxmlformats.org/officeDocument/2006/relationships/image" Target="../media/image376.emf"/><Relationship Id="rId205" Type="http://schemas.openxmlformats.org/officeDocument/2006/relationships/image" Target="../media/image383.emf"/><Relationship Id="rId247" Type="http://schemas.openxmlformats.org/officeDocument/2006/relationships/image" Target="../media/image404.emf"/><Relationship Id="rId107" Type="http://schemas.openxmlformats.org/officeDocument/2006/relationships/image" Target="../media/image334.emf"/><Relationship Id="rId289" Type="http://schemas.openxmlformats.org/officeDocument/2006/relationships/image" Target="../media/image424.emf"/><Relationship Id="rId11" Type="http://schemas.openxmlformats.org/officeDocument/2006/relationships/image" Target="../media/image286.emf"/><Relationship Id="rId53" Type="http://schemas.openxmlformats.org/officeDocument/2006/relationships/image" Target="../media/image307.emf"/><Relationship Id="rId149" Type="http://schemas.openxmlformats.org/officeDocument/2006/relationships/image" Target="../media/image355.emf"/><Relationship Id="rId95" Type="http://schemas.openxmlformats.org/officeDocument/2006/relationships/image" Target="../media/image328.emf"/><Relationship Id="rId160" Type="http://schemas.openxmlformats.org/officeDocument/2006/relationships/control" Target="../activeX/activeX412.xml"/><Relationship Id="rId216" Type="http://schemas.openxmlformats.org/officeDocument/2006/relationships/control" Target="../activeX/activeX440.xml"/><Relationship Id="rId258" Type="http://schemas.openxmlformats.org/officeDocument/2006/relationships/control" Target="../activeX/activeX461.xml"/><Relationship Id="rId22" Type="http://schemas.openxmlformats.org/officeDocument/2006/relationships/control" Target="../activeX/activeX343.xml"/><Relationship Id="rId64" Type="http://schemas.openxmlformats.org/officeDocument/2006/relationships/control" Target="../activeX/activeX364.xml"/><Relationship Id="rId118" Type="http://schemas.openxmlformats.org/officeDocument/2006/relationships/control" Target="../activeX/activeX391.xml"/><Relationship Id="rId171" Type="http://schemas.openxmlformats.org/officeDocument/2006/relationships/image" Target="../media/image366.emf"/><Relationship Id="rId227" Type="http://schemas.openxmlformats.org/officeDocument/2006/relationships/image" Target="../media/image394.emf"/><Relationship Id="rId269" Type="http://schemas.openxmlformats.org/officeDocument/2006/relationships/image" Target="../media/image415.emf"/><Relationship Id="rId33" Type="http://schemas.openxmlformats.org/officeDocument/2006/relationships/image" Target="../media/image297.emf"/><Relationship Id="rId129" Type="http://schemas.openxmlformats.org/officeDocument/2006/relationships/image" Target="../media/image345.emf"/><Relationship Id="rId280" Type="http://schemas.openxmlformats.org/officeDocument/2006/relationships/control" Target="../activeX/activeX472.xml"/><Relationship Id="rId75" Type="http://schemas.openxmlformats.org/officeDocument/2006/relationships/image" Target="../media/image318.emf"/><Relationship Id="rId140" Type="http://schemas.openxmlformats.org/officeDocument/2006/relationships/control" Target="../activeX/activeX402.xml"/><Relationship Id="rId182" Type="http://schemas.openxmlformats.org/officeDocument/2006/relationships/control" Target="../activeX/activeX423.xml"/><Relationship Id="rId6" Type="http://schemas.openxmlformats.org/officeDocument/2006/relationships/control" Target="../activeX/activeX335.xml"/><Relationship Id="rId238" Type="http://schemas.openxmlformats.org/officeDocument/2006/relationships/control" Target="../activeX/activeX451.xml"/><Relationship Id="rId291" Type="http://schemas.openxmlformats.org/officeDocument/2006/relationships/image" Target="../media/image425.emf"/><Relationship Id="rId305" Type="http://schemas.openxmlformats.org/officeDocument/2006/relationships/image" Target="../media/image432.emf"/></Relationships>
</file>

<file path=xl/worksheets/_rels/sheet47.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40.bin"/></Relationships>
</file>

<file path=xl/worksheets/_rels/sheet48.xml.rels><?xml version="1.0" encoding="UTF-8" standalone="yes"?>
<Relationships xmlns="http://schemas.openxmlformats.org/package/2006/relationships"><Relationship Id="rId117" Type="http://schemas.openxmlformats.org/officeDocument/2006/relationships/image" Target="../media/image490.emf"/><Relationship Id="rId21" Type="http://schemas.openxmlformats.org/officeDocument/2006/relationships/image" Target="../media/image443.emf"/><Relationship Id="rId42" Type="http://schemas.openxmlformats.org/officeDocument/2006/relationships/control" Target="../activeX/activeX506.xml"/><Relationship Id="rId63" Type="http://schemas.openxmlformats.org/officeDocument/2006/relationships/image" Target="../media/image464.emf"/><Relationship Id="rId84" Type="http://schemas.openxmlformats.org/officeDocument/2006/relationships/control" Target="../activeX/activeX527.xml"/><Relationship Id="rId138" Type="http://schemas.openxmlformats.org/officeDocument/2006/relationships/control" Target="../activeX/activeX554.xml"/><Relationship Id="rId159" Type="http://schemas.openxmlformats.org/officeDocument/2006/relationships/image" Target="../media/image511.emf"/><Relationship Id="rId107" Type="http://schemas.openxmlformats.org/officeDocument/2006/relationships/image" Target="../media/image486.emf"/><Relationship Id="rId11" Type="http://schemas.openxmlformats.org/officeDocument/2006/relationships/image" Target="../media/image438.emf"/><Relationship Id="rId32" Type="http://schemas.openxmlformats.org/officeDocument/2006/relationships/control" Target="../activeX/activeX501.xml"/><Relationship Id="rId53" Type="http://schemas.openxmlformats.org/officeDocument/2006/relationships/image" Target="../media/image459.emf"/><Relationship Id="rId74" Type="http://schemas.openxmlformats.org/officeDocument/2006/relationships/control" Target="../activeX/activeX522.xml"/><Relationship Id="rId128" Type="http://schemas.openxmlformats.org/officeDocument/2006/relationships/control" Target="../activeX/activeX549.xml"/><Relationship Id="rId149" Type="http://schemas.openxmlformats.org/officeDocument/2006/relationships/image" Target="../media/image506.emf"/><Relationship Id="rId5" Type="http://schemas.openxmlformats.org/officeDocument/2006/relationships/image" Target="../media/image435.emf"/><Relationship Id="rId95" Type="http://schemas.openxmlformats.org/officeDocument/2006/relationships/image" Target="../media/image480.emf"/><Relationship Id="rId160" Type="http://schemas.openxmlformats.org/officeDocument/2006/relationships/control" Target="../activeX/activeX565.xml"/><Relationship Id="rId22" Type="http://schemas.openxmlformats.org/officeDocument/2006/relationships/control" Target="../activeX/activeX496.xml"/><Relationship Id="rId43" Type="http://schemas.openxmlformats.org/officeDocument/2006/relationships/image" Target="../media/image454.emf"/><Relationship Id="rId64" Type="http://schemas.openxmlformats.org/officeDocument/2006/relationships/control" Target="../activeX/activeX517.xml"/><Relationship Id="rId118" Type="http://schemas.openxmlformats.org/officeDocument/2006/relationships/control" Target="../activeX/activeX544.xml"/><Relationship Id="rId139" Type="http://schemas.openxmlformats.org/officeDocument/2006/relationships/image" Target="../media/image501.emf"/><Relationship Id="rId85" Type="http://schemas.openxmlformats.org/officeDocument/2006/relationships/image" Target="../media/image475.emf"/><Relationship Id="rId150" Type="http://schemas.openxmlformats.org/officeDocument/2006/relationships/control" Target="../activeX/activeX560.xml"/><Relationship Id="rId12" Type="http://schemas.openxmlformats.org/officeDocument/2006/relationships/control" Target="../activeX/activeX491.xml"/><Relationship Id="rId17" Type="http://schemas.openxmlformats.org/officeDocument/2006/relationships/image" Target="../media/image441.emf"/><Relationship Id="rId33" Type="http://schemas.openxmlformats.org/officeDocument/2006/relationships/image" Target="../media/image449.emf"/><Relationship Id="rId38" Type="http://schemas.openxmlformats.org/officeDocument/2006/relationships/control" Target="../activeX/activeX504.xml"/><Relationship Id="rId59" Type="http://schemas.openxmlformats.org/officeDocument/2006/relationships/image" Target="../media/image462.emf"/><Relationship Id="rId103" Type="http://schemas.openxmlformats.org/officeDocument/2006/relationships/image" Target="../media/image484.emf"/><Relationship Id="rId108" Type="http://schemas.openxmlformats.org/officeDocument/2006/relationships/control" Target="../activeX/activeX539.xml"/><Relationship Id="rId124" Type="http://schemas.openxmlformats.org/officeDocument/2006/relationships/control" Target="../activeX/activeX547.xml"/><Relationship Id="rId129" Type="http://schemas.openxmlformats.org/officeDocument/2006/relationships/image" Target="../media/image496.emf"/><Relationship Id="rId54" Type="http://schemas.openxmlformats.org/officeDocument/2006/relationships/control" Target="../activeX/activeX512.xml"/><Relationship Id="rId70" Type="http://schemas.openxmlformats.org/officeDocument/2006/relationships/control" Target="../activeX/activeX520.xml"/><Relationship Id="rId75" Type="http://schemas.openxmlformats.org/officeDocument/2006/relationships/image" Target="../media/image470.emf"/><Relationship Id="rId91" Type="http://schemas.openxmlformats.org/officeDocument/2006/relationships/image" Target="../media/image478.emf"/><Relationship Id="rId96" Type="http://schemas.openxmlformats.org/officeDocument/2006/relationships/control" Target="../activeX/activeX533.xml"/><Relationship Id="rId140" Type="http://schemas.openxmlformats.org/officeDocument/2006/relationships/control" Target="../activeX/activeX555.xml"/><Relationship Id="rId145" Type="http://schemas.openxmlformats.org/officeDocument/2006/relationships/image" Target="../media/image504.emf"/><Relationship Id="rId161" Type="http://schemas.openxmlformats.org/officeDocument/2006/relationships/image" Target="../media/image512.emf"/><Relationship Id="rId1" Type="http://schemas.openxmlformats.org/officeDocument/2006/relationships/printerSettings" Target="../printerSettings/printerSettings41.bin"/><Relationship Id="rId6" Type="http://schemas.openxmlformats.org/officeDocument/2006/relationships/control" Target="../activeX/activeX488.xml"/><Relationship Id="rId23" Type="http://schemas.openxmlformats.org/officeDocument/2006/relationships/image" Target="../media/image444.emf"/><Relationship Id="rId28" Type="http://schemas.openxmlformats.org/officeDocument/2006/relationships/control" Target="../activeX/activeX499.xml"/><Relationship Id="rId49" Type="http://schemas.openxmlformats.org/officeDocument/2006/relationships/image" Target="../media/image457.emf"/><Relationship Id="rId114" Type="http://schemas.openxmlformats.org/officeDocument/2006/relationships/control" Target="../activeX/activeX542.xml"/><Relationship Id="rId119" Type="http://schemas.openxmlformats.org/officeDocument/2006/relationships/image" Target="../media/image491.emf"/><Relationship Id="rId44" Type="http://schemas.openxmlformats.org/officeDocument/2006/relationships/control" Target="../activeX/activeX507.xml"/><Relationship Id="rId60" Type="http://schemas.openxmlformats.org/officeDocument/2006/relationships/control" Target="../activeX/activeX515.xml"/><Relationship Id="rId65" Type="http://schemas.openxmlformats.org/officeDocument/2006/relationships/image" Target="../media/image465.emf"/><Relationship Id="rId81" Type="http://schemas.openxmlformats.org/officeDocument/2006/relationships/image" Target="../media/image473.emf"/><Relationship Id="rId86" Type="http://schemas.openxmlformats.org/officeDocument/2006/relationships/control" Target="../activeX/activeX528.xml"/><Relationship Id="rId130" Type="http://schemas.openxmlformats.org/officeDocument/2006/relationships/control" Target="../activeX/activeX550.xml"/><Relationship Id="rId135" Type="http://schemas.openxmlformats.org/officeDocument/2006/relationships/image" Target="../media/image499.emf"/><Relationship Id="rId151" Type="http://schemas.openxmlformats.org/officeDocument/2006/relationships/image" Target="../media/image507.emf"/><Relationship Id="rId156" Type="http://schemas.openxmlformats.org/officeDocument/2006/relationships/control" Target="../activeX/activeX563.xml"/><Relationship Id="rId13" Type="http://schemas.openxmlformats.org/officeDocument/2006/relationships/image" Target="../media/image439.emf"/><Relationship Id="rId18" Type="http://schemas.openxmlformats.org/officeDocument/2006/relationships/control" Target="../activeX/activeX494.xml"/><Relationship Id="rId39" Type="http://schemas.openxmlformats.org/officeDocument/2006/relationships/image" Target="../media/image452.emf"/><Relationship Id="rId109" Type="http://schemas.openxmlformats.org/officeDocument/2006/relationships/image" Target="../media/image487.emf"/><Relationship Id="rId34" Type="http://schemas.openxmlformats.org/officeDocument/2006/relationships/control" Target="../activeX/activeX502.xml"/><Relationship Id="rId50" Type="http://schemas.openxmlformats.org/officeDocument/2006/relationships/control" Target="../activeX/activeX510.xml"/><Relationship Id="rId55" Type="http://schemas.openxmlformats.org/officeDocument/2006/relationships/image" Target="../media/image460.emf"/><Relationship Id="rId76" Type="http://schemas.openxmlformats.org/officeDocument/2006/relationships/control" Target="../activeX/activeX523.xml"/><Relationship Id="rId97" Type="http://schemas.openxmlformats.org/officeDocument/2006/relationships/image" Target="../media/image481.emf"/><Relationship Id="rId104" Type="http://schemas.openxmlformats.org/officeDocument/2006/relationships/control" Target="../activeX/activeX537.xml"/><Relationship Id="rId120" Type="http://schemas.openxmlformats.org/officeDocument/2006/relationships/control" Target="../activeX/activeX545.xml"/><Relationship Id="rId125" Type="http://schemas.openxmlformats.org/officeDocument/2006/relationships/image" Target="../media/image494.emf"/><Relationship Id="rId141" Type="http://schemas.openxmlformats.org/officeDocument/2006/relationships/image" Target="../media/image502.emf"/><Relationship Id="rId146" Type="http://schemas.openxmlformats.org/officeDocument/2006/relationships/control" Target="../activeX/activeX558.xml"/><Relationship Id="rId7" Type="http://schemas.openxmlformats.org/officeDocument/2006/relationships/image" Target="../media/image436.emf"/><Relationship Id="rId71" Type="http://schemas.openxmlformats.org/officeDocument/2006/relationships/image" Target="../media/image468.emf"/><Relationship Id="rId92" Type="http://schemas.openxmlformats.org/officeDocument/2006/relationships/control" Target="../activeX/activeX531.xml"/><Relationship Id="rId162" Type="http://schemas.openxmlformats.org/officeDocument/2006/relationships/control" Target="../activeX/activeX566.xml"/><Relationship Id="rId2" Type="http://schemas.openxmlformats.org/officeDocument/2006/relationships/drawing" Target="../drawings/drawing38.xml"/><Relationship Id="rId29" Type="http://schemas.openxmlformats.org/officeDocument/2006/relationships/image" Target="../media/image447.emf"/><Relationship Id="rId24" Type="http://schemas.openxmlformats.org/officeDocument/2006/relationships/control" Target="../activeX/activeX497.xml"/><Relationship Id="rId40" Type="http://schemas.openxmlformats.org/officeDocument/2006/relationships/control" Target="../activeX/activeX505.xml"/><Relationship Id="rId45" Type="http://schemas.openxmlformats.org/officeDocument/2006/relationships/image" Target="../media/image455.emf"/><Relationship Id="rId66" Type="http://schemas.openxmlformats.org/officeDocument/2006/relationships/control" Target="../activeX/activeX518.xml"/><Relationship Id="rId87" Type="http://schemas.openxmlformats.org/officeDocument/2006/relationships/image" Target="../media/image476.emf"/><Relationship Id="rId110" Type="http://schemas.openxmlformats.org/officeDocument/2006/relationships/control" Target="../activeX/activeX540.xml"/><Relationship Id="rId115" Type="http://schemas.openxmlformats.org/officeDocument/2006/relationships/image" Target="../media/image489.emf"/><Relationship Id="rId131" Type="http://schemas.openxmlformats.org/officeDocument/2006/relationships/image" Target="../media/image497.emf"/><Relationship Id="rId136" Type="http://schemas.openxmlformats.org/officeDocument/2006/relationships/control" Target="../activeX/activeX553.xml"/><Relationship Id="rId157" Type="http://schemas.openxmlformats.org/officeDocument/2006/relationships/image" Target="../media/image510.emf"/><Relationship Id="rId61" Type="http://schemas.openxmlformats.org/officeDocument/2006/relationships/image" Target="../media/image463.emf"/><Relationship Id="rId82" Type="http://schemas.openxmlformats.org/officeDocument/2006/relationships/control" Target="../activeX/activeX526.xml"/><Relationship Id="rId152" Type="http://schemas.openxmlformats.org/officeDocument/2006/relationships/control" Target="../activeX/activeX561.xml"/><Relationship Id="rId19" Type="http://schemas.openxmlformats.org/officeDocument/2006/relationships/image" Target="../media/image442.emf"/><Relationship Id="rId14" Type="http://schemas.openxmlformats.org/officeDocument/2006/relationships/control" Target="../activeX/activeX492.xml"/><Relationship Id="rId30" Type="http://schemas.openxmlformats.org/officeDocument/2006/relationships/control" Target="../activeX/activeX500.xml"/><Relationship Id="rId35" Type="http://schemas.openxmlformats.org/officeDocument/2006/relationships/image" Target="../media/image450.emf"/><Relationship Id="rId56" Type="http://schemas.openxmlformats.org/officeDocument/2006/relationships/control" Target="../activeX/activeX513.xml"/><Relationship Id="rId77" Type="http://schemas.openxmlformats.org/officeDocument/2006/relationships/image" Target="../media/image471.emf"/><Relationship Id="rId100" Type="http://schemas.openxmlformats.org/officeDocument/2006/relationships/control" Target="../activeX/activeX535.xml"/><Relationship Id="rId105" Type="http://schemas.openxmlformats.org/officeDocument/2006/relationships/image" Target="../media/image485.emf"/><Relationship Id="rId126" Type="http://schemas.openxmlformats.org/officeDocument/2006/relationships/control" Target="../activeX/activeX548.xml"/><Relationship Id="rId147" Type="http://schemas.openxmlformats.org/officeDocument/2006/relationships/image" Target="../media/image505.emf"/><Relationship Id="rId8" Type="http://schemas.openxmlformats.org/officeDocument/2006/relationships/control" Target="../activeX/activeX489.xml"/><Relationship Id="rId51" Type="http://schemas.openxmlformats.org/officeDocument/2006/relationships/image" Target="../media/image458.emf"/><Relationship Id="rId72" Type="http://schemas.openxmlformats.org/officeDocument/2006/relationships/control" Target="../activeX/activeX521.xml"/><Relationship Id="rId93" Type="http://schemas.openxmlformats.org/officeDocument/2006/relationships/image" Target="../media/image479.emf"/><Relationship Id="rId98" Type="http://schemas.openxmlformats.org/officeDocument/2006/relationships/control" Target="../activeX/activeX534.xml"/><Relationship Id="rId121" Type="http://schemas.openxmlformats.org/officeDocument/2006/relationships/image" Target="../media/image492.emf"/><Relationship Id="rId142" Type="http://schemas.openxmlformats.org/officeDocument/2006/relationships/control" Target="../activeX/activeX556.xml"/><Relationship Id="rId163" Type="http://schemas.openxmlformats.org/officeDocument/2006/relationships/image" Target="../media/image245.emf"/><Relationship Id="rId3" Type="http://schemas.openxmlformats.org/officeDocument/2006/relationships/vmlDrawing" Target="../drawings/vmlDrawing36.vml"/><Relationship Id="rId25" Type="http://schemas.openxmlformats.org/officeDocument/2006/relationships/image" Target="../media/image445.emf"/><Relationship Id="rId46" Type="http://schemas.openxmlformats.org/officeDocument/2006/relationships/control" Target="../activeX/activeX508.xml"/><Relationship Id="rId67" Type="http://schemas.openxmlformats.org/officeDocument/2006/relationships/image" Target="../media/image466.emf"/><Relationship Id="rId116" Type="http://schemas.openxmlformats.org/officeDocument/2006/relationships/control" Target="../activeX/activeX543.xml"/><Relationship Id="rId137" Type="http://schemas.openxmlformats.org/officeDocument/2006/relationships/image" Target="../media/image500.emf"/><Relationship Id="rId158" Type="http://schemas.openxmlformats.org/officeDocument/2006/relationships/control" Target="../activeX/activeX564.xml"/><Relationship Id="rId20" Type="http://schemas.openxmlformats.org/officeDocument/2006/relationships/control" Target="../activeX/activeX495.xml"/><Relationship Id="rId41" Type="http://schemas.openxmlformats.org/officeDocument/2006/relationships/image" Target="../media/image453.emf"/><Relationship Id="rId62" Type="http://schemas.openxmlformats.org/officeDocument/2006/relationships/control" Target="../activeX/activeX516.xml"/><Relationship Id="rId83" Type="http://schemas.openxmlformats.org/officeDocument/2006/relationships/image" Target="../media/image474.emf"/><Relationship Id="rId88" Type="http://schemas.openxmlformats.org/officeDocument/2006/relationships/control" Target="../activeX/activeX529.xml"/><Relationship Id="rId111" Type="http://schemas.openxmlformats.org/officeDocument/2006/relationships/image" Target="../media/image276.emf"/><Relationship Id="rId132" Type="http://schemas.openxmlformats.org/officeDocument/2006/relationships/control" Target="../activeX/activeX551.xml"/><Relationship Id="rId153" Type="http://schemas.openxmlformats.org/officeDocument/2006/relationships/image" Target="../media/image508.emf"/><Relationship Id="rId15" Type="http://schemas.openxmlformats.org/officeDocument/2006/relationships/image" Target="../media/image440.emf"/><Relationship Id="rId36" Type="http://schemas.openxmlformats.org/officeDocument/2006/relationships/control" Target="../activeX/activeX503.xml"/><Relationship Id="rId57" Type="http://schemas.openxmlformats.org/officeDocument/2006/relationships/image" Target="../media/image461.emf"/><Relationship Id="rId106" Type="http://schemas.openxmlformats.org/officeDocument/2006/relationships/control" Target="../activeX/activeX538.xml"/><Relationship Id="rId127" Type="http://schemas.openxmlformats.org/officeDocument/2006/relationships/image" Target="../media/image495.emf"/><Relationship Id="rId10" Type="http://schemas.openxmlformats.org/officeDocument/2006/relationships/control" Target="../activeX/activeX490.xml"/><Relationship Id="rId31" Type="http://schemas.openxmlformats.org/officeDocument/2006/relationships/image" Target="../media/image448.emf"/><Relationship Id="rId52" Type="http://schemas.openxmlformats.org/officeDocument/2006/relationships/control" Target="../activeX/activeX511.xml"/><Relationship Id="rId73" Type="http://schemas.openxmlformats.org/officeDocument/2006/relationships/image" Target="../media/image469.emf"/><Relationship Id="rId78" Type="http://schemas.openxmlformats.org/officeDocument/2006/relationships/control" Target="../activeX/activeX524.xml"/><Relationship Id="rId94" Type="http://schemas.openxmlformats.org/officeDocument/2006/relationships/control" Target="../activeX/activeX532.xml"/><Relationship Id="rId99" Type="http://schemas.openxmlformats.org/officeDocument/2006/relationships/image" Target="../media/image482.emf"/><Relationship Id="rId101" Type="http://schemas.openxmlformats.org/officeDocument/2006/relationships/image" Target="../media/image483.emf"/><Relationship Id="rId122" Type="http://schemas.openxmlformats.org/officeDocument/2006/relationships/control" Target="../activeX/activeX546.xml"/><Relationship Id="rId143" Type="http://schemas.openxmlformats.org/officeDocument/2006/relationships/image" Target="../media/image503.emf"/><Relationship Id="rId148" Type="http://schemas.openxmlformats.org/officeDocument/2006/relationships/control" Target="../activeX/activeX559.xml"/><Relationship Id="rId164" Type="http://schemas.openxmlformats.org/officeDocument/2006/relationships/table" Target="../tables/table30.xml"/><Relationship Id="rId4" Type="http://schemas.openxmlformats.org/officeDocument/2006/relationships/control" Target="../activeX/activeX487.xml"/><Relationship Id="rId9" Type="http://schemas.openxmlformats.org/officeDocument/2006/relationships/image" Target="../media/image437.emf"/><Relationship Id="rId26" Type="http://schemas.openxmlformats.org/officeDocument/2006/relationships/control" Target="../activeX/activeX498.xml"/><Relationship Id="rId47" Type="http://schemas.openxmlformats.org/officeDocument/2006/relationships/image" Target="../media/image456.emf"/><Relationship Id="rId68" Type="http://schemas.openxmlformats.org/officeDocument/2006/relationships/control" Target="../activeX/activeX519.xml"/><Relationship Id="rId89" Type="http://schemas.openxmlformats.org/officeDocument/2006/relationships/image" Target="../media/image477.emf"/><Relationship Id="rId112" Type="http://schemas.openxmlformats.org/officeDocument/2006/relationships/control" Target="../activeX/activeX541.xml"/><Relationship Id="rId133" Type="http://schemas.openxmlformats.org/officeDocument/2006/relationships/image" Target="../media/image498.emf"/><Relationship Id="rId154" Type="http://schemas.openxmlformats.org/officeDocument/2006/relationships/control" Target="../activeX/activeX562.xml"/><Relationship Id="rId16" Type="http://schemas.openxmlformats.org/officeDocument/2006/relationships/control" Target="../activeX/activeX493.xml"/><Relationship Id="rId37" Type="http://schemas.openxmlformats.org/officeDocument/2006/relationships/image" Target="../media/image451.emf"/><Relationship Id="rId58" Type="http://schemas.openxmlformats.org/officeDocument/2006/relationships/control" Target="../activeX/activeX514.xml"/><Relationship Id="rId79" Type="http://schemas.openxmlformats.org/officeDocument/2006/relationships/image" Target="../media/image472.emf"/><Relationship Id="rId102" Type="http://schemas.openxmlformats.org/officeDocument/2006/relationships/control" Target="../activeX/activeX536.xml"/><Relationship Id="rId123" Type="http://schemas.openxmlformats.org/officeDocument/2006/relationships/image" Target="../media/image493.emf"/><Relationship Id="rId144" Type="http://schemas.openxmlformats.org/officeDocument/2006/relationships/control" Target="../activeX/activeX557.xml"/><Relationship Id="rId90" Type="http://schemas.openxmlformats.org/officeDocument/2006/relationships/control" Target="../activeX/activeX530.xml"/><Relationship Id="rId27" Type="http://schemas.openxmlformats.org/officeDocument/2006/relationships/image" Target="../media/image446.emf"/><Relationship Id="rId48" Type="http://schemas.openxmlformats.org/officeDocument/2006/relationships/control" Target="../activeX/activeX509.xml"/><Relationship Id="rId69" Type="http://schemas.openxmlformats.org/officeDocument/2006/relationships/image" Target="../media/image467.emf"/><Relationship Id="rId113" Type="http://schemas.openxmlformats.org/officeDocument/2006/relationships/image" Target="../media/image488.emf"/><Relationship Id="rId134" Type="http://schemas.openxmlformats.org/officeDocument/2006/relationships/control" Target="../activeX/activeX552.xml"/><Relationship Id="rId80" Type="http://schemas.openxmlformats.org/officeDocument/2006/relationships/control" Target="../activeX/activeX525.xml"/><Relationship Id="rId155" Type="http://schemas.openxmlformats.org/officeDocument/2006/relationships/image" Target="../media/image509.emf"/></Relationships>
</file>

<file path=xl/worksheets/_rels/sheet49.xml.rels><?xml version="1.0" encoding="UTF-8" standalone="yes"?>
<Relationships xmlns="http://schemas.openxmlformats.org/package/2006/relationships"><Relationship Id="rId13" Type="http://schemas.openxmlformats.org/officeDocument/2006/relationships/image" Target="../media/image517.emf"/><Relationship Id="rId18" Type="http://schemas.openxmlformats.org/officeDocument/2006/relationships/control" Target="../activeX/activeX574.xml"/><Relationship Id="rId26" Type="http://schemas.openxmlformats.org/officeDocument/2006/relationships/control" Target="../activeX/activeX578.xml"/><Relationship Id="rId39" Type="http://schemas.openxmlformats.org/officeDocument/2006/relationships/table" Target="../tables/table32.xml"/><Relationship Id="rId21" Type="http://schemas.openxmlformats.org/officeDocument/2006/relationships/image" Target="../media/image521.emf"/><Relationship Id="rId34" Type="http://schemas.openxmlformats.org/officeDocument/2006/relationships/control" Target="../activeX/activeX582.xml"/><Relationship Id="rId7" Type="http://schemas.openxmlformats.org/officeDocument/2006/relationships/image" Target="../media/image514.emf"/><Relationship Id="rId12" Type="http://schemas.openxmlformats.org/officeDocument/2006/relationships/control" Target="../activeX/activeX571.xml"/><Relationship Id="rId17" Type="http://schemas.openxmlformats.org/officeDocument/2006/relationships/image" Target="../media/image519.emf"/><Relationship Id="rId25" Type="http://schemas.openxmlformats.org/officeDocument/2006/relationships/image" Target="../media/image523.emf"/><Relationship Id="rId33" Type="http://schemas.openxmlformats.org/officeDocument/2006/relationships/image" Target="../media/image527.emf"/><Relationship Id="rId38" Type="http://schemas.openxmlformats.org/officeDocument/2006/relationships/table" Target="../tables/table31.xml"/><Relationship Id="rId2" Type="http://schemas.openxmlformats.org/officeDocument/2006/relationships/drawing" Target="../drawings/drawing39.xml"/><Relationship Id="rId16" Type="http://schemas.openxmlformats.org/officeDocument/2006/relationships/control" Target="../activeX/activeX573.xml"/><Relationship Id="rId20" Type="http://schemas.openxmlformats.org/officeDocument/2006/relationships/control" Target="../activeX/activeX575.xml"/><Relationship Id="rId29" Type="http://schemas.openxmlformats.org/officeDocument/2006/relationships/image" Target="../media/image525.emf"/><Relationship Id="rId1" Type="http://schemas.openxmlformats.org/officeDocument/2006/relationships/printerSettings" Target="../printerSettings/printerSettings42.bin"/><Relationship Id="rId6" Type="http://schemas.openxmlformats.org/officeDocument/2006/relationships/control" Target="../activeX/activeX568.xml"/><Relationship Id="rId11" Type="http://schemas.openxmlformats.org/officeDocument/2006/relationships/image" Target="../media/image516.emf"/><Relationship Id="rId24" Type="http://schemas.openxmlformats.org/officeDocument/2006/relationships/control" Target="../activeX/activeX577.xml"/><Relationship Id="rId32" Type="http://schemas.openxmlformats.org/officeDocument/2006/relationships/control" Target="../activeX/activeX581.xml"/><Relationship Id="rId37" Type="http://schemas.openxmlformats.org/officeDocument/2006/relationships/image" Target="../media/image529.emf"/><Relationship Id="rId5" Type="http://schemas.openxmlformats.org/officeDocument/2006/relationships/image" Target="../media/image513.emf"/><Relationship Id="rId15" Type="http://schemas.openxmlformats.org/officeDocument/2006/relationships/image" Target="../media/image518.emf"/><Relationship Id="rId23" Type="http://schemas.openxmlformats.org/officeDocument/2006/relationships/image" Target="../media/image522.emf"/><Relationship Id="rId28" Type="http://schemas.openxmlformats.org/officeDocument/2006/relationships/control" Target="../activeX/activeX579.xml"/><Relationship Id="rId36" Type="http://schemas.openxmlformats.org/officeDocument/2006/relationships/control" Target="../activeX/activeX583.xml"/><Relationship Id="rId10" Type="http://schemas.openxmlformats.org/officeDocument/2006/relationships/control" Target="../activeX/activeX570.xml"/><Relationship Id="rId19" Type="http://schemas.openxmlformats.org/officeDocument/2006/relationships/image" Target="../media/image520.emf"/><Relationship Id="rId31" Type="http://schemas.openxmlformats.org/officeDocument/2006/relationships/image" Target="../media/image526.emf"/><Relationship Id="rId4" Type="http://schemas.openxmlformats.org/officeDocument/2006/relationships/control" Target="../activeX/activeX567.xml"/><Relationship Id="rId9" Type="http://schemas.openxmlformats.org/officeDocument/2006/relationships/image" Target="../media/image515.emf"/><Relationship Id="rId14" Type="http://schemas.openxmlformats.org/officeDocument/2006/relationships/control" Target="../activeX/activeX572.xml"/><Relationship Id="rId22" Type="http://schemas.openxmlformats.org/officeDocument/2006/relationships/control" Target="../activeX/activeX576.xml"/><Relationship Id="rId27" Type="http://schemas.openxmlformats.org/officeDocument/2006/relationships/image" Target="../media/image524.emf"/><Relationship Id="rId30" Type="http://schemas.openxmlformats.org/officeDocument/2006/relationships/control" Target="../activeX/activeX580.xml"/><Relationship Id="rId35" Type="http://schemas.openxmlformats.org/officeDocument/2006/relationships/image" Target="../media/image528.emf"/><Relationship Id="rId8" Type="http://schemas.openxmlformats.org/officeDocument/2006/relationships/control" Target="../activeX/activeX569.xml"/><Relationship Id="rId3" Type="http://schemas.openxmlformats.org/officeDocument/2006/relationships/vmlDrawing" Target="../drawings/vmlDrawing37.vml"/></Relationships>
</file>

<file path=xl/worksheets/_rels/sheet50.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43.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1_REV"/>
  <dimension ref="A1:N12"/>
  <sheetViews>
    <sheetView topLeftCell="A2" zoomScale="85" zoomScaleNormal="85" workbookViewId="0">
      <selection activeCell="N6" sqref="N6"/>
    </sheetView>
  </sheetViews>
  <sheetFormatPr defaultColWidth="9.140625" defaultRowHeight="16.5"/>
  <cols>
    <col min="1" max="1" width="4.140625" style="7" bestFit="1" customWidth="1"/>
    <col min="2" max="2" width="18" style="7" customWidth="1"/>
    <col min="3" max="3" width="15.28515625" style="7" customWidth="1"/>
    <col min="4" max="4" width="22.140625" style="7" bestFit="1" customWidth="1"/>
    <col min="5" max="6" width="13.42578125" style="11" customWidth="1"/>
    <col min="7" max="7" width="17.7109375" style="7" customWidth="1"/>
    <col min="8" max="14" width="11.5703125" style="7" customWidth="1"/>
    <col min="15" max="15" width="9.28515625" style="7" bestFit="1" customWidth="1"/>
    <col min="16" max="16" width="13.7109375" style="7" customWidth="1"/>
    <col min="17" max="17" width="10.5703125" style="7" bestFit="1" customWidth="1"/>
    <col min="18" max="18" width="13.7109375" style="7" bestFit="1" customWidth="1"/>
    <col min="19" max="19" width="11.28515625" style="7" customWidth="1"/>
    <col min="20" max="20" width="11.140625" style="7" customWidth="1"/>
    <col min="21" max="27" width="9.140625" style="7"/>
    <col min="28" max="28" width="22.140625" style="7" bestFit="1" customWidth="1"/>
    <col min="29" max="16384" width="9.140625" style="7"/>
  </cols>
  <sheetData>
    <row r="1" spans="1:14" ht="19.5" thickBot="1">
      <c r="A1" s="1635" t="s">
        <v>44</v>
      </c>
      <c r="B1" s="1636"/>
      <c r="C1" s="1636"/>
      <c r="D1" s="1636"/>
      <c r="E1" s="1636"/>
      <c r="F1" s="1636"/>
      <c r="G1" s="1636"/>
      <c r="H1" s="1636"/>
      <c r="I1" s="1636"/>
      <c r="J1" s="1636"/>
      <c r="K1" s="1637"/>
      <c r="L1" s="1620" t="s">
        <v>2114</v>
      </c>
      <c r="M1" s="1621"/>
      <c r="N1" s="1622"/>
    </row>
    <row r="2" spans="1:14" ht="19.5" thickBot="1">
      <c r="A2" s="31" t="s">
        <v>45</v>
      </c>
      <c r="B2" s="32" t="s">
        <v>46</v>
      </c>
      <c r="C2" s="32" t="s">
        <v>71</v>
      </c>
      <c r="D2" s="1638" t="s">
        <v>47</v>
      </c>
      <c r="E2" s="1639"/>
      <c r="F2" s="1639"/>
      <c r="G2" s="1639"/>
      <c r="H2" s="1639"/>
      <c r="I2" s="1639"/>
      <c r="J2" s="1639"/>
      <c r="K2" s="1640"/>
      <c r="L2" s="1623"/>
      <c r="M2" s="1624"/>
      <c r="N2" s="1625"/>
    </row>
    <row r="3" spans="1:14" ht="66.75" customHeight="1">
      <c r="A3" s="40">
        <v>1</v>
      </c>
      <c r="B3" s="41">
        <v>0</v>
      </c>
      <c r="C3" s="42"/>
      <c r="D3" s="1632"/>
      <c r="E3" s="1633"/>
      <c r="F3" s="1633"/>
      <c r="G3" s="1633"/>
      <c r="H3" s="1633"/>
      <c r="I3" s="1633"/>
      <c r="J3" s="1633"/>
      <c r="K3" s="1634"/>
      <c r="L3" s="1626"/>
      <c r="M3" s="1627"/>
      <c r="N3" s="1628"/>
    </row>
    <row r="4" spans="1:14" ht="66.75" customHeight="1" thickBot="1">
      <c r="A4" s="40">
        <v>2</v>
      </c>
      <c r="B4" s="41">
        <v>1</v>
      </c>
      <c r="C4" s="42"/>
      <c r="D4" s="1632"/>
      <c r="E4" s="1633"/>
      <c r="F4" s="1633"/>
      <c r="G4" s="1633"/>
      <c r="H4" s="1633"/>
      <c r="I4" s="1633"/>
      <c r="J4" s="1633"/>
      <c r="K4" s="1634"/>
      <c r="L4" s="1629"/>
      <c r="M4" s="1630"/>
      <c r="N4" s="1631"/>
    </row>
    <row r="5" spans="1:14" ht="66.75" customHeight="1">
      <c r="A5" s="40">
        <v>5</v>
      </c>
      <c r="B5" s="41">
        <v>2</v>
      </c>
      <c r="C5" s="42"/>
      <c r="D5" s="1632"/>
      <c r="E5" s="1633"/>
      <c r="F5" s="1633"/>
      <c r="G5" s="1633"/>
      <c r="H5" s="1633"/>
      <c r="I5" s="1633"/>
      <c r="J5" s="1633"/>
      <c r="K5" s="1634"/>
    </row>
    <row r="6" spans="1:14" ht="66.75" customHeight="1">
      <c r="A6" s="40">
        <v>6</v>
      </c>
      <c r="B6" s="41">
        <v>3</v>
      </c>
      <c r="C6" s="42"/>
      <c r="D6" s="1632"/>
      <c r="E6" s="1633"/>
      <c r="F6" s="1633"/>
      <c r="G6" s="1633"/>
      <c r="H6" s="1633"/>
      <c r="I6" s="1633"/>
      <c r="J6" s="1633"/>
      <c r="K6" s="1634"/>
    </row>
    <row r="7" spans="1:14" ht="66.75" customHeight="1">
      <c r="A7" s="40">
        <v>7</v>
      </c>
      <c r="B7" s="41">
        <v>4</v>
      </c>
      <c r="C7" s="42"/>
      <c r="D7" s="1632"/>
      <c r="E7" s="1633"/>
      <c r="F7" s="1633"/>
      <c r="G7" s="1633"/>
      <c r="H7" s="1633"/>
      <c r="I7" s="1633"/>
      <c r="J7" s="1633"/>
      <c r="K7" s="1634"/>
    </row>
    <row r="8" spans="1:14" ht="66.75" customHeight="1">
      <c r="A8" s="40">
        <v>8</v>
      </c>
      <c r="B8" s="41">
        <v>5</v>
      </c>
      <c r="C8" s="42"/>
      <c r="D8" s="1632"/>
      <c r="E8" s="1633"/>
      <c r="F8" s="1633"/>
      <c r="G8" s="1633"/>
      <c r="H8" s="1633"/>
      <c r="I8" s="1633"/>
      <c r="J8" s="1633"/>
      <c r="K8" s="1634"/>
    </row>
    <row r="9" spans="1:14" ht="66.75" customHeight="1">
      <c r="A9" s="40">
        <v>9</v>
      </c>
      <c r="B9" s="41">
        <v>6</v>
      </c>
      <c r="C9" s="42"/>
      <c r="D9" s="1632"/>
      <c r="E9" s="1633"/>
      <c r="F9" s="1633"/>
      <c r="G9" s="1633"/>
      <c r="H9" s="1633"/>
      <c r="I9" s="1633"/>
      <c r="J9" s="1633"/>
      <c r="K9" s="1634"/>
    </row>
    <row r="10" spans="1:14" ht="66.75" customHeight="1" thickBot="1">
      <c r="A10" s="38">
        <v>10</v>
      </c>
      <c r="B10" s="102">
        <v>7</v>
      </c>
      <c r="C10" s="103"/>
      <c r="D10" s="1641"/>
      <c r="E10" s="1642"/>
      <c r="F10" s="1642"/>
      <c r="G10" s="1642"/>
      <c r="H10" s="1642"/>
      <c r="I10" s="1642"/>
      <c r="J10" s="1642"/>
      <c r="K10" s="1643"/>
    </row>
    <row r="12" spans="1:14">
      <c r="E12" s="7"/>
      <c r="F12" s="7"/>
    </row>
  </sheetData>
  <mergeCells count="12">
    <mergeCell ref="D6:K6"/>
    <mergeCell ref="D7:K7"/>
    <mergeCell ref="D8:K8"/>
    <mergeCell ref="D9:K9"/>
    <mergeCell ref="D10:K10"/>
    <mergeCell ref="L1:N2"/>
    <mergeCell ref="L3:N4"/>
    <mergeCell ref="D5:K5"/>
    <mergeCell ref="A1:K1"/>
    <mergeCell ref="D2:K2"/>
    <mergeCell ref="D3:K3"/>
    <mergeCell ref="D4:K4"/>
  </mergeCells>
  <pageMargins left="0.7" right="0.7" top="0.75" bottom="0.75" header="0.3" footer="0.3"/>
  <pageSetup paperSize="9" orientation="portrait" horizontalDpi="1200" verticalDpi="1200" r:id="rId1"/>
  <drawing r:id="rId2"/>
  <legacyDrawing r:id="rId3"/>
  <oleObjects>
    <mc:AlternateContent xmlns:mc="http://schemas.openxmlformats.org/markup-compatibility/2006">
      <mc:Choice Requires="x14">
        <oleObject progId="Word.Document.12" dvAspect="DVASPECT_ICON" shapeId="6150" r:id="rId4">
          <objectPr defaultSize="0" autoPict="0" r:id="rId5">
            <anchor moveWithCells="1">
              <from>
                <xdr:col>2</xdr:col>
                <xdr:colOff>171450</xdr:colOff>
                <xdr:row>2</xdr:row>
                <xdr:rowOff>66675</xdr:rowOff>
              </from>
              <to>
                <xdr:col>2</xdr:col>
                <xdr:colOff>819150</xdr:colOff>
                <xdr:row>2</xdr:row>
                <xdr:rowOff>619125</xdr:rowOff>
              </to>
            </anchor>
          </objectPr>
        </oleObject>
      </mc:Choice>
      <mc:Fallback>
        <oleObject progId="Word.Document.12" dvAspect="DVASPECT_ICON" shapeId="6150" r:id="rId4"/>
      </mc:Fallback>
    </mc:AlternateContent>
    <mc:AlternateContent xmlns:mc="http://schemas.openxmlformats.org/markup-compatibility/2006">
      <mc:Choice Requires="x14">
        <oleObject progId="Word.Document.12" dvAspect="DVASPECT_ICON" shapeId="6152" r:id="rId6">
          <objectPr defaultSize="0" autoPict="0" altText="" r:id="rId7">
            <anchor moveWithCells="1">
              <from>
                <xdr:col>11</xdr:col>
                <xdr:colOff>219075</xdr:colOff>
                <xdr:row>2</xdr:row>
                <xdr:rowOff>66675</xdr:rowOff>
              </from>
              <to>
                <xdr:col>13</xdr:col>
                <xdr:colOff>609600</xdr:colOff>
                <xdr:row>3</xdr:row>
                <xdr:rowOff>733425</xdr:rowOff>
              </to>
            </anchor>
          </objectPr>
        </oleObject>
      </mc:Choice>
      <mc:Fallback>
        <oleObject progId="Word.Document.12" dvAspect="DVASPECT_ICON" shapeId="6152" r:id="rId6"/>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2_Summary"/>
  <dimension ref="A1:R34"/>
  <sheetViews>
    <sheetView tabSelected="1" zoomScale="80" zoomScaleNormal="80" workbookViewId="0">
      <selection activeCell="Q14" sqref="Q14"/>
    </sheetView>
  </sheetViews>
  <sheetFormatPr defaultColWidth="9.140625" defaultRowHeight="16.5"/>
  <cols>
    <col min="1" max="1" width="13.85546875" style="7" customWidth="1"/>
    <col min="2" max="2" width="15.28515625" style="7" customWidth="1"/>
    <col min="3" max="3" width="19.5703125" style="7" customWidth="1"/>
    <col min="4" max="5" width="6.140625" style="7" customWidth="1"/>
    <col min="6" max="6" width="3" style="7" bestFit="1" customWidth="1"/>
    <col min="7" max="7" width="19" style="7" customWidth="1"/>
    <col min="8" max="8" width="13.5703125" style="7" customWidth="1"/>
    <col min="9" max="9" width="6.5703125" style="7" customWidth="1"/>
    <col min="10" max="10" width="9.28515625" style="7" bestFit="1" customWidth="1"/>
    <col min="11" max="11" width="11.5703125" style="7" customWidth="1"/>
    <col min="12" max="12" width="9.28515625" style="7" bestFit="1" customWidth="1"/>
    <col min="13" max="13" width="20.5703125" style="7" customWidth="1"/>
    <col min="14" max="14" width="7.140625" style="7" customWidth="1"/>
    <col min="15" max="15" width="30" style="7" customWidth="1"/>
    <col min="16" max="16" width="14.5703125" style="7" customWidth="1"/>
    <col min="17" max="17" width="11.140625" style="7" customWidth="1"/>
    <col min="18" max="24" width="9.140625" style="7"/>
    <col min="25" max="25" width="22.140625" style="7" bestFit="1" customWidth="1"/>
    <col min="26" max="16384" width="9.140625" style="7"/>
  </cols>
  <sheetData>
    <row r="1" spans="1:18" ht="26.25" customHeight="1" thickBot="1">
      <c r="A1" s="1690" t="s">
        <v>103</v>
      </c>
      <c r="B1" s="1691"/>
      <c r="C1" s="1692"/>
      <c r="F1" s="1687" t="s">
        <v>88</v>
      </c>
      <c r="G1" s="1688"/>
      <c r="H1" s="1689"/>
      <c r="J1" s="1673"/>
      <c r="K1" s="1674"/>
      <c r="L1" s="1674"/>
      <c r="M1" s="1675"/>
      <c r="O1" s="1644" t="s">
        <v>1359</v>
      </c>
      <c r="P1" s="1645"/>
      <c r="Q1" s="1645"/>
      <c r="R1" s="1646"/>
    </row>
    <row r="2" spans="1:18" ht="30" customHeight="1" thickBot="1">
      <c r="A2" s="1684" t="s">
        <v>2735</v>
      </c>
      <c r="B2" s="1685"/>
      <c r="C2" s="1686"/>
      <c r="F2" s="1142" t="s">
        <v>45</v>
      </c>
      <c r="G2" s="1143" t="s">
        <v>98</v>
      </c>
      <c r="H2" s="1144" t="s">
        <v>97</v>
      </c>
      <c r="J2" s="1676"/>
      <c r="K2" s="1677"/>
      <c r="L2" s="1677"/>
      <c r="M2" s="1678"/>
      <c r="O2" s="1647"/>
      <c r="P2" s="1648"/>
      <c r="Q2" s="1648"/>
      <c r="R2" s="1649"/>
    </row>
    <row r="3" spans="1:18" ht="18.75" customHeight="1">
      <c r="A3" s="122"/>
      <c r="B3" s="123"/>
      <c r="C3" s="124"/>
      <c r="F3" s="1146">
        <v>1</v>
      </c>
      <c r="G3" s="1147" t="s">
        <v>89</v>
      </c>
      <c r="H3" s="1148">
        <f>APSa!Z10</f>
        <v>0</v>
      </c>
      <c r="J3" s="1676"/>
      <c r="K3" s="1677"/>
      <c r="L3" s="1677"/>
      <c r="M3" s="1678"/>
      <c r="O3" s="1650" t="s">
        <v>1358</v>
      </c>
      <c r="P3" s="1651"/>
      <c r="Q3" s="1651"/>
      <c r="R3" s="1652"/>
    </row>
    <row r="4" spans="1:18" ht="16.5" customHeight="1" thickBot="1">
      <c r="A4" s="125"/>
      <c r="B4" s="126"/>
      <c r="C4" s="127"/>
      <c r="F4" s="1149">
        <v>2</v>
      </c>
      <c r="G4" s="1145" t="s">
        <v>101</v>
      </c>
      <c r="H4" s="116">
        <f>PSC!Z10</f>
        <v>0</v>
      </c>
      <c r="J4" s="1679"/>
      <c r="K4" s="1680"/>
      <c r="L4" s="1680"/>
      <c r="M4" s="1681"/>
      <c r="O4" s="1653"/>
      <c r="P4" s="1654"/>
      <c r="Q4" s="1654"/>
      <c r="R4" s="1655"/>
    </row>
    <row r="5" spans="1:18" ht="17.25" customHeight="1" thickBot="1">
      <c r="A5" s="128"/>
      <c r="B5" s="129"/>
      <c r="C5" s="130"/>
      <c r="F5" s="1149">
        <v>3</v>
      </c>
      <c r="G5" s="1145" t="s">
        <v>102</v>
      </c>
      <c r="H5" s="116">
        <f>RWC!Z10</f>
        <v>0</v>
      </c>
      <c r="J5" s="1664"/>
      <c r="K5" s="1665"/>
      <c r="L5" s="1665"/>
      <c r="M5" s="1666"/>
      <c r="O5" s="1656" t="s">
        <v>1351</v>
      </c>
      <c r="P5" s="1658" t="s">
        <v>3824</v>
      </c>
      <c r="Q5" s="1659"/>
      <c r="R5" s="1660"/>
    </row>
    <row r="6" spans="1:18" ht="27.75" customHeight="1" thickBot="1">
      <c r="A6" s="1684" t="s">
        <v>104</v>
      </c>
      <c r="B6" s="1685"/>
      <c r="C6" s="1686"/>
      <c r="F6" s="1149">
        <v>4</v>
      </c>
      <c r="G6" s="1145" t="s">
        <v>49</v>
      </c>
      <c r="H6" s="116">
        <f>AHU!AR10</f>
        <v>0</v>
      </c>
      <c r="J6" s="1667"/>
      <c r="K6" s="1668"/>
      <c r="L6" s="1668"/>
      <c r="M6" s="1669"/>
      <c r="O6" s="1657"/>
      <c r="P6" s="1661"/>
      <c r="Q6" s="1662"/>
      <c r="R6" s="1663"/>
    </row>
    <row r="7" spans="1:18" ht="22.5" customHeight="1" thickBot="1">
      <c r="A7" s="122"/>
      <c r="B7" s="123"/>
      <c r="C7" s="124"/>
      <c r="F7" s="1149">
        <v>5</v>
      </c>
      <c r="G7" s="1145" t="s">
        <v>58</v>
      </c>
      <c r="H7" s="116">
        <f>CM!AO10</f>
        <v>0</v>
      </c>
      <c r="J7" s="1670"/>
      <c r="K7" s="1671"/>
      <c r="L7" s="1671"/>
      <c r="M7" s="1672"/>
      <c r="O7" s="1656" t="s">
        <v>1360</v>
      </c>
      <c r="P7" s="1658" t="s">
        <v>1357</v>
      </c>
      <c r="Q7" s="1659"/>
      <c r="R7" s="1660"/>
    </row>
    <row r="8" spans="1:18" ht="18.75" customHeight="1" thickBot="1">
      <c r="A8" s="125"/>
      <c r="B8" s="126"/>
      <c r="C8" s="127"/>
      <c r="F8" s="1149">
        <v>6</v>
      </c>
      <c r="G8" s="1145" t="s">
        <v>90</v>
      </c>
      <c r="H8" s="116">
        <f>FCU!AJ10</f>
        <v>0</v>
      </c>
      <c r="O8" s="1657"/>
      <c r="P8" s="1661"/>
      <c r="Q8" s="1662"/>
      <c r="R8" s="1663"/>
    </row>
    <row r="9" spans="1:18" ht="21" customHeight="1" thickBot="1">
      <c r="A9" s="125"/>
      <c r="B9" s="126"/>
      <c r="C9" s="127"/>
      <c r="F9" s="1149">
        <v>7</v>
      </c>
      <c r="G9" s="1145" t="s">
        <v>109</v>
      </c>
      <c r="H9" s="116">
        <f>Ecology!V10</f>
        <v>0</v>
      </c>
    </row>
    <row r="10" spans="1:18" ht="26.25" customHeight="1" thickBot="1">
      <c r="A10" s="1684" t="s">
        <v>105</v>
      </c>
      <c r="B10" s="1685"/>
      <c r="C10" s="1686"/>
      <c r="F10" s="1149">
        <v>8</v>
      </c>
      <c r="G10" s="1145" t="s">
        <v>110</v>
      </c>
      <c r="H10" s="116">
        <f>'Chemical Filtration'!V10</f>
        <v>0</v>
      </c>
    </row>
    <row r="11" spans="1:18" ht="26.25" customHeight="1">
      <c r="A11" s="131"/>
      <c r="B11" s="132"/>
      <c r="C11" s="133"/>
      <c r="F11" s="1149">
        <v>9</v>
      </c>
      <c r="G11" s="1145" t="s">
        <v>91</v>
      </c>
      <c r="H11" s="116">
        <f>PPH!AP10</f>
        <v>0</v>
      </c>
    </row>
    <row r="12" spans="1:18">
      <c r="A12" s="134"/>
      <c r="B12" s="135"/>
      <c r="C12" s="136"/>
      <c r="F12" s="1149">
        <v>10</v>
      </c>
      <c r="G12" s="1145" t="s">
        <v>111</v>
      </c>
      <c r="H12" s="116">
        <f>PWM!AO10</f>
        <v>0</v>
      </c>
    </row>
    <row r="13" spans="1:18" ht="17.25" thickBot="1">
      <c r="A13" s="137"/>
      <c r="B13" s="138"/>
      <c r="C13" s="139"/>
      <c r="F13" s="1149">
        <v>11</v>
      </c>
      <c r="G13" s="1145" t="s">
        <v>92</v>
      </c>
      <c r="H13" s="116">
        <f>'AHU+DSP'!AR11</f>
        <v>0</v>
      </c>
    </row>
    <row r="14" spans="1:18" ht="28.5" customHeight="1" thickBot="1">
      <c r="A14" s="1684" t="s">
        <v>108</v>
      </c>
      <c r="B14" s="1685"/>
      <c r="C14" s="1686"/>
      <c r="F14" s="1149">
        <v>12</v>
      </c>
      <c r="G14" s="1145" t="s">
        <v>93</v>
      </c>
      <c r="H14" s="116">
        <f>'CM+DSP'!AO11</f>
        <v>0</v>
      </c>
    </row>
    <row r="15" spans="1:18">
      <c r="A15" s="140"/>
      <c r="B15" s="141"/>
      <c r="C15" s="142"/>
      <c r="F15" s="1149">
        <v>13</v>
      </c>
      <c r="G15" s="1145" t="s">
        <v>94</v>
      </c>
      <c r="H15" s="116">
        <f>PASC!AK10</f>
        <v>0</v>
      </c>
    </row>
    <row r="16" spans="1:18">
      <c r="A16" s="140"/>
      <c r="B16" s="141"/>
      <c r="C16" s="142"/>
      <c r="F16" s="1149">
        <v>14</v>
      </c>
      <c r="G16" s="1145" t="s">
        <v>112</v>
      </c>
      <c r="H16" s="116">
        <f>'PASC WM'!AK10</f>
        <v>0</v>
      </c>
    </row>
    <row r="17" spans="1:8" ht="17.25" thickBot="1">
      <c r="A17" s="143"/>
      <c r="B17" s="144"/>
      <c r="C17" s="145"/>
      <c r="F17" s="1149">
        <v>15</v>
      </c>
      <c r="G17" s="1145" t="s">
        <v>113</v>
      </c>
      <c r="H17" s="116">
        <f>CRAH!AJ10</f>
        <v>0</v>
      </c>
    </row>
    <row r="18" spans="1:8" ht="27.75" customHeight="1" thickBot="1">
      <c r="A18" s="1684" t="s">
        <v>106</v>
      </c>
      <c r="B18" s="1685"/>
      <c r="C18" s="1686"/>
      <c r="F18" s="1149">
        <v>16</v>
      </c>
      <c r="G18" s="1145" t="s">
        <v>95</v>
      </c>
      <c r="H18" s="116">
        <f>'Ducted split'!AE10</f>
        <v>0</v>
      </c>
    </row>
    <row r="19" spans="1:8">
      <c r="A19" s="146"/>
      <c r="B19" s="147"/>
      <c r="C19" s="148"/>
      <c r="F19" s="1149">
        <v>17</v>
      </c>
      <c r="G19" s="1145" t="s">
        <v>96</v>
      </c>
      <c r="H19" s="116">
        <f>'Mini split'!U10</f>
        <v>0</v>
      </c>
    </row>
    <row r="20" spans="1:8">
      <c r="A20" s="149"/>
      <c r="B20" s="150"/>
      <c r="C20" s="151"/>
      <c r="F20" s="1149">
        <v>18</v>
      </c>
      <c r="G20" s="1145" t="s">
        <v>402</v>
      </c>
      <c r="H20" s="116">
        <f>'Sheet (1)'!AG10</f>
        <v>0</v>
      </c>
    </row>
    <row r="21" spans="1:8">
      <c r="A21" s="149"/>
      <c r="B21" s="150"/>
      <c r="C21" s="151"/>
      <c r="F21" s="1149">
        <v>19</v>
      </c>
      <c r="G21" s="1145" t="s">
        <v>403</v>
      </c>
      <c r="H21" s="116">
        <f>'Sheet (2)'!AG10</f>
        <v>0</v>
      </c>
    </row>
    <row r="22" spans="1:8">
      <c r="A22" s="149"/>
      <c r="B22" s="150"/>
      <c r="C22" s="151"/>
      <c r="F22" s="1149">
        <v>20</v>
      </c>
      <c r="G22" s="1145" t="s">
        <v>404</v>
      </c>
      <c r="H22" s="116">
        <f>'Sheet (3)'!AG10</f>
        <v>0</v>
      </c>
    </row>
    <row r="23" spans="1:8">
      <c r="A23" s="149"/>
      <c r="B23" s="150"/>
      <c r="C23" s="151"/>
      <c r="F23" s="1149">
        <v>21</v>
      </c>
      <c r="G23" s="1145" t="s">
        <v>2805</v>
      </c>
      <c r="H23" s="116">
        <f>WPSA!Z10</f>
        <v>0</v>
      </c>
    </row>
    <row r="24" spans="1:8">
      <c r="A24" s="149"/>
      <c r="B24" s="150"/>
      <c r="C24" s="151"/>
      <c r="F24" s="1149">
        <v>22</v>
      </c>
      <c r="G24" s="1145" t="s">
        <v>2806</v>
      </c>
      <c r="H24" s="116">
        <f>PDC!Z10</f>
        <v>0</v>
      </c>
    </row>
    <row r="25" spans="1:8" ht="17.25" thickBot="1">
      <c r="A25" s="149"/>
      <c r="B25" s="150"/>
      <c r="C25" s="151"/>
      <c r="F25" s="1150">
        <v>23</v>
      </c>
      <c r="G25" s="1151" t="s">
        <v>2807</v>
      </c>
      <c r="H25" s="117">
        <f>'PASC Ceiling'!AK10</f>
        <v>0</v>
      </c>
    </row>
    <row r="26" spans="1:8" ht="27.75" customHeight="1" thickBot="1">
      <c r="A26" s="149"/>
      <c r="B26" s="150"/>
      <c r="C26" s="151"/>
      <c r="F26" s="1682" t="s">
        <v>8</v>
      </c>
      <c r="G26" s="1683"/>
      <c r="H26" s="158">
        <f>SUM(H3:H25)</f>
        <v>0</v>
      </c>
    </row>
    <row r="27" spans="1:8">
      <c r="A27" s="149"/>
      <c r="B27" s="150"/>
      <c r="C27" s="151"/>
    </row>
    <row r="28" spans="1:8" ht="17.25" thickBot="1">
      <c r="A28" s="149"/>
      <c r="B28" s="150"/>
      <c r="C28" s="151"/>
    </row>
    <row r="29" spans="1:8" ht="19.5" thickBot="1">
      <c r="A29" s="149"/>
      <c r="B29" s="150"/>
      <c r="C29" s="151"/>
      <c r="G29" s="113" t="s">
        <v>8</v>
      </c>
      <c r="H29" s="110">
        <f>H26</f>
        <v>0</v>
      </c>
    </row>
    <row r="30" spans="1:8" ht="27" customHeight="1" thickBot="1">
      <c r="A30" s="1684" t="s">
        <v>107</v>
      </c>
      <c r="B30" s="1685"/>
      <c r="C30" s="1686"/>
      <c r="G30" s="114" t="s">
        <v>99</v>
      </c>
      <c r="H30" s="111">
        <f>CEILING(H29*0.15,5)</f>
        <v>0</v>
      </c>
    </row>
    <row r="31" spans="1:8" ht="19.5" customHeight="1" thickBot="1">
      <c r="A31" s="152"/>
      <c r="B31" s="153"/>
      <c r="C31" s="154"/>
      <c r="G31" s="115" t="s">
        <v>100</v>
      </c>
      <c r="H31" s="112">
        <f>SUM(H29:H30)</f>
        <v>0</v>
      </c>
    </row>
    <row r="32" spans="1:8" ht="23.25" customHeight="1">
      <c r="A32" s="152"/>
      <c r="B32" s="153"/>
      <c r="C32" s="154"/>
    </row>
    <row r="33" spans="1:3" ht="19.5" customHeight="1">
      <c r="A33" s="152"/>
      <c r="B33" s="153"/>
      <c r="C33" s="154"/>
    </row>
    <row r="34" spans="1:3" ht="23.25" customHeight="1" thickBot="1">
      <c r="A34" s="155"/>
      <c r="B34" s="156"/>
      <c r="C34" s="157"/>
    </row>
  </sheetData>
  <mergeCells count="17">
    <mergeCell ref="J5:M7"/>
    <mergeCell ref="J1:M4"/>
    <mergeCell ref="F26:G26"/>
    <mergeCell ref="A30:C30"/>
    <mergeCell ref="A14:C14"/>
    <mergeCell ref="F1:H1"/>
    <mergeCell ref="A1:C1"/>
    <mergeCell ref="A6:C6"/>
    <mergeCell ref="A10:C10"/>
    <mergeCell ref="A18:C18"/>
    <mergeCell ref="A2:C2"/>
    <mergeCell ref="O1:R2"/>
    <mergeCell ref="O3:R4"/>
    <mergeCell ref="O5:O6"/>
    <mergeCell ref="P5:R6"/>
    <mergeCell ref="O7:O8"/>
    <mergeCell ref="P7:R8"/>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94" r:id="rId4" name="PDC">
          <controlPr defaultSize="0" autoLine="0" r:id="rId5">
            <anchor moveWithCells="1">
              <from>
                <xdr:col>0</xdr:col>
                <xdr:colOff>123825</xdr:colOff>
                <xdr:row>3</xdr:row>
                <xdr:rowOff>114300</xdr:rowOff>
              </from>
              <to>
                <xdr:col>2</xdr:col>
                <xdr:colOff>857250</xdr:colOff>
                <xdr:row>4</xdr:row>
                <xdr:rowOff>142875</xdr:rowOff>
              </to>
            </anchor>
          </controlPr>
        </control>
      </mc:Choice>
      <mc:Fallback>
        <control shapeId="7194" r:id="rId4" name="PDC"/>
      </mc:Fallback>
    </mc:AlternateContent>
    <mc:AlternateContent xmlns:mc="http://schemas.openxmlformats.org/markup-compatibility/2006">
      <mc:Choice Requires="x14">
        <control shapeId="7193" r:id="rId6" name="PASC_Ceiling">
          <controlPr defaultSize="0" autoLine="0" r:id="rId7">
            <anchor moveWithCells="1">
              <from>
                <xdr:col>0</xdr:col>
                <xdr:colOff>76200</xdr:colOff>
                <xdr:row>24</xdr:row>
                <xdr:rowOff>161925</xdr:rowOff>
              </from>
              <to>
                <xdr:col>3</xdr:col>
                <xdr:colOff>95250</xdr:colOff>
                <xdr:row>25</xdr:row>
                <xdr:rowOff>247650</xdr:rowOff>
              </to>
            </anchor>
          </controlPr>
        </control>
      </mc:Choice>
      <mc:Fallback>
        <control shapeId="7193" r:id="rId6" name="PASC_Ceiling"/>
      </mc:Fallback>
    </mc:AlternateContent>
    <mc:AlternateContent xmlns:mc="http://schemas.openxmlformats.org/markup-compatibility/2006">
      <mc:Choice Requires="x14">
        <control shapeId="7192" r:id="rId8" name="WPSa">
          <controlPr defaultSize="0" autoLine="0" r:id="rId9">
            <anchor moveWithCells="1">
              <from>
                <xdr:col>0</xdr:col>
                <xdr:colOff>123825</xdr:colOff>
                <xdr:row>2</xdr:row>
                <xdr:rowOff>76200</xdr:rowOff>
              </from>
              <to>
                <xdr:col>2</xdr:col>
                <xdr:colOff>866775</xdr:colOff>
                <xdr:row>3</xdr:row>
                <xdr:rowOff>85725</xdr:rowOff>
              </to>
            </anchor>
          </controlPr>
        </control>
      </mc:Choice>
      <mc:Fallback>
        <control shapeId="7192" r:id="rId8" name="WPSa"/>
      </mc:Fallback>
    </mc:AlternateContent>
    <mc:AlternateContent xmlns:mc="http://schemas.openxmlformats.org/markup-compatibility/2006">
      <mc:Choice Requires="x14">
        <control shapeId="7169" r:id="rId10" name="APSA">
          <controlPr defaultSize="0" autoLine="0" autoPict="0" r:id="rId11">
            <anchor moveWithCells="1">
              <from>
                <xdr:col>0</xdr:col>
                <xdr:colOff>85725</xdr:colOff>
                <xdr:row>6</xdr:row>
                <xdr:rowOff>28575</xdr:rowOff>
              </from>
              <to>
                <xdr:col>2</xdr:col>
                <xdr:colOff>600075</xdr:colOff>
                <xdr:row>7</xdr:row>
                <xdr:rowOff>9525</xdr:rowOff>
              </to>
            </anchor>
          </controlPr>
        </control>
      </mc:Choice>
      <mc:Fallback>
        <control shapeId="7169" r:id="rId10" name="APSA"/>
      </mc:Fallback>
    </mc:AlternateContent>
    <mc:AlternateContent xmlns:mc="http://schemas.openxmlformats.org/markup-compatibility/2006">
      <mc:Choice Requires="x14">
        <control shapeId="7170" r:id="rId12" name="PSC">
          <controlPr defaultSize="0" autoLine="0" r:id="rId13">
            <anchor moveWithCells="1">
              <from>
                <xdr:col>0</xdr:col>
                <xdr:colOff>85725</xdr:colOff>
                <xdr:row>6</xdr:row>
                <xdr:rowOff>257175</xdr:rowOff>
              </from>
              <to>
                <xdr:col>2</xdr:col>
                <xdr:colOff>581025</xdr:colOff>
                <xdr:row>8</xdr:row>
                <xdr:rowOff>9525</xdr:rowOff>
              </to>
            </anchor>
          </controlPr>
        </control>
      </mc:Choice>
      <mc:Fallback>
        <control shapeId="7170" r:id="rId12" name="PSC"/>
      </mc:Fallback>
    </mc:AlternateContent>
    <mc:AlternateContent xmlns:mc="http://schemas.openxmlformats.org/markup-compatibility/2006">
      <mc:Choice Requires="x14">
        <control shapeId="7171" r:id="rId14" name="RWC">
          <controlPr defaultSize="0" autoLine="0" r:id="rId15">
            <anchor moveWithCells="1">
              <from>
                <xdr:col>0</xdr:col>
                <xdr:colOff>85725</xdr:colOff>
                <xdr:row>7</xdr:row>
                <xdr:rowOff>228600</xdr:rowOff>
              </from>
              <to>
                <xdr:col>2</xdr:col>
                <xdr:colOff>866775</xdr:colOff>
                <xdr:row>8</xdr:row>
                <xdr:rowOff>247650</xdr:rowOff>
              </to>
            </anchor>
          </controlPr>
        </control>
      </mc:Choice>
      <mc:Fallback>
        <control shapeId="7171" r:id="rId14" name="RWC"/>
      </mc:Fallback>
    </mc:AlternateContent>
    <mc:AlternateContent xmlns:mc="http://schemas.openxmlformats.org/markup-compatibility/2006">
      <mc:Choice Requires="x14">
        <control shapeId="7172" r:id="rId16" name="AHU">
          <controlPr defaultSize="0" autoLine="0" r:id="rId17">
            <anchor moveWithCells="1">
              <from>
                <xdr:col>0</xdr:col>
                <xdr:colOff>85725</xdr:colOff>
                <xdr:row>10</xdr:row>
                <xdr:rowOff>9525</xdr:rowOff>
              </from>
              <to>
                <xdr:col>2</xdr:col>
                <xdr:colOff>676275</xdr:colOff>
                <xdr:row>10</xdr:row>
                <xdr:rowOff>276225</xdr:rowOff>
              </to>
            </anchor>
          </controlPr>
        </control>
      </mc:Choice>
      <mc:Fallback>
        <control shapeId="7172" r:id="rId16" name="AHU"/>
      </mc:Fallback>
    </mc:AlternateContent>
    <mc:AlternateContent xmlns:mc="http://schemas.openxmlformats.org/markup-compatibility/2006">
      <mc:Choice Requires="x14">
        <control shapeId="7173" r:id="rId18" name="CM">
          <controlPr defaultSize="0" autoLine="0" r:id="rId19">
            <anchor moveWithCells="1">
              <from>
                <xdr:col>0</xdr:col>
                <xdr:colOff>85725</xdr:colOff>
                <xdr:row>10</xdr:row>
                <xdr:rowOff>247650</xdr:rowOff>
              </from>
              <to>
                <xdr:col>2</xdr:col>
                <xdr:colOff>809625</xdr:colOff>
                <xdr:row>11</xdr:row>
                <xdr:rowOff>180975</xdr:rowOff>
              </to>
            </anchor>
          </controlPr>
        </control>
      </mc:Choice>
      <mc:Fallback>
        <control shapeId="7173" r:id="rId18" name="CM"/>
      </mc:Fallback>
    </mc:AlternateContent>
    <mc:AlternateContent xmlns:mc="http://schemas.openxmlformats.org/markup-compatibility/2006">
      <mc:Choice Requires="x14">
        <control shapeId="7174" r:id="rId20" name="FCU">
          <controlPr defaultSize="0" autoLine="0" r:id="rId21">
            <anchor moveWithCells="1">
              <from>
                <xdr:col>0</xdr:col>
                <xdr:colOff>85725</xdr:colOff>
                <xdr:row>11</xdr:row>
                <xdr:rowOff>161925</xdr:rowOff>
              </from>
              <to>
                <xdr:col>2</xdr:col>
                <xdr:colOff>361950</xdr:colOff>
                <xdr:row>12</xdr:row>
                <xdr:rowOff>209550</xdr:rowOff>
              </to>
            </anchor>
          </controlPr>
        </control>
      </mc:Choice>
      <mc:Fallback>
        <control shapeId="7174" r:id="rId20" name="FCU"/>
      </mc:Fallback>
    </mc:AlternateContent>
    <mc:AlternateContent xmlns:mc="http://schemas.openxmlformats.org/markup-compatibility/2006">
      <mc:Choice Requires="x14">
        <control shapeId="7175" r:id="rId22" name="PPH">
          <controlPr defaultSize="0" autoLine="0" r:id="rId23">
            <anchor moveWithCells="1">
              <from>
                <xdr:col>0</xdr:col>
                <xdr:colOff>76200</xdr:colOff>
                <xdr:row>18</xdr:row>
                <xdr:rowOff>9525</xdr:rowOff>
              </from>
              <to>
                <xdr:col>2</xdr:col>
                <xdr:colOff>800100</xdr:colOff>
                <xdr:row>19</xdr:row>
                <xdr:rowOff>66675</xdr:rowOff>
              </to>
            </anchor>
          </controlPr>
        </control>
      </mc:Choice>
      <mc:Fallback>
        <control shapeId="7175" r:id="rId22" name="PPH"/>
      </mc:Fallback>
    </mc:AlternateContent>
    <mc:AlternateContent xmlns:mc="http://schemas.openxmlformats.org/markup-compatibility/2006">
      <mc:Choice Requires="x14">
        <control shapeId="7176" r:id="rId24" name="DSP_AHU">
          <controlPr defaultSize="0" autoLine="0" r:id="rId25">
            <anchor moveWithCells="1">
              <from>
                <xdr:col>0</xdr:col>
                <xdr:colOff>66675</xdr:colOff>
                <xdr:row>20</xdr:row>
                <xdr:rowOff>66675</xdr:rowOff>
              </from>
              <to>
                <xdr:col>2</xdr:col>
                <xdr:colOff>638175</xdr:colOff>
                <xdr:row>21</xdr:row>
                <xdr:rowOff>123825</xdr:rowOff>
              </to>
            </anchor>
          </controlPr>
        </control>
      </mc:Choice>
      <mc:Fallback>
        <control shapeId="7176" r:id="rId24" name="DSP_AHU"/>
      </mc:Fallback>
    </mc:AlternateContent>
    <mc:AlternateContent xmlns:mc="http://schemas.openxmlformats.org/markup-compatibility/2006">
      <mc:Choice Requires="x14">
        <control shapeId="7177" r:id="rId26" name="DSP_CM">
          <controlPr defaultSize="0" autoLine="0" r:id="rId27">
            <anchor moveWithCells="1">
              <from>
                <xdr:col>0</xdr:col>
                <xdr:colOff>66675</xdr:colOff>
                <xdr:row>21</xdr:row>
                <xdr:rowOff>95250</xdr:rowOff>
              </from>
              <to>
                <xdr:col>2</xdr:col>
                <xdr:colOff>666750</xdr:colOff>
                <xdr:row>22</xdr:row>
                <xdr:rowOff>152400</xdr:rowOff>
              </to>
            </anchor>
          </controlPr>
        </control>
      </mc:Choice>
      <mc:Fallback>
        <control shapeId="7177" r:id="rId26" name="DSP_CM"/>
      </mc:Fallback>
    </mc:AlternateContent>
    <mc:AlternateContent xmlns:mc="http://schemas.openxmlformats.org/markup-compatibility/2006">
      <mc:Choice Requires="x14">
        <control shapeId="7178" r:id="rId28" name="PASC">
          <controlPr defaultSize="0" autoLine="0" r:id="rId29">
            <anchor moveWithCells="1">
              <from>
                <xdr:col>0</xdr:col>
                <xdr:colOff>66675</xdr:colOff>
                <xdr:row>22</xdr:row>
                <xdr:rowOff>104775</xdr:rowOff>
              </from>
              <to>
                <xdr:col>2</xdr:col>
                <xdr:colOff>962025</xdr:colOff>
                <xdr:row>23</xdr:row>
                <xdr:rowOff>161925</xdr:rowOff>
              </to>
            </anchor>
          </controlPr>
        </control>
      </mc:Choice>
      <mc:Fallback>
        <control shapeId="7178" r:id="rId28" name="PASC"/>
      </mc:Fallback>
    </mc:AlternateContent>
    <mc:AlternateContent xmlns:mc="http://schemas.openxmlformats.org/markup-compatibility/2006">
      <mc:Choice Requires="x14">
        <control shapeId="7179" r:id="rId30" name="PDU">
          <controlPr defaultSize="0" autoLine="0" r:id="rId31">
            <anchor moveWithCells="1">
              <from>
                <xdr:col>0</xdr:col>
                <xdr:colOff>76200</xdr:colOff>
                <xdr:row>26</xdr:row>
                <xdr:rowOff>104775</xdr:rowOff>
              </from>
              <to>
                <xdr:col>2</xdr:col>
                <xdr:colOff>657225</xdr:colOff>
                <xdr:row>27</xdr:row>
                <xdr:rowOff>161925</xdr:rowOff>
              </to>
            </anchor>
          </controlPr>
        </control>
      </mc:Choice>
      <mc:Fallback>
        <control shapeId="7179" r:id="rId30" name="PDU"/>
      </mc:Fallback>
    </mc:AlternateContent>
    <mc:AlternateContent xmlns:mc="http://schemas.openxmlformats.org/markup-compatibility/2006">
      <mc:Choice Requires="x14">
        <control shapeId="7180" r:id="rId32" name="PSU">
          <controlPr defaultSize="0" autoLine="0" r:id="rId33">
            <anchor moveWithCells="1">
              <from>
                <xdr:col>0</xdr:col>
                <xdr:colOff>66675</xdr:colOff>
                <xdr:row>27</xdr:row>
                <xdr:rowOff>152400</xdr:rowOff>
              </from>
              <to>
                <xdr:col>2</xdr:col>
                <xdr:colOff>771525</xdr:colOff>
                <xdr:row>28</xdr:row>
                <xdr:rowOff>200025</xdr:rowOff>
              </to>
            </anchor>
          </controlPr>
        </control>
      </mc:Choice>
      <mc:Fallback>
        <control shapeId="7180" r:id="rId32" name="PSU"/>
      </mc:Fallback>
    </mc:AlternateContent>
    <mc:AlternateContent xmlns:mc="http://schemas.openxmlformats.org/markup-compatibility/2006">
      <mc:Choice Requires="x14">
        <control shapeId="7181" r:id="rId34" name="Ecology">
          <controlPr defaultSize="0" autoLine="0" r:id="rId35">
            <anchor moveWithCells="1">
              <from>
                <xdr:col>0</xdr:col>
                <xdr:colOff>76200</xdr:colOff>
                <xdr:row>14</xdr:row>
                <xdr:rowOff>28575</xdr:rowOff>
              </from>
              <to>
                <xdr:col>2</xdr:col>
                <xdr:colOff>666750</xdr:colOff>
                <xdr:row>15</xdr:row>
                <xdr:rowOff>85725</xdr:rowOff>
              </to>
            </anchor>
          </controlPr>
        </control>
      </mc:Choice>
      <mc:Fallback>
        <control shapeId="7181" r:id="rId34" name="Ecology"/>
      </mc:Fallback>
    </mc:AlternateContent>
    <mc:AlternateContent xmlns:mc="http://schemas.openxmlformats.org/markup-compatibility/2006">
      <mc:Choice Requires="x14">
        <control shapeId="7182" r:id="rId36" name="PASC_WMU">
          <controlPr defaultSize="0" autoLine="0" r:id="rId37">
            <anchor moveWithCells="1">
              <from>
                <xdr:col>0</xdr:col>
                <xdr:colOff>76200</xdr:colOff>
                <xdr:row>23</xdr:row>
                <xdr:rowOff>142875</xdr:rowOff>
              </from>
              <to>
                <xdr:col>2</xdr:col>
                <xdr:colOff>1190625</xdr:colOff>
                <xdr:row>24</xdr:row>
                <xdr:rowOff>200025</xdr:rowOff>
              </to>
            </anchor>
          </controlPr>
        </control>
      </mc:Choice>
      <mc:Fallback>
        <control shapeId="7182" r:id="rId36" name="PASC_WMU"/>
      </mc:Fallback>
    </mc:AlternateContent>
    <mc:AlternateContent xmlns:mc="http://schemas.openxmlformats.org/markup-compatibility/2006">
      <mc:Choice Requires="x14">
        <control shapeId="7183" r:id="rId38" name="CRAH">
          <controlPr defaultSize="0" autoLine="0" r:id="rId39">
            <anchor moveWithCells="1">
              <from>
                <xdr:col>0</xdr:col>
                <xdr:colOff>85725</xdr:colOff>
                <xdr:row>25</xdr:row>
                <xdr:rowOff>219075</xdr:rowOff>
              </from>
              <to>
                <xdr:col>2</xdr:col>
                <xdr:colOff>1200150</xdr:colOff>
                <xdr:row>26</xdr:row>
                <xdr:rowOff>123825</xdr:rowOff>
              </to>
            </anchor>
          </controlPr>
        </control>
      </mc:Choice>
      <mc:Fallback>
        <control shapeId="7183" r:id="rId38" name="CRAH"/>
      </mc:Fallback>
    </mc:AlternateContent>
    <mc:AlternateContent xmlns:mc="http://schemas.openxmlformats.org/markup-compatibility/2006">
      <mc:Choice Requires="x14">
        <control shapeId="7184" r:id="rId40" name="Chemical_Filtration">
          <controlPr defaultSize="0" autoLine="0" r:id="rId41">
            <anchor moveWithCells="1">
              <from>
                <xdr:col>0</xdr:col>
                <xdr:colOff>66675</xdr:colOff>
                <xdr:row>15</xdr:row>
                <xdr:rowOff>66675</xdr:rowOff>
              </from>
              <to>
                <xdr:col>1</xdr:col>
                <xdr:colOff>914400</xdr:colOff>
                <xdr:row>16</xdr:row>
                <xdr:rowOff>123825</xdr:rowOff>
              </to>
            </anchor>
          </controlPr>
        </control>
      </mc:Choice>
      <mc:Fallback>
        <control shapeId="7184" r:id="rId40" name="Chemical_Filtration"/>
      </mc:Fallback>
    </mc:AlternateContent>
    <mc:AlternateContent xmlns:mc="http://schemas.openxmlformats.org/markup-compatibility/2006">
      <mc:Choice Requires="x14">
        <control shapeId="7185" r:id="rId42" name="PWM">
          <controlPr defaultSize="0" autoLine="0" r:id="rId43">
            <anchor moveWithCells="1">
              <from>
                <xdr:col>0</xdr:col>
                <xdr:colOff>66675</xdr:colOff>
                <xdr:row>19</xdr:row>
                <xdr:rowOff>38100</xdr:rowOff>
              </from>
              <to>
                <xdr:col>2</xdr:col>
                <xdr:colOff>790575</xdr:colOff>
                <xdr:row>20</xdr:row>
                <xdr:rowOff>95250</xdr:rowOff>
              </to>
            </anchor>
          </controlPr>
        </control>
      </mc:Choice>
      <mc:Fallback>
        <control shapeId="7185" r:id="rId42" name="PWM"/>
      </mc:Fallback>
    </mc:AlternateContent>
    <mc:AlternateContent xmlns:mc="http://schemas.openxmlformats.org/markup-compatibility/2006">
      <mc:Choice Requires="x14">
        <control shapeId="7186" r:id="rId44" name="Epicor">
          <controlPr defaultSize="0" autoLine="0" r:id="rId45">
            <anchor moveWithCells="1">
              <from>
                <xdr:col>0</xdr:col>
                <xdr:colOff>66675</xdr:colOff>
                <xdr:row>30</xdr:row>
                <xdr:rowOff>28575</xdr:rowOff>
              </from>
              <to>
                <xdr:col>2</xdr:col>
                <xdr:colOff>771525</xdr:colOff>
                <xdr:row>31</xdr:row>
                <xdr:rowOff>47625</xdr:rowOff>
              </to>
            </anchor>
          </controlPr>
        </control>
      </mc:Choice>
      <mc:Fallback>
        <control shapeId="7186" r:id="rId44" name="Epicor"/>
      </mc:Fallback>
    </mc:AlternateContent>
    <mc:AlternateContent xmlns:mc="http://schemas.openxmlformats.org/markup-compatibility/2006">
      <mc:Choice Requires="x14">
        <control shapeId="7187" r:id="rId46" name="Sheet1">
          <controlPr defaultSize="0" autoLine="0" r:id="rId47">
            <anchor moveWithCells="1">
              <from>
                <xdr:col>0</xdr:col>
                <xdr:colOff>76200</xdr:colOff>
                <xdr:row>31</xdr:row>
                <xdr:rowOff>0</xdr:rowOff>
              </from>
              <to>
                <xdr:col>2</xdr:col>
                <xdr:colOff>781050</xdr:colOff>
                <xdr:row>31</xdr:row>
                <xdr:rowOff>266700</xdr:rowOff>
              </to>
            </anchor>
          </controlPr>
        </control>
      </mc:Choice>
      <mc:Fallback>
        <control shapeId="7187" r:id="rId46" name="Sheet1"/>
      </mc:Fallback>
    </mc:AlternateContent>
    <mc:AlternateContent xmlns:mc="http://schemas.openxmlformats.org/markup-compatibility/2006">
      <mc:Choice Requires="x14">
        <control shapeId="7188" r:id="rId48" name="Sheet_2">
          <controlPr defaultSize="0" autoLine="0" r:id="rId49">
            <anchor moveWithCells="1">
              <from>
                <xdr:col>0</xdr:col>
                <xdr:colOff>76200</xdr:colOff>
                <xdr:row>31</xdr:row>
                <xdr:rowOff>238125</xdr:rowOff>
              </from>
              <to>
                <xdr:col>2</xdr:col>
                <xdr:colOff>781050</xdr:colOff>
                <xdr:row>32</xdr:row>
                <xdr:rowOff>209550</xdr:rowOff>
              </to>
            </anchor>
          </controlPr>
        </control>
      </mc:Choice>
      <mc:Fallback>
        <control shapeId="7188" r:id="rId48" name="Sheet_2"/>
      </mc:Fallback>
    </mc:AlternateContent>
    <mc:AlternateContent xmlns:mc="http://schemas.openxmlformats.org/markup-compatibility/2006">
      <mc:Choice Requires="x14">
        <control shapeId="7189" r:id="rId50" name="Sheet_3">
          <controlPr defaultSize="0" autoLine="0" r:id="rId51">
            <anchor moveWithCells="1">
              <from>
                <xdr:col>0</xdr:col>
                <xdr:colOff>76200</xdr:colOff>
                <xdr:row>32</xdr:row>
                <xdr:rowOff>190500</xdr:rowOff>
              </from>
              <to>
                <xdr:col>2</xdr:col>
                <xdr:colOff>781050</xdr:colOff>
                <xdr:row>33</xdr:row>
                <xdr:rowOff>209550</xdr:rowOff>
              </to>
            </anchor>
          </controlPr>
        </control>
      </mc:Choice>
      <mc:Fallback>
        <control shapeId="7189" r:id="rId50" name="Sheet_3"/>
      </mc:Fallback>
    </mc:AlternateContent>
    <mc:AlternateContent xmlns:mc="http://schemas.openxmlformats.org/markup-compatibility/2006">
      <mc:Choice Requires="x14">
        <control shapeId="7190" r:id="rId52" name="Automated_Tasks_Button">
          <controlPr defaultSize="0" autoFill="0" autoLine="0" r:id="rId53">
            <anchor moveWithCells="1">
              <from>
                <xdr:col>9</xdr:col>
                <xdr:colOff>57150</xdr:colOff>
                <xdr:row>4</xdr:row>
                <xdr:rowOff>28575</xdr:rowOff>
              </from>
              <to>
                <xdr:col>12</xdr:col>
                <xdr:colOff>1333500</xdr:colOff>
                <xdr:row>6</xdr:row>
                <xdr:rowOff>276225</xdr:rowOff>
              </to>
            </anchor>
          </controlPr>
        </control>
      </mc:Choice>
      <mc:Fallback>
        <control shapeId="7190" r:id="rId52" name="Automated_Tasks_Button"/>
      </mc:Fallback>
    </mc:AlternateContent>
    <mc:AlternateContent xmlns:mc="http://schemas.openxmlformats.org/markup-compatibility/2006">
      <mc:Choice Requires="x14">
        <control shapeId="7191" r:id="rId54" name="Image1">
          <controlPr defaultSize="0" autoLine="0" r:id="rId55">
            <anchor moveWithCells="1">
              <from>
                <xdr:col>9</xdr:col>
                <xdr:colOff>361950</xdr:colOff>
                <xdr:row>0</xdr:row>
                <xdr:rowOff>47625</xdr:rowOff>
              </from>
              <to>
                <xdr:col>12</xdr:col>
                <xdr:colOff>1009650</xdr:colOff>
                <xdr:row>3</xdr:row>
                <xdr:rowOff>104775</xdr:rowOff>
              </to>
            </anchor>
          </controlPr>
        </control>
      </mc:Choice>
      <mc:Fallback>
        <control shapeId="7191" r:id="rId54" name="Image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FEB51-77F0-48D2-87EE-E1355050C517}">
  <sheetPr codeName="L1_Schneider_Input"/>
  <dimension ref="A1:U76"/>
  <sheetViews>
    <sheetView topLeftCell="A55" zoomScale="85" zoomScaleNormal="85" workbookViewId="0">
      <pane xSplit="1" topLeftCell="B1" activePane="topRight" state="frozen"/>
      <selection pane="topRight" activeCell="D34" sqref="D34"/>
    </sheetView>
  </sheetViews>
  <sheetFormatPr defaultRowHeight="15"/>
  <cols>
    <col min="1" max="1" width="30.42578125" bestFit="1" customWidth="1"/>
    <col min="2" max="3" width="18.42578125" bestFit="1" customWidth="1"/>
    <col min="4" max="11" width="16.28515625" customWidth="1"/>
    <col min="12" max="12" width="4" customWidth="1"/>
    <col min="13" max="13" width="23.85546875" bestFit="1" customWidth="1"/>
    <col min="14" max="14" width="26.7109375" bestFit="1" customWidth="1"/>
    <col min="15" max="15" width="11.85546875" bestFit="1" customWidth="1"/>
    <col min="16" max="16" width="23.85546875" bestFit="1" customWidth="1"/>
    <col min="17" max="17" width="26.7109375" bestFit="1" customWidth="1"/>
    <col min="23" max="23" width="16.140625" bestFit="1" customWidth="1"/>
    <col min="24" max="24" width="19.7109375" bestFit="1" customWidth="1"/>
  </cols>
  <sheetData>
    <row r="1" spans="1:21" ht="24" thickBot="1">
      <c r="A1" s="1713" t="s">
        <v>3203</v>
      </c>
      <c r="B1" s="1714"/>
      <c r="C1" s="1714"/>
      <c r="D1" s="1714"/>
      <c r="E1" s="1714"/>
      <c r="F1" s="1714"/>
      <c r="G1" s="1714"/>
      <c r="H1" s="1714"/>
      <c r="I1" s="1714"/>
      <c r="J1" s="1714"/>
      <c r="K1" s="1715"/>
    </row>
    <row r="2" spans="1:21" ht="19.5" thickBot="1">
      <c r="A2" s="1716" t="s">
        <v>3204</v>
      </c>
      <c r="B2" s="1717"/>
      <c r="C2" s="1717"/>
      <c r="D2" s="1717"/>
      <c r="E2" s="1717"/>
      <c r="F2" s="1717"/>
      <c r="G2" s="1717"/>
      <c r="H2" s="1717"/>
      <c r="I2" s="1717"/>
      <c r="J2" s="1717"/>
      <c r="K2" s="1718"/>
    </row>
    <row r="3" spans="1:21">
      <c r="A3" s="1240" t="s">
        <v>3205</v>
      </c>
      <c r="B3" s="1241" t="s">
        <v>3072</v>
      </c>
      <c r="C3" s="1241"/>
      <c r="D3" s="1241"/>
      <c r="E3" s="1241"/>
      <c r="F3" s="1241"/>
      <c r="G3" s="1241"/>
      <c r="H3" s="1241"/>
      <c r="I3" s="1241"/>
      <c r="J3" s="1241"/>
      <c r="K3" s="1242"/>
    </row>
    <row r="4" spans="1:21">
      <c r="A4" s="1243" t="s">
        <v>3206</v>
      </c>
      <c r="B4" s="1535" t="s">
        <v>3079</v>
      </c>
      <c r="C4" s="1535"/>
      <c r="D4" s="1535"/>
      <c r="E4" s="1536"/>
      <c r="F4" s="1536"/>
      <c r="G4" s="1536"/>
      <c r="H4" s="1536"/>
      <c r="I4" s="1536"/>
      <c r="J4" s="1536"/>
      <c r="K4" s="1537"/>
    </row>
    <row r="5" spans="1:21" ht="15.75" thickBot="1">
      <c r="A5" s="1243" t="s">
        <v>3674</v>
      </c>
      <c r="B5" s="1535" t="s">
        <v>3088</v>
      </c>
      <c r="C5" s="1535"/>
      <c r="D5" s="1535"/>
      <c r="E5" s="1535"/>
      <c r="F5" s="1535"/>
      <c r="G5" s="1535"/>
      <c r="H5" s="1535"/>
      <c r="I5" s="1535"/>
      <c r="J5" s="1535"/>
      <c r="K5" s="1535"/>
    </row>
    <row r="6" spans="1:21" ht="15.75" thickBot="1">
      <c r="A6" s="1243" t="s">
        <v>3675</v>
      </c>
      <c r="B6" s="1535">
        <v>31.5</v>
      </c>
      <c r="C6" s="1535"/>
      <c r="D6" s="1535"/>
      <c r="E6" s="1535"/>
      <c r="F6" s="1535"/>
      <c r="G6" s="1535"/>
      <c r="H6" s="1535"/>
      <c r="I6" s="1535"/>
      <c r="J6" s="1535"/>
      <c r="K6" s="1538"/>
      <c r="L6" s="632"/>
      <c r="M6" s="1539" t="s">
        <v>3676</v>
      </c>
      <c r="N6" s="1539" t="s">
        <v>3677</v>
      </c>
      <c r="O6" s="632"/>
      <c r="P6" s="632"/>
      <c r="Q6" s="632"/>
      <c r="R6" s="632"/>
      <c r="S6" s="632"/>
      <c r="T6" s="632"/>
      <c r="U6" s="632"/>
    </row>
    <row r="7" spans="1:21" ht="15.75">
      <c r="A7" s="1243" t="s">
        <v>3678</v>
      </c>
      <c r="B7" s="1535">
        <v>21.5</v>
      </c>
      <c r="C7" s="1535"/>
      <c r="D7" s="1535"/>
      <c r="E7" s="1535"/>
      <c r="F7" s="1535"/>
      <c r="G7" s="1535"/>
      <c r="H7" s="1535"/>
      <c r="I7" s="1535"/>
      <c r="J7" s="1535"/>
      <c r="K7" s="1538"/>
      <c r="L7" s="632"/>
      <c r="M7" s="1540" t="s">
        <v>3679</v>
      </c>
      <c r="N7" s="1541" t="s">
        <v>3680</v>
      </c>
      <c r="U7" s="632"/>
    </row>
    <row r="8" spans="1:21" ht="15.75">
      <c r="A8" s="1243" t="s">
        <v>3681</v>
      </c>
      <c r="B8" s="1535">
        <v>53</v>
      </c>
      <c r="C8" s="1535"/>
      <c r="D8" s="1535"/>
      <c r="E8" s="1535"/>
      <c r="F8" s="1535"/>
      <c r="G8" s="1535"/>
      <c r="H8" s="1535"/>
      <c r="I8" s="1535"/>
      <c r="J8" s="1535"/>
      <c r="K8" s="1538"/>
      <c r="L8" s="632"/>
      <c r="M8" s="1542" t="s">
        <v>3255</v>
      </c>
      <c r="N8" s="1543" t="s">
        <v>3680</v>
      </c>
      <c r="U8" s="632"/>
    </row>
    <row r="9" spans="1:21" ht="15.75">
      <c r="A9" s="1243" t="s">
        <v>3682</v>
      </c>
      <c r="B9" s="1544">
        <v>0.107</v>
      </c>
      <c r="C9" s="1544"/>
      <c r="D9" s="1545"/>
      <c r="E9" s="1545"/>
      <c r="F9" s="1545"/>
      <c r="G9" s="1545"/>
      <c r="H9" s="1545"/>
      <c r="I9" s="1545"/>
      <c r="J9" s="1545"/>
      <c r="K9" s="1546"/>
      <c r="L9" s="632"/>
      <c r="M9" s="1542" t="s">
        <v>3256</v>
      </c>
      <c r="N9" s="1543" t="s">
        <v>3680</v>
      </c>
      <c r="U9" s="632"/>
    </row>
    <row r="10" spans="1:21" ht="15.75">
      <c r="A10" s="1243" t="s">
        <v>3683</v>
      </c>
      <c r="B10" s="1535">
        <v>520</v>
      </c>
      <c r="C10" s="1535"/>
      <c r="D10" s="1535"/>
      <c r="E10" s="1535"/>
      <c r="F10" s="1535"/>
      <c r="G10" s="1535"/>
      <c r="H10" s="1535"/>
      <c r="I10" s="1535"/>
      <c r="J10" s="1535"/>
      <c r="K10" s="1538"/>
      <c r="L10" s="632"/>
      <c r="M10" s="1542" t="s">
        <v>3257</v>
      </c>
      <c r="N10" s="1543" t="s">
        <v>3680</v>
      </c>
      <c r="U10" s="632"/>
    </row>
    <row r="11" spans="1:21" ht="15.75">
      <c r="A11" s="1243" t="s">
        <v>3110</v>
      </c>
      <c r="B11" s="1535">
        <v>1.8E-5</v>
      </c>
      <c r="C11" s="1535"/>
      <c r="D11" s="1535"/>
      <c r="E11" s="1535"/>
      <c r="F11" s="1535"/>
      <c r="G11" s="1535"/>
      <c r="H11" s="1535"/>
      <c r="I11" s="1535"/>
      <c r="J11" s="1535"/>
      <c r="K11" s="1538"/>
      <c r="L11" s="632"/>
      <c r="M11" s="1542" t="s">
        <v>3258</v>
      </c>
      <c r="N11" s="1543" t="s">
        <v>3680</v>
      </c>
      <c r="U11" s="632"/>
    </row>
    <row r="12" spans="1:21" ht="15.75">
      <c r="A12" s="1243" t="s">
        <v>3684</v>
      </c>
      <c r="B12" s="1535">
        <v>1160</v>
      </c>
      <c r="C12" s="1536"/>
      <c r="D12" s="1536"/>
      <c r="E12" s="1536"/>
      <c r="F12" s="1536"/>
      <c r="G12" s="1536"/>
      <c r="H12" s="1536"/>
      <c r="I12" s="1536"/>
      <c r="J12" s="1536"/>
      <c r="K12" s="1537"/>
      <c r="L12" s="632"/>
      <c r="M12" s="1547" t="s">
        <v>3259</v>
      </c>
      <c r="N12" s="1543" t="s">
        <v>3680</v>
      </c>
      <c r="U12" s="632"/>
    </row>
    <row r="13" spans="1:21" ht="16.5" thickBot="1">
      <c r="A13" s="1244" t="s">
        <v>3685</v>
      </c>
      <c r="B13" s="1548">
        <v>1271.5</v>
      </c>
      <c r="C13" s="1549"/>
      <c r="D13" s="1549"/>
      <c r="E13" s="1549"/>
      <c r="F13" s="1549"/>
      <c r="G13" s="1549"/>
      <c r="H13" s="1549"/>
      <c r="I13" s="1549"/>
      <c r="J13" s="1549"/>
      <c r="K13" s="1550"/>
      <c r="L13" s="632"/>
      <c r="M13" s="1551" t="s">
        <v>3260</v>
      </c>
      <c r="N13" s="1552" t="s">
        <v>3680</v>
      </c>
      <c r="U13" s="632"/>
    </row>
    <row r="14" spans="1:21" ht="19.5" thickBot="1">
      <c r="A14" s="1719" t="s">
        <v>3207</v>
      </c>
      <c r="B14" s="1720"/>
      <c r="C14" s="1720"/>
      <c r="D14" s="1720"/>
      <c r="E14" s="1720"/>
      <c r="F14" s="1720"/>
      <c r="G14" s="1720"/>
      <c r="H14" s="1720"/>
      <c r="I14" s="1720"/>
      <c r="J14" s="1720"/>
      <c r="K14" s="1721"/>
      <c r="L14" s="632"/>
      <c r="M14" s="1693"/>
      <c r="N14" s="1694"/>
      <c r="U14" s="632"/>
    </row>
    <row r="15" spans="1:21" ht="16.5" thickBot="1">
      <c r="A15" s="1515" t="s">
        <v>3208</v>
      </c>
      <c r="B15" s="1553">
        <v>160</v>
      </c>
      <c r="C15" s="1554"/>
      <c r="D15" s="1554"/>
      <c r="E15" s="1554"/>
      <c r="F15" s="1554"/>
      <c r="G15" s="1554"/>
      <c r="H15" s="1554"/>
      <c r="I15" s="1554"/>
      <c r="J15" s="1554"/>
      <c r="K15" s="1555"/>
      <c r="L15" s="632"/>
      <c r="M15" s="1556">
        <v>50</v>
      </c>
      <c r="N15" s="1557" t="s">
        <v>3686</v>
      </c>
      <c r="U15" s="632"/>
    </row>
    <row r="16" spans="1:21" ht="16.5" thickBot="1">
      <c r="A16" s="1516" t="s">
        <v>3209</v>
      </c>
      <c r="B16" s="1558">
        <v>160</v>
      </c>
      <c r="C16" s="1536"/>
      <c r="D16" s="1536"/>
      <c r="E16" s="1536"/>
      <c r="F16" s="1536"/>
      <c r="G16" s="1536"/>
      <c r="H16" s="1536"/>
      <c r="I16" s="1536"/>
      <c r="J16" s="1536"/>
      <c r="K16" s="1537"/>
      <c r="L16" s="632"/>
      <c r="M16" s="1559">
        <v>70</v>
      </c>
      <c r="N16" s="1560" t="s">
        <v>3687</v>
      </c>
      <c r="U16" s="632"/>
    </row>
    <row r="17" spans="1:21" ht="16.5" thickBot="1">
      <c r="A17" s="1516" t="s">
        <v>3210</v>
      </c>
      <c r="B17" s="1558">
        <v>160</v>
      </c>
      <c r="C17" s="1536"/>
      <c r="D17" s="1536"/>
      <c r="E17" s="1536"/>
      <c r="F17" s="1536"/>
      <c r="G17" s="1536"/>
      <c r="H17" s="1536"/>
      <c r="I17" s="1536"/>
      <c r="J17" s="1536"/>
      <c r="K17" s="1537"/>
      <c r="L17" s="632"/>
      <c r="M17" s="1559">
        <v>80</v>
      </c>
      <c r="N17" s="1560" t="s">
        <v>3688</v>
      </c>
      <c r="U17" s="632"/>
    </row>
    <row r="18" spans="1:21" ht="16.5" thickBot="1">
      <c r="A18" s="1516" t="s">
        <v>3689</v>
      </c>
      <c r="B18" s="1558">
        <v>317.23</v>
      </c>
      <c r="C18" s="1536"/>
      <c r="D18" s="1536"/>
      <c r="E18" s="1536"/>
      <c r="F18" s="1536"/>
      <c r="G18" s="1536"/>
      <c r="H18" s="1536"/>
      <c r="I18" s="1536"/>
      <c r="J18" s="1536"/>
      <c r="K18" s="1537"/>
      <c r="M18" s="1559">
        <v>90</v>
      </c>
      <c r="N18" s="1560" t="s">
        <v>3690</v>
      </c>
      <c r="U18" s="632"/>
    </row>
    <row r="19" spans="1:21" ht="16.5" thickBot="1">
      <c r="A19" s="1561" t="s">
        <v>1342</v>
      </c>
      <c r="B19" s="1562" t="s">
        <v>2250</v>
      </c>
      <c r="C19" s="1549"/>
      <c r="D19" s="1549"/>
      <c r="E19" s="1549"/>
      <c r="F19" s="1549"/>
      <c r="G19" s="1549"/>
      <c r="H19" s="1549"/>
      <c r="I19" s="1549"/>
      <c r="J19" s="1549"/>
      <c r="K19" s="1550"/>
      <c r="L19" s="632"/>
      <c r="M19" s="1559">
        <v>100</v>
      </c>
      <c r="N19" s="1560" t="s">
        <v>3691</v>
      </c>
      <c r="U19" s="632"/>
    </row>
    <row r="20" spans="1:21" ht="19.5" thickBot="1">
      <c r="A20" s="1695" t="s">
        <v>3211</v>
      </c>
      <c r="B20" s="1696"/>
      <c r="C20" s="1696"/>
      <c r="D20" s="1696"/>
      <c r="E20" s="1696"/>
      <c r="F20" s="1696"/>
      <c r="G20" s="1696"/>
      <c r="H20" s="1696"/>
      <c r="I20" s="1696"/>
      <c r="J20" s="1696"/>
      <c r="K20" s="1697"/>
      <c r="L20" s="632"/>
      <c r="M20" s="1559">
        <v>110</v>
      </c>
      <c r="N20" s="1560" t="s">
        <v>3692</v>
      </c>
      <c r="U20" s="632"/>
    </row>
    <row r="21" spans="1:21" ht="16.5" thickBot="1">
      <c r="A21" s="1245" t="s">
        <v>3212</v>
      </c>
      <c r="B21" s="1563">
        <v>18</v>
      </c>
      <c r="C21" s="1564"/>
      <c r="D21" s="1564"/>
      <c r="E21" s="1564"/>
      <c r="F21" s="1564"/>
      <c r="G21" s="1564"/>
      <c r="H21" s="1564"/>
      <c r="I21" s="1564"/>
      <c r="J21" s="1564"/>
      <c r="K21" s="1565"/>
      <c r="L21" s="632"/>
      <c r="M21" s="1559">
        <v>125</v>
      </c>
      <c r="N21" s="1560" t="s">
        <v>3693</v>
      </c>
      <c r="U21" s="632"/>
    </row>
    <row r="22" spans="1:21" ht="16.5" thickBot="1">
      <c r="A22" s="1247" t="s">
        <v>3213</v>
      </c>
      <c r="B22" s="1566" t="s">
        <v>3125</v>
      </c>
      <c r="C22" s="1566"/>
      <c r="D22" s="1566"/>
      <c r="E22" s="1566"/>
      <c r="F22" s="1566"/>
      <c r="G22" s="1566"/>
      <c r="H22" s="1566"/>
      <c r="I22" s="1566"/>
      <c r="J22" s="1566"/>
      <c r="K22" s="1567"/>
      <c r="L22" s="632"/>
      <c r="M22" s="1559">
        <v>135</v>
      </c>
      <c r="N22" s="1560" t="s">
        <v>3694</v>
      </c>
      <c r="O22" s="632"/>
      <c r="P22" s="632"/>
      <c r="Q22" s="632"/>
      <c r="R22" s="632"/>
      <c r="S22" s="632"/>
      <c r="T22" s="632"/>
      <c r="U22" s="632"/>
    </row>
    <row r="23" spans="1:21" ht="19.5" thickBot="1">
      <c r="A23" s="1698" t="s">
        <v>3214</v>
      </c>
      <c r="B23" s="1699"/>
      <c r="C23" s="1699"/>
      <c r="D23" s="1699"/>
      <c r="E23" s="1699"/>
      <c r="F23" s="1699"/>
      <c r="G23" s="1699"/>
      <c r="H23" s="1699"/>
      <c r="I23" s="1699"/>
      <c r="J23" s="1699"/>
      <c r="K23" s="1700"/>
      <c r="L23" s="632"/>
      <c r="M23" s="1559">
        <v>140</v>
      </c>
      <c r="N23" s="1560" t="s">
        <v>3695</v>
      </c>
      <c r="O23" s="632"/>
      <c r="R23" s="632"/>
      <c r="S23" s="632"/>
      <c r="T23" s="632"/>
      <c r="U23" s="632"/>
    </row>
    <row r="24" spans="1:21" ht="16.5" thickBot="1">
      <c r="A24" s="1249" t="s">
        <v>3696</v>
      </c>
      <c r="B24" s="1568">
        <v>28.41</v>
      </c>
      <c r="C24" s="1569"/>
      <c r="D24" s="1569"/>
      <c r="E24" s="1569"/>
      <c r="F24" s="1569"/>
      <c r="G24" s="1569"/>
      <c r="H24" s="1569"/>
      <c r="I24" s="1569"/>
      <c r="J24" s="1569"/>
      <c r="K24" s="1570"/>
      <c r="L24" s="632"/>
      <c r="M24" s="1559">
        <v>160</v>
      </c>
      <c r="N24" s="1560" t="s">
        <v>3697</v>
      </c>
      <c r="O24" s="632"/>
      <c r="R24" s="632"/>
      <c r="S24" s="632"/>
      <c r="T24" s="632"/>
      <c r="U24" s="632"/>
    </row>
    <row r="25" spans="1:21" ht="16.5" thickBot="1">
      <c r="A25" s="1250" t="s">
        <v>3698</v>
      </c>
      <c r="B25" s="1548">
        <v>30.06</v>
      </c>
      <c r="C25" s="1549"/>
      <c r="D25" s="1549"/>
      <c r="E25" s="1549"/>
      <c r="F25" s="1549"/>
      <c r="G25" s="1549"/>
      <c r="H25" s="1549"/>
      <c r="I25" s="1549"/>
      <c r="J25" s="1549"/>
      <c r="K25" s="1550"/>
      <c r="L25" s="632"/>
      <c r="M25" s="1559">
        <v>190</v>
      </c>
      <c r="N25" s="1560" t="s">
        <v>3699</v>
      </c>
      <c r="O25" s="632"/>
      <c r="R25" s="632"/>
      <c r="S25" s="632"/>
      <c r="T25" s="632"/>
      <c r="U25" s="632"/>
    </row>
    <row r="26" spans="1:21" ht="19.5" thickBot="1">
      <c r="A26" s="1701" t="s">
        <v>3215</v>
      </c>
      <c r="B26" s="1702"/>
      <c r="C26" s="1702"/>
      <c r="D26" s="1702"/>
      <c r="E26" s="1702"/>
      <c r="F26" s="1702"/>
      <c r="G26" s="1702"/>
      <c r="H26" s="1702"/>
      <c r="I26" s="1702"/>
      <c r="J26" s="1702"/>
      <c r="K26" s="1703"/>
      <c r="L26" s="632"/>
      <c r="M26" s="1559">
        <v>210</v>
      </c>
      <c r="N26" s="1560" t="s">
        <v>3700</v>
      </c>
      <c r="O26" s="632"/>
      <c r="R26" s="632"/>
      <c r="S26" s="632"/>
      <c r="T26" s="632"/>
      <c r="U26" s="632"/>
    </row>
    <row r="27" spans="1:21" ht="16.5" thickBot="1">
      <c r="A27" s="1251" t="s">
        <v>3216</v>
      </c>
      <c r="B27" s="1598" t="s">
        <v>3217</v>
      </c>
      <c r="C27" s="1554"/>
      <c r="D27" s="1554"/>
      <c r="E27" s="1554"/>
      <c r="F27" s="1554"/>
      <c r="G27" s="1554"/>
      <c r="H27" s="1554"/>
      <c r="I27" s="1554"/>
      <c r="J27" s="1554"/>
      <c r="K27" s="1555"/>
      <c r="L27" s="632"/>
      <c r="M27" s="1559">
        <v>220</v>
      </c>
      <c r="N27" s="1560" t="s">
        <v>3701</v>
      </c>
      <c r="O27" s="632"/>
      <c r="R27" s="632"/>
      <c r="S27" s="632"/>
      <c r="T27" s="632"/>
      <c r="U27" s="632"/>
    </row>
    <row r="28" spans="1:21" ht="16.5" thickBot="1">
      <c r="A28" s="1252" t="s">
        <v>3702</v>
      </c>
      <c r="B28" s="1558">
        <v>35</v>
      </c>
      <c r="C28" s="1536"/>
      <c r="D28" s="1536"/>
      <c r="E28" s="1536"/>
      <c r="F28" s="1536"/>
      <c r="G28" s="1536"/>
      <c r="H28" s="1536"/>
      <c r="I28" s="1536"/>
      <c r="J28" s="1536"/>
      <c r="K28" s="1537"/>
      <c r="L28" s="632"/>
      <c r="M28" s="1559">
        <v>250</v>
      </c>
      <c r="N28" s="1560" t="s">
        <v>3703</v>
      </c>
      <c r="O28" s="632"/>
      <c r="R28" s="632"/>
      <c r="S28" s="632"/>
      <c r="T28" s="632"/>
      <c r="U28" s="632"/>
    </row>
    <row r="29" spans="1:21">
      <c r="A29" s="1253" t="s">
        <v>3160</v>
      </c>
      <c r="B29" s="1601" t="s">
        <v>3217</v>
      </c>
      <c r="C29" s="1536"/>
      <c r="D29" s="1536"/>
      <c r="E29" s="1536"/>
      <c r="F29" s="1536"/>
      <c r="G29" s="1536"/>
      <c r="H29" s="1536"/>
      <c r="I29" s="1536"/>
      <c r="J29" s="1536"/>
      <c r="K29" s="1537"/>
      <c r="L29" s="632"/>
      <c r="O29" s="632"/>
      <c r="R29" s="632"/>
      <c r="S29" s="632"/>
      <c r="T29" s="632"/>
      <c r="U29" s="632"/>
    </row>
    <row r="30" spans="1:21" ht="15.75" thickBot="1">
      <c r="A30" s="1253" t="s">
        <v>3218</v>
      </c>
      <c r="B30" s="1607" t="s">
        <v>3217</v>
      </c>
      <c r="C30" s="1549"/>
      <c r="D30" s="1549"/>
      <c r="E30" s="1549"/>
      <c r="F30" s="1549"/>
      <c r="G30" s="1549"/>
      <c r="H30" s="1549"/>
      <c r="I30" s="1549"/>
      <c r="J30" s="1549"/>
      <c r="K30" s="1550"/>
      <c r="L30" s="632"/>
      <c r="O30" s="632"/>
      <c r="R30" s="632"/>
      <c r="S30" s="632"/>
      <c r="T30" s="632"/>
      <c r="U30" s="632"/>
    </row>
    <row r="31" spans="1:21">
      <c r="A31" s="1254" t="s">
        <v>5</v>
      </c>
      <c r="B31" s="1568">
        <v>1</v>
      </c>
      <c r="C31" s="1568"/>
      <c r="D31" s="1569"/>
      <c r="E31" s="1569"/>
      <c r="F31" s="1569"/>
      <c r="G31" s="1569"/>
      <c r="H31" s="1569"/>
      <c r="I31" s="1569"/>
      <c r="J31" s="1569"/>
      <c r="K31" s="1570"/>
      <c r="L31" s="632"/>
      <c r="O31" s="632"/>
      <c r="P31" s="632"/>
      <c r="Q31" s="632"/>
      <c r="R31" s="632"/>
      <c r="S31" s="632"/>
      <c r="T31" s="632"/>
      <c r="U31" s="632"/>
    </row>
    <row r="32" spans="1:21">
      <c r="A32" s="1255" t="s">
        <v>0</v>
      </c>
      <c r="B32" s="1535" t="s">
        <v>3704</v>
      </c>
      <c r="C32" s="1535"/>
      <c r="D32" s="1536"/>
      <c r="E32" s="1536"/>
      <c r="F32" s="1536"/>
      <c r="G32" s="1536"/>
      <c r="H32" s="1536"/>
      <c r="I32" s="1536"/>
      <c r="J32" s="1536"/>
      <c r="K32" s="1537"/>
      <c r="L32" s="632"/>
      <c r="O32" s="632"/>
      <c r="P32" s="632"/>
      <c r="Q32" s="632"/>
      <c r="R32" s="632"/>
      <c r="S32" s="632"/>
      <c r="T32" s="632"/>
      <c r="U32" s="632"/>
    </row>
    <row r="33" spans="1:21">
      <c r="A33" s="1255" t="s">
        <v>3219</v>
      </c>
      <c r="B33" s="1535">
        <v>6</v>
      </c>
      <c r="C33" s="1535"/>
      <c r="D33" s="1536"/>
      <c r="E33" s="1536"/>
      <c r="F33" s="1536"/>
      <c r="G33" s="1536"/>
      <c r="H33" s="1536"/>
      <c r="I33" s="1536"/>
      <c r="J33" s="1536"/>
      <c r="K33" s="1537"/>
      <c r="L33" s="632"/>
      <c r="O33" s="632"/>
      <c r="P33" s="632"/>
      <c r="Q33" s="632"/>
      <c r="R33" s="632"/>
      <c r="S33" s="632"/>
      <c r="T33" s="632"/>
      <c r="U33" s="632"/>
    </row>
    <row r="34" spans="1:21">
      <c r="A34" s="1255" t="s">
        <v>3220</v>
      </c>
      <c r="B34" s="1535">
        <v>6</v>
      </c>
      <c r="C34" s="1535"/>
      <c r="D34" s="1536"/>
      <c r="E34" s="1536"/>
      <c r="F34" s="1536"/>
      <c r="G34" s="1536"/>
      <c r="H34" s="1536"/>
      <c r="I34" s="1536"/>
      <c r="J34" s="1536"/>
      <c r="K34" s="1537"/>
      <c r="L34" s="632"/>
      <c r="O34" s="632"/>
      <c r="P34" s="632"/>
      <c r="Q34" s="632"/>
      <c r="R34" s="632"/>
      <c r="S34" s="632"/>
      <c r="T34" s="632"/>
      <c r="U34" s="632"/>
    </row>
    <row r="35" spans="1:21">
      <c r="A35" s="1255" t="s">
        <v>3221</v>
      </c>
      <c r="B35" s="1535">
        <v>6</v>
      </c>
      <c r="C35" s="1535"/>
      <c r="D35" s="1536"/>
      <c r="E35" s="1536"/>
      <c r="F35" s="1536"/>
      <c r="G35" s="1536"/>
      <c r="H35" s="1536"/>
      <c r="I35" s="1536"/>
      <c r="J35" s="1536"/>
      <c r="K35" s="1537"/>
      <c r="L35" s="632"/>
      <c r="O35" s="632"/>
      <c r="P35" s="632"/>
      <c r="Q35" s="632"/>
      <c r="R35" s="632"/>
      <c r="S35" s="632"/>
      <c r="T35" s="632"/>
      <c r="U35" s="632"/>
    </row>
    <row r="36" spans="1:21" ht="15.75" thickBot="1">
      <c r="A36" s="1256" t="s">
        <v>3222</v>
      </c>
      <c r="B36" s="1571" t="s">
        <v>3223</v>
      </c>
      <c r="C36" s="1571"/>
      <c r="D36" s="1571"/>
      <c r="E36" s="1571"/>
      <c r="F36" s="1571"/>
      <c r="G36" s="1571"/>
      <c r="H36" s="1571"/>
      <c r="I36" s="1571"/>
      <c r="J36" s="1571"/>
      <c r="K36" s="1572"/>
      <c r="L36" s="632"/>
      <c r="O36" s="632"/>
      <c r="P36" s="632"/>
      <c r="Q36" s="632"/>
      <c r="R36" s="632"/>
      <c r="S36" s="632"/>
      <c r="T36" s="632"/>
      <c r="U36" s="632"/>
    </row>
    <row r="37" spans="1:21">
      <c r="A37" s="1573" t="s">
        <v>3705</v>
      </c>
      <c r="B37" s="1574">
        <f>IFERROR(B18*B12/B13,0)</f>
        <v>289.41156114825014</v>
      </c>
      <c r="C37" s="1575">
        <f t="shared" ref="C37:K37" si="0">IFERROR(C18*C12/C13,0)</f>
        <v>0</v>
      </c>
      <c r="D37" s="1575">
        <f t="shared" si="0"/>
        <v>0</v>
      </c>
      <c r="E37" s="1575">
        <f t="shared" si="0"/>
        <v>0</v>
      </c>
      <c r="F37" s="1575">
        <f t="shared" si="0"/>
        <v>0</v>
      </c>
      <c r="G37" s="1575">
        <f t="shared" si="0"/>
        <v>0</v>
      </c>
      <c r="H37" s="1575">
        <f t="shared" si="0"/>
        <v>0</v>
      </c>
      <c r="I37" s="1575">
        <f t="shared" si="0"/>
        <v>0</v>
      </c>
      <c r="J37" s="1575">
        <f t="shared" si="0"/>
        <v>0</v>
      </c>
      <c r="K37" s="1576">
        <f t="shared" si="0"/>
        <v>0</v>
      </c>
      <c r="L37" s="632"/>
      <c r="M37" s="632"/>
      <c r="N37" s="632"/>
      <c r="O37" s="632"/>
      <c r="P37" s="632"/>
      <c r="Q37" s="632"/>
      <c r="R37" s="632"/>
      <c r="S37" s="632"/>
      <c r="T37" s="632"/>
      <c r="U37" s="632"/>
    </row>
    <row r="38" spans="1:21">
      <c r="A38" s="1577" t="s">
        <v>3706</v>
      </c>
      <c r="B38" s="1578">
        <f>IFERROR(B25*B12/B13,0)</f>
        <v>27.423987416437278</v>
      </c>
      <c r="C38" s="1579">
        <f t="shared" ref="C38:K38" si="1">IFERROR(C25*C12/C13,0)</f>
        <v>0</v>
      </c>
      <c r="D38" s="1579">
        <f t="shared" si="1"/>
        <v>0</v>
      </c>
      <c r="E38" s="1579">
        <f t="shared" si="1"/>
        <v>0</v>
      </c>
      <c r="F38" s="1579">
        <f t="shared" si="1"/>
        <v>0</v>
      </c>
      <c r="G38" s="1579">
        <f t="shared" si="1"/>
        <v>0</v>
      </c>
      <c r="H38" s="1579">
        <f t="shared" si="1"/>
        <v>0</v>
      </c>
      <c r="I38" s="1579">
        <f t="shared" si="1"/>
        <v>0</v>
      </c>
      <c r="J38" s="1579">
        <f t="shared" si="1"/>
        <v>0</v>
      </c>
      <c r="K38" s="1580">
        <f t="shared" si="1"/>
        <v>0</v>
      </c>
      <c r="L38" s="632"/>
      <c r="M38" s="632"/>
      <c r="N38" s="632"/>
      <c r="O38" s="632"/>
      <c r="P38" s="632"/>
      <c r="Q38" s="632"/>
      <c r="R38" s="632"/>
      <c r="S38" s="632"/>
      <c r="T38" s="632"/>
      <c r="U38" s="632"/>
    </row>
    <row r="39" spans="1:21">
      <c r="A39" s="1577" t="s">
        <v>3707</v>
      </c>
      <c r="B39" s="1578">
        <f>IFERROR(B24/(B13/B12)^2,0)</f>
        <v>23.645825656359065</v>
      </c>
      <c r="C39" s="1579">
        <f t="shared" ref="C39:K39" si="2">IFERROR(C24/(C13/C12)^2,0)</f>
        <v>0</v>
      </c>
      <c r="D39" s="1579">
        <f t="shared" si="2"/>
        <v>0</v>
      </c>
      <c r="E39" s="1579">
        <f t="shared" si="2"/>
        <v>0</v>
      </c>
      <c r="F39" s="1579">
        <f t="shared" si="2"/>
        <v>0</v>
      </c>
      <c r="G39" s="1579">
        <f t="shared" si="2"/>
        <v>0</v>
      </c>
      <c r="H39" s="1579">
        <f t="shared" si="2"/>
        <v>0</v>
      </c>
      <c r="I39" s="1579">
        <f t="shared" si="2"/>
        <v>0</v>
      </c>
      <c r="J39" s="1579">
        <f t="shared" si="2"/>
        <v>0</v>
      </c>
      <c r="K39" s="1580">
        <f t="shared" si="2"/>
        <v>0</v>
      </c>
      <c r="L39" s="632"/>
      <c r="M39" s="632"/>
      <c r="N39" s="632"/>
      <c r="O39" s="632"/>
      <c r="P39" s="632"/>
      <c r="Q39" s="632"/>
      <c r="R39" s="632"/>
      <c r="S39" s="632"/>
      <c r="T39" s="632"/>
      <c r="U39" s="632"/>
    </row>
    <row r="40" spans="1:21">
      <c r="A40" s="1577" t="s">
        <v>3708</v>
      </c>
      <c r="B40" s="1578">
        <f>IF(B22="MicroChannel",IF(B30="Yes",75,25),25)</f>
        <v>75</v>
      </c>
      <c r="C40" s="1579">
        <f t="shared" ref="C40:K40" si="3">IF(C22="MicroChannel",IF(C30="Yes",75,25),25)</f>
        <v>25</v>
      </c>
      <c r="D40" s="1579">
        <f t="shared" si="3"/>
        <v>25</v>
      </c>
      <c r="E40" s="1579">
        <f t="shared" si="3"/>
        <v>25</v>
      </c>
      <c r="F40" s="1579">
        <f t="shared" si="3"/>
        <v>25</v>
      </c>
      <c r="G40" s="1579">
        <f t="shared" si="3"/>
        <v>25</v>
      </c>
      <c r="H40" s="1579">
        <f t="shared" si="3"/>
        <v>25</v>
      </c>
      <c r="I40" s="1579">
        <f t="shared" si="3"/>
        <v>25</v>
      </c>
      <c r="J40" s="1579">
        <f t="shared" si="3"/>
        <v>25</v>
      </c>
      <c r="K40" s="1580">
        <f t="shared" si="3"/>
        <v>25</v>
      </c>
      <c r="L40" s="632"/>
      <c r="M40" s="632"/>
      <c r="N40" s="632"/>
      <c r="O40" s="632"/>
      <c r="P40" s="632"/>
      <c r="Q40" s="632"/>
      <c r="R40" s="632"/>
      <c r="S40" s="632"/>
      <c r="T40" s="632"/>
      <c r="U40" s="632"/>
    </row>
    <row r="41" spans="1:21">
      <c r="A41" s="1577" t="s">
        <v>3224</v>
      </c>
      <c r="B41" s="1578">
        <f>IF(B59="Yes",980,IF(RIGHT(B5,2)="60",1100,930))</f>
        <v>980</v>
      </c>
      <c r="C41" s="1579">
        <f t="shared" ref="C41:K41" si="4">IF(C59="Yes",980,IF(RIGHT(C5,2)="60",1100,930))</f>
        <v>930</v>
      </c>
      <c r="D41" s="1579">
        <f>IF(D59="Yes",980,IF(RIGHT(D5,2)="60",1100,930))</f>
        <v>930</v>
      </c>
      <c r="E41" s="1579">
        <f t="shared" si="4"/>
        <v>930</v>
      </c>
      <c r="F41" s="1579">
        <f t="shared" si="4"/>
        <v>930</v>
      </c>
      <c r="G41" s="1579">
        <f t="shared" si="4"/>
        <v>930</v>
      </c>
      <c r="H41" s="1579">
        <f t="shared" si="4"/>
        <v>930</v>
      </c>
      <c r="I41" s="1579">
        <f t="shared" si="4"/>
        <v>930</v>
      </c>
      <c r="J41" s="1579">
        <f t="shared" si="4"/>
        <v>930</v>
      </c>
      <c r="K41" s="1580">
        <f t="shared" si="4"/>
        <v>930</v>
      </c>
      <c r="L41" s="632"/>
      <c r="M41" s="632"/>
      <c r="N41" s="632"/>
      <c r="O41" s="632"/>
      <c r="P41" s="632"/>
      <c r="Q41" s="632"/>
      <c r="R41" s="632"/>
      <c r="S41" s="632"/>
      <c r="T41" s="632"/>
      <c r="U41" s="632"/>
    </row>
    <row r="42" spans="1:21">
      <c r="A42" s="1577" t="s">
        <v>3709</v>
      </c>
      <c r="B42" s="1578">
        <f>IF(B22="MicroChannel",IF(B30="Yes",7315,8260),8260)*B33</f>
        <v>43890</v>
      </c>
      <c r="C42" s="1579">
        <f t="shared" ref="C42:K42" si="5">IF(C22="MicroChannel",IF(C30="Yes",7315,8260),8260)*C33</f>
        <v>0</v>
      </c>
      <c r="D42" s="1579">
        <f t="shared" si="5"/>
        <v>0</v>
      </c>
      <c r="E42" s="1579">
        <f t="shared" si="5"/>
        <v>0</v>
      </c>
      <c r="F42" s="1579">
        <f t="shared" si="5"/>
        <v>0</v>
      </c>
      <c r="G42" s="1579">
        <f t="shared" si="5"/>
        <v>0</v>
      </c>
      <c r="H42" s="1579">
        <f t="shared" si="5"/>
        <v>0</v>
      </c>
      <c r="I42" s="1579">
        <f t="shared" si="5"/>
        <v>0</v>
      </c>
      <c r="J42" s="1579">
        <f t="shared" si="5"/>
        <v>0</v>
      </c>
      <c r="K42" s="1580">
        <f t="shared" si="5"/>
        <v>0</v>
      </c>
    </row>
    <row r="43" spans="1:21">
      <c r="A43" s="1577" t="s">
        <v>3710</v>
      </c>
      <c r="B43" s="1578">
        <f>IF(B22="MicroChannel",IF(B30="Yes",7315,8260),8260)*B34</f>
        <v>43890</v>
      </c>
      <c r="C43" s="1579">
        <f t="shared" ref="C43:K43" si="6">IF(C22="MicroChannel",IF(C30="Yes",7315,8260),8260)*C34</f>
        <v>0</v>
      </c>
      <c r="D43" s="1579">
        <f t="shared" si="6"/>
        <v>0</v>
      </c>
      <c r="E43" s="1579">
        <f t="shared" si="6"/>
        <v>0</v>
      </c>
      <c r="F43" s="1579">
        <f t="shared" si="6"/>
        <v>0</v>
      </c>
      <c r="G43" s="1579">
        <f t="shared" si="6"/>
        <v>0</v>
      </c>
      <c r="H43" s="1579">
        <f t="shared" si="6"/>
        <v>0</v>
      </c>
      <c r="I43" s="1579">
        <f t="shared" si="6"/>
        <v>0</v>
      </c>
      <c r="J43" s="1579">
        <f t="shared" si="6"/>
        <v>0</v>
      </c>
      <c r="K43" s="1580">
        <f t="shared" si="6"/>
        <v>0</v>
      </c>
    </row>
    <row r="44" spans="1:21">
      <c r="A44" s="1577" t="s">
        <v>3711</v>
      </c>
      <c r="B44" s="1578">
        <f>IF(B22="MicroChannel",IF(B30="Yes",7315,8260),8260)*B35</f>
        <v>43890</v>
      </c>
      <c r="C44" s="1579">
        <f t="shared" ref="C44:K44" si="7">IF(C22="MicroChannel",IF(C30="Yes",7315,8260),8260)*C35</f>
        <v>0</v>
      </c>
      <c r="D44" s="1579">
        <f t="shared" si="7"/>
        <v>0</v>
      </c>
      <c r="E44" s="1579">
        <f t="shared" si="7"/>
        <v>0</v>
      </c>
      <c r="F44" s="1579">
        <f t="shared" si="7"/>
        <v>0</v>
      </c>
      <c r="G44" s="1579">
        <f t="shared" si="7"/>
        <v>0</v>
      </c>
      <c r="H44" s="1579">
        <f t="shared" si="7"/>
        <v>0</v>
      </c>
      <c r="I44" s="1579">
        <f t="shared" si="7"/>
        <v>0</v>
      </c>
      <c r="J44" s="1579">
        <f t="shared" si="7"/>
        <v>0</v>
      </c>
      <c r="K44" s="1580">
        <f t="shared" si="7"/>
        <v>0</v>
      </c>
    </row>
    <row r="45" spans="1:21" ht="15.75" thickBot="1">
      <c r="A45" s="1581" t="s">
        <v>957</v>
      </c>
      <c r="B45" s="1582" t="str">
        <f>IF(B59="Yes","EC Propeller (Axial)","Propeller (Axial)")</f>
        <v>EC Propeller (Axial)</v>
      </c>
      <c r="C45" s="1583" t="str">
        <f t="shared" ref="C45:K45" si="8">IF(C59="Yes","EC Propeller (Axial)","Propeller (Axial)")</f>
        <v>Propeller (Axial)</v>
      </c>
      <c r="D45" s="1583" t="str">
        <f t="shared" si="8"/>
        <v>Propeller (Axial)</v>
      </c>
      <c r="E45" s="1583" t="str">
        <f t="shared" si="8"/>
        <v>Propeller (Axial)</v>
      </c>
      <c r="F45" s="1583" t="str">
        <f t="shared" si="8"/>
        <v>Propeller (Axial)</v>
      </c>
      <c r="G45" s="1583" t="str">
        <f t="shared" si="8"/>
        <v>Propeller (Axial)</v>
      </c>
      <c r="H45" s="1583" t="str">
        <f t="shared" si="8"/>
        <v>Propeller (Axial)</v>
      </c>
      <c r="I45" s="1583" t="str">
        <f t="shared" si="8"/>
        <v>Propeller (Axial)</v>
      </c>
      <c r="J45" s="1583" t="str">
        <f t="shared" si="8"/>
        <v>Propeller (Axial)</v>
      </c>
      <c r="K45" s="1584" t="str">
        <f t="shared" si="8"/>
        <v>Propeller (Axial)</v>
      </c>
    </row>
    <row r="46" spans="1:21" ht="15.75" thickBot="1">
      <c r="A46" s="1585" t="s">
        <v>3712</v>
      </c>
      <c r="B46" s="1586">
        <f t="shared" ref="B46:K46" si="9">IFERROR(VALUE(LEFT(B62,2))*2.54*VALUE(RIGHT(B62,2)*2.54)*B21/10000,0)</f>
        <v>65.496643199999994</v>
      </c>
      <c r="C46" s="1587">
        <f t="shared" si="9"/>
        <v>0</v>
      </c>
      <c r="D46" s="1587">
        <f t="shared" si="9"/>
        <v>0</v>
      </c>
      <c r="E46" s="1587">
        <f t="shared" si="9"/>
        <v>0</v>
      </c>
      <c r="F46" s="1587">
        <f t="shared" si="9"/>
        <v>0</v>
      </c>
      <c r="G46" s="1587">
        <f t="shared" si="9"/>
        <v>0</v>
      </c>
      <c r="H46" s="1587">
        <f t="shared" si="9"/>
        <v>0</v>
      </c>
      <c r="I46" s="1587">
        <f t="shared" si="9"/>
        <v>0</v>
      </c>
      <c r="J46" s="1587">
        <f t="shared" si="9"/>
        <v>0</v>
      </c>
      <c r="K46" s="1588">
        <f t="shared" si="9"/>
        <v>0</v>
      </c>
    </row>
    <row r="47" spans="1:21">
      <c r="A47" s="1589"/>
      <c r="B47" s="1590"/>
      <c r="C47" s="1591"/>
      <c r="D47" s="1591"/>
      <c r="E47" s="1591"/>
      <c r="F47" s="1591"/>
      <c r="G47" s="1591"/>
      <c r="H47" s="1591"/>
      <c r="I47" s="1591"/>
      <c r="J47" s="1591"/>
      <c r="K47" s="1592"/>
    </row>
    <row r="48" spans="1:21" ht="15.75" thickBot="1">
      <c r="A48" s="1593"/>
      <c r="B48" s="1594"/>
      <c r="C48" s="1595"/>
      <c r="D48" s="1595"/>
      <c r="E48" s="1595"/>
      <c r="F48" s="1595"/>
      <c r="G48" s="1595"/>
      <c r="H48" s="1595"/>
      <c r="I48" s="1595"/>
      <c r="J48" s="1595"/>
      <c r="K48" s="1596"/>
    </row>
    <row r="49" spans="1:11" ht="16.5" thickBot="1">
      <c r="A49" s="1704" t="s">
        <v>3225</v>
      </c>
      <c r="B49" s="1705"/>
      <c r="C49" s="1705"/>
      <c r="D49" s="1705"/>
      <c r="E49" s="1705"/>
      <c r="F49" s="1705"/>
      <c r="G49" s="1705"/>
      <c r="H49" s="1705"/>
      <c r="I49" s="1705"/>
      <c r="J49" s="1705"/>
      <c r="K49" s="1706"/>
    </row>
    <row r="50" spans="1:11" ht="16.5" thickBot="1">
      <c r="A50" s="1707" t="s">
        <v>3226</v>
      </c>
      <c r="B50" s="1708"/>
      <c r="C50" s="1708"/>
      <c r="D50" s="1708"/>
      <c r="E50" s="1708"/>
      <c r="F50" s="1708"/>
      <c r="G50" s="1708"/>
      <c r="H50" s="1708"/>
      <c r="I50" s="1708"/>
      <c r="J50" s="1708"/>
      <c r="K50" s="1709"/>
    </row>
    <row r="51" spans="1:11">
      <c r="A51" s="1254" t="s">
        <v>3713</v>
      </c>
      <c r="B51" s="1597">
        <v>10</v>
      </c>
      <c r="C51" s="1554"/>
      <c r="D51" s="1554"/>
      <c r="E51" s="1554"/>
      <c r="F51" s="1554"/>
      <c r="G51" s="1554"/>
      <c r="H51" s="1554"/>
      <c r="I51" s="1554"/>
      <c r="J51" s="1554"/>
      <c r="K51" s="1555"/>
    </row>
    <row r="52" spans="1:11">
      <c r="A52" s="1255" t="s">
        <v>3714</v>
      </c>
      <c r="B52" s="1535">
        <v>32.5</v>
      </c>
      <c r="C52" s="1536"/>
      <c r="D52" s="1536"/>
      <c r="E52" s="1536"/>
      <c r="F52" s="1536"/>
      <c r="G52" s="1536"/>
      <c r="H52" s="1536"/>
      <c r="I52" s="1536"/>
      <c r="J52" s="1536"/>
      <c r="K52" s="1537"/>
    </row>
    <row r="53" spans="1:11">
      <c r="A53" s="1255" t="s">
        <v>3715</v>
      </c>
      <c r="B53" s="1535">
        <v>22.5</v>
      </c>
      <c r="C53" s="1536"/>
      <c r="D53" s="1536"/>
      <c r="E53" s="1536"/>
      <c r="F53" s="1536"/>
      <c r="G53" s="1536"/>
      <c r="H53" s="1536"/>
      <c r="I53" s="1536"/>
      <c r="J53" s="1536"/>
      <c r="K53" s="1537"/>
    </row>
    <row r="54" spans="1:11">
      <c r="A54" s="1255" t="s">
        <v>3716</v>
      </c>
      <c r="B54" s="1535">
        <v>17.57</v>
      </c>
      <c r="C54" s="1536"/>
      <c r="D54" s="1536"/>
      <c r="E54" s="1536"/>
      <c r="F54" s="1536"/>
      <c r="G54" s="1536"/>
      <c r="H54" s="1536"/>
      <c r="I54" s="1536"/>
      <c r="J54" s="1536"/>
      <c r="K54" s="1537"/>
    </row>
    <row r="55" spans="1:11">
      <c r="A55" s="1255" t="s">
        <v>3717</v>
      </c>
      <c r="B55" s="1535">
        <f>1.9*16</f>
        <v>30.4</v>
      </c>
      <c r="C55" s="1536"/>
      <c r="D55" s="1536"/>
      <c r="E55" s="1536"/>
      <c r="F55" s="1536"/>
      <c r="G55" s="1536"/>
      <c r="H55" s="1536"/>
      <c r="I55" s="1536"/>
      <c r="J55" s="1536"/>
      <c r="K55" s="1537"/>
    </row>
    <row r="56" spans="1:11">
      <c r="A56" s="1256" t="s">
        <v>3718</v>
      </c>
      <c r="B56" s="1571">
        <f>16*78.97</f>
        <v>1263.52</v>
      </c>
      <c r="C56" s="1571"/>
      <c r="D56" s="1571"/>
      <c r="E56" s="1571"/>
      <c r="F56" s="1571"/>
      <c r="G56" s="1571"/>
      <c r="H56" s="1571"/>
      <c r="I56" s="1571"/>
      <c r="J56" s="1571"/>
      <c r="K56" s="1572"/>
    </row>
    <row r="57" spans="1:11" ht="19.5" thickBot="1">
      <c r="A57" s="1710" t="s">
        <v>3227</v>
      </c>
      <c r="B57" s="1711"/>
      <c r="C57" s="1711"/>
      <c r="D57" s="1711"/>
      <c r="E57" s="1711"/>
      <c r="F57" s="1711"/>
      <c r="G57" s="1711"/>
      <c r="H57" s="1711"/>
      <c r="I57" s="1711"/>
      <c r="J57" s="1711"/>
      <c r="K57" s="1712"/>
    </row>
    <row r="58" spans="1:11">
      <c r="A58" s="1257" t="s">
        <v>3228</v>
      </c>
      <c r="B58" s="1601" t="s">
        <v>3217</v>
      </c>
      <c r="C58" s="1599"/>
      <c r="D58" s="1599"/>
      <c r="E58" s="1599"/>
      <c r="F58" s="1599"/>
      <c r="G58" s="1599"/>
      <c r="H58" s="1599"/>
      <c r="I58" s="1599"/>
      <c r="J58" s="1599"/>
      <c r="K58" s="1600"/>
    </row>
    <row r="59" spans="1:11">
      <c r="A59" s="1258" t="s">
        <v>3229</v>
      </c>
      <c r="B59" s="1601" t="s">
        <v>3217</v>
      </c>
      <c r="C59" s="1602"/>
      <c r="D59" s="1602"/>
      <c r="E59" s="1602"/>
      <c r="F59" s="1602"/>
      <c r="G59" s="1602"/>
      <c r="H59" s="1602"/>
      <c r="I59" s="1602"/>
      <c r="J59" s="1602"/>
      <c r="K59" s="1603"/>
    </row>
    <row r="60" spans="1:11">
      <c r="A60" s="1258" t="s">
        <v>3230</v>
      </c>
      <c r="B60" s="1601" t="s">
        <v>789</v>
      </c>
      <c r="C60" s="1602"/>
      <c r="D60" s="1602"/>
      <c r="E60" s="1602"/>
      <c r="F60" s="1602"/>
      <c r="G60" s="1602"/>
      <c r="H60" s="1602"/>
      <c r="I60" s="1602"/>
      <c r="J60" s="1602"/>
      <c r="K60" s="1603"/>
    </row>
    <row r="61" spans="1:11">
      <c r="A61" s="1258" t="s">
        <v>3231</v>
      </c>
      <c r="B61" s="1601" t="s">
        <v>3217</v>
      </c>
      <c r="C61" s="1602"/>
      <c r="D61" s="1602"/>
      <c r="E61" s="1602"/>
      <c r="F61" s="1602"/>
      <c r="G61" s="1602"/>
      <c r="H61" s="1602"/>
      <c r="I61" s="1602"/>
      <c r="J61" s="1602"/>
      <c r="K61" s="1603"/>
    </row>
    <row r="62" spans="1:11">
      <c r="A62" s="1258" t="s">
        <v>3719</v>
      </c>
      <c r="B62" s="1601" t="s">
        <v>3670</v>
      </c>
      <c r="C62" s="1602"/>
      <c r="D62" s="1602"/>
      <c r="E62" s="1602"/>
      <c r="F62" s="1602"/>
      <c r="G62" s="1602"/>
      <c r="H62" s="1602"/>
      <c r="I62" s="1602"/>
      <c r="J62" s="1602"/>
      <c r="K62" s="1603"/>
    </row>
    <row r="63" spans="1:11">
      <c r="A63" s="1258"/>
      <c r="B63" s="1601"/>
      <c r="C63" s="1602"/>
      <c r="D63" s="1602"/>
      <c r="E63" s="1602"/>
      <c r="F63" s="1602"/>
      <c r="G63" s="1602"/>
      <c r="H63" s="1602"/>
      <c r="I63" s="1602"/>
      <c r="J63" s="1602"/>
      <c r="K63" s="1603"/>
    </row>
    <row r="64" spans="1:11">
      <c r="A64" s="1258"/>
      <c r="B64" s="1601"/>
      <c r="C64" s="1602"/>
      <c r="D64" s="1602"/>
      <c r="E64" s="1602"/>
      <c r="F64" s="1602"/>
      <c r="G64" s="1602"/>
      <c r="H64" s="1602"/>
      <c r="I64" s="1602"/>
      <c r="J64" s="1602"/>
      <c r="K64" s="1603"/>
    </row>
    <row r="65" spans="1:11">
      <c r="A65" s="1258"/>
      <c r="B65" s="1601"/>
      <c r="C65" s="1602"/>
      <c r="D65" s="1602"/>
      <c r="E65" s="1602"/>
      <c r="F65" s="1602"/>
      <c r="G65" s="1602"/>
      <c r="H65" s="1602"/>
      <c r="I65" s="1602"/>
      <c r="J65" s="1602"/>
      <c r="K65" s="1603"/>
    </row>
    <row r="66" spans="1:11">
      <c r="A66" s="1258"/>
      <c r="B66" s="1601"/>
      <c r="C66" s="1602"/>
      <c r="D66" s="1602"/>
      <c r="E66" s="1602"/>
      <c r="F66" s="1602"/>
      <c r="G66" s="1602"/>
      <c r="H66" s="1602"/>
      <c r="I66" s="1602"/>
      <c r="J66" s="1602"/>
      <c r="K66" s="1603"/>
    </row>
    <row r="67" spans="1:11">
      <c r="A67" s="1258"/>
      <c r="B67" s="1601"/>
      <c r="C67" s="1602"/>
      <c r="D67" s="1602"/>
      <c r="E67" s="1602"/>
      <c r="F67" s="1602"/>
      <c r="G67" s="1602"/>
      <c r="H67" s="1602"/>
      <c r="I67" s="1602"/>
      <c r="J67" s="1602"/>
      <c r="K67" s="1603"/>
    </row>
    <row r="68" spans="1:11">
      <c r="A68" s="1258"/>
      <c r="B68" s="1601"/>
      <c r="C68" s="1602"/>
      <c r="D68" s="1602"/>
      <c r="E68" s="1602"/>
      <c r="F68" s="1602"/>
      <c r="G68" s="1602"/>
      <c r="H68" s="1602"/>
      <c r="I68" s="1602"/>
      <c r="J68" s="1602"/>
      <c r="K68" s="1603"/>
    </row>
    <row r="69" spans="1:11">
      <c r="A69" s="1258"/>
      <c r="B69" s="1601"/>
      <c r="C69" s="1602"/>
      <c r="D69" s="1602"/>
      <c r="E69" s="1602"/>
      <c r="F69" s="1602"/>
      <c r="G69" s="1602"/>
      <c r="H69" s="1602"/>
      <c r="I69" s="1602"/>
      <c r="J69" s="1602"/>
      <c r="K69" s="1603"/>
    </row>
    <row r="70" spans="1:11" ht="15.75" thickBot="1">
      <c r="A70" s="1258"/>
      <c r="B70" s="1601"/>
      <c r="C70" s="1602"/>
      <c r="D70" s="1602"/>
      <c r="E70" s="1602"/>
      <c r="F70" s="1602"/>
      <c r="G70" s="1602"/>
      <c r="H70" s="1602"/>
      <c r="I70" s="1602"/>
      <c r="J70" s="1602"/>
      <c r="K70" s="1603"/>
    </row>
    <row r="71" spans="1:11">
      <c r="A71" s="1604" t="s">
        <v>3720</v>
      </c>
      <c r="B71" s="1598">
        <v>309.2</v>
      </c>
      <c r="C71" s="1599"/>
      <c r="D71" s="1599"/>
      <c r="E71" s="1599"/>
      <c r="F71" s="1599"/>
      <c r="G71" s="1599"/>
      <c r="H71" s="1599"/>
      <c r="I71" s="1599"/>
      <c r="J71" s="1599"/>
      <c r="K71" s="1600"/>
    </row>
    <row r="72" spans="1:11">
      <c r="A72" s="1605" t="s">
        <v>3721</v>
      </c>
      <c r="B72" s="1601">
        <v>309.2</v>
      </c>
      <c r="C72" s="1602"/>
      <c r="D72" s="1602"/>
      <c r="E72" s="1602"/>
      <c r="F72" s="1602"/>
      <c r="G72" s="1602"/>
      <c r="H72" s="1602"/>
      <c r="I72" s="1602"/>
      <c r="J72" s="1602"/>
      <c r="K72" s="1603"/>
    </row>
    <row r="73" spans="1:11">
      <c r="A73" s="1605" t="s">
        <v>3722</v>
      </c>
      <c r="B73" s="1601"/>
      <c r="C73" s="1602"/>
      <c r="D73" s="1602"/>
      <c r="E73" s="1602"/>
      <c r="F73" s="1602"/>
      <c r="G73" s="1602"/>
      <c r="H73" s="1602"/>
      <c r="I73" s="1602"/>
      <c r="J73" s="1602"/>
      <c r="K73" s="1603"/>
    </row>
    <row r="74" spans="1:11">
      <c r="A74" s="1605" t="s">
        <v>3723</v>
      </c>
      <c r="B74" s="1601">
        <v>275</v>
      </c>
      <c r="C74" s="1602"/>
      <c r="D74" s="1602"/>
      <c r="E74" s="1602"/>
      <c r="F74" s="1602"/>
      <c r="G74" s="1602"/>
      <c r="H74" s="1602"/>
      <c r="I74" s="1602"/>
      <c r="J74" s="1602"/>
      <c r="K74" s="1603"/>
    </row>
    <row r="75" spans="1:11">
      <c r="A75" s="1605" t="s">
        <v>3724</v>
      </c>
      <c r="B75" s="1601">
        <v>275</v>
      </c>
      <c r="C75" s="1602"/>
      <c r="D75" s="1602"/>
      <c r="E75" s="1602"/>
      <c r="F75" s="1602"/>
      <c r="G75" s="1602"/>
      <c r="H75" s="1602"/>
      <c r="I75" s="1602"/>
      <c r="J75" s="1602"/>
      <c r="K75" s="1603"/>
    </row>
    <row r="76" spans="1:11" ht="15.75" thickBot="1">
      <c r="A76" s="1606" t="s">
        <v>3725</v>
      </c>
      <c r="B76" s="1607">
        <v>0</v>
      </c>
      <c r="C76" s="1608"/>
      <c r="D76" s="1608"/>
      <c r="E76" s="1608"/>
      <c r="F76" s="1608"/>
      <c r="G76" s="1608"/>
      <c r="H76" s="1608"/>
      <c r="I76" s="1608"/>
      <c r="J76" s="1608"/>
      <c r="K76" s="1609"/>
    </row>
  </sheetData>
  <mergeCells count="10">
    <mergeCell ref="A50:K50"/>
    <mergeCell ref="A57:K57"/>
    <mergeCell ref="A1:K1"/>
    <mergeCell ref="A2:K2"/>
    <mergeCell ref="A14:K14"/>
    <mergeCell ref="M14:N14"/>
    <mergeCell ref="A20:K20"/>
    <mergeCell ref="A23:K23"/>
    <mergeCell ref="A26:K26"/>
    <mergeCell ref="A49:K49"/>
  </mergeCells>
  <pageMargins left="0.7" right="0.7" top="0.75" bottom="0.75" header="0.3" footer="0.3"/>
  <drawing r:id="rId1"/>
  <legacyDrawing r:id="rId2"/>
  <controls>
    <mc:AlternateContent xmlns:mc="http://schemas.openxmlformats.org/markup-compatibility/2006">
      <mc:Choice Requires="x14">
        <control shapeId="268289" r:id="rId3" name="Submittal">
          <controlPr defaultSize="0" autoLine="0" r:id="rId4">
            <anchor moveWithCells="1">
              <from>
                <xdr:col>12</xdr:col>
                <xdr:colOff>0</xdr:colOff>
                <xdr:row>0</xdr:row>
                <xdr:rowOff>276225</xdr:rowOff>
              </from>
              <to>
                <xdr:col>14</xdr:col>
                <xdr:colOff>19050</xdr:colOff>
                <xdr:row>4</xdr:row>
                <xdr:rowOff>0</xdr:rowOff>
              </to>
            </anchor>
          </controlPr>
        </control>
      </mc:Choice>
      <mc:Fallback>
        <control shapeId="268289" r:id="rId3" name="Submittal"/>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82C689CE-2405-4D07-9705-A68C859E17BB}">
          <x14:formula1>
            <xm:f>'Schneider Data'!$C$73:$I$73</xm:f>
          </x14:formula1>
          <xm:sqref>B5:K5</xm:sqref>
        </x14:dataValidation>
        <x14:dataValidation type="list" allowBlank="1" showInputMessage="1" showErrorMessage="1" xr:uid="{6D8CAF76-A09C-4672-A6F9-5F6A57050B58}">
          <x14:formula1>
            <xm:f>'Schneider Data'!$A$74:$A$87</xm:f>
          </x14:formula1>
          <xm:sqref>B15:K17</xm:sqref>
        </x14:dataValidation>
        <x14:dataValidation type="list" allowBlank="1" showInputMessage="1" showErrorMessage="1" xr:uid="{A526994E-833D-47B2-9005-8AF129DAB611}">
          <x14:formula1>
            <xm:f>'Schneider Data'!$S$2:$S$4</xm:f>
          </x14:formula1>
          <xm:sqref>B19</xm:sqref>
        </x14:dataValidation>
        <x14:dataValidation type="list" allowBlank="1" showInputMessage="1" showErrorMessage="1" xr:uid="{4335AB20-0B48-48AC-821B-655CE5805B99}">
          <x14:formula1>
            <xm:f>'Schneider Data'!$O$2:$O$3</xm:f>
          </x14:formula1>
          <xm:sqref>B58:B59 B27 B29:B30 B61</xm:sqref>
        </x14:dataValidation>
        <x14:dataValidation type="list" allowBlank="1" showInputMessage="1" showErrorMessage="1" xr:uid="{1E0B84C7-5E09-4DAE-8178-E30CC2F24D18}">
          <x14:formula1>
            <xm:f>'Schneider Data'!$N$22:$N$33</xm:f>
          </x14:formula1>
          <xm:sqref>B36</xm:sqref>
        </x14:dataValidation>
        <x14:dataValidation type="list" allowBlank="1" showInputMessage="1" showErrorMessage="1" xr:uid="{7537EF93-9BE8-4AF1-BE9E-99B99ADD4661}">
          <x14:formula1>
            <xm:f>'Schneider Data'!$D$20:$D$22</xm:f>
          </x14:formula1>
          <xm:sqref>B62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471A1-BB5A-4C1D-AAA2-DEEF9D66FB04}">
  <sheetPr codeName="L2_Schneider_Specs"/>
  <dimension ref="A1:U108"/>
  <sheetViews>
    <sheetView zoomScale="115" zoomScaleNormal="115" zoomScaleSheetLayoutView="115" workbookViewId="0">
      <selection activeCell="L98" sqref="L98"/>
    </sheetView>
  </sheetViews>
  <sheetFormatPr defaultRowHeight="15"/>
  <cols>
    <col min="1" max="1" width="2.28515625" style="635" customWidth="1"/>
    <col min="2" max="2" width="6.140625" style="635" customWidth="1"/>
    <col min="3" max="3" width="18.140625" style="635" bestFit="1" customWidth="1"/>
    <col min="4" max="4" width="4.7109375" style="635" customWidth="1"/>
    <col min="5" max="5" width="10.140625" style="635" customWidth="1"/>
    <col min="6" max="6" width="6.28515625" style="635" customWidth="1"/>
    <col min="7" max="7" width="6.140625" style="635" customWidth="1"/>
    <col min="8" max="8" width="6.7109375" style="635" customWidth="1"/>
    <col min="9" max="9" width="3.85546875" style="635" customWidth="1"/>
    <col min="10" max="10" width="4.7109375" style="635" customWidth="1"/>
    <col min="11" max="11" width="2.5703125" style="635" customWidth="1"/>
    <col min="12" max="12" width="9.42578125" style="635" customWidth="1"/>
    <col min="13" max="13" width="4.7109375" style="635" customWidth="1"/>
    <col min="14" max="14" width="4.85546875" style="635" customWidth="1"/>
    <col min="15" max="15" width="6.28515625" style="635" customWidth="1"/>
    <col min="16" max="16" width="7.85546875" style="635" customWidth="1"/>
    <col min="17" max="17" width="5.42578125" style="635" customWidth="1"/>
    <col min="18" max="18" width="2.85546875" style="635" customWidth="1"/>
    <col min="19" max="19" width="2.7109375" style="635" customWidth="1"/>
    <col min="20" max="16384" width="9.140625" style="635"/>
  </cols>
  <sheetData>
    <row r="1" spans="1:21" s="1181" customFormat="1" ht="10.5" customHeight="1" thickBot="1"/>
    <row r="2" spans="1:21" s="1181" customFormat="1" ht="15.75">
      <c r="E2" s="1182" t="s">
        <v>3070</v>
      </c>
      <c r="L2" s="1723" t="s">
        <v>3071</v>
      </c>
      <c r="M2" s="1725" t="s">
        <v>3072</v>
      </c>
      <c r="N2" s="1725"/>
      <c r="O2" s="1725"/>
      <c r="P2" s="1725"/>
      <c r="Q2" s="1725"/>
      <c r="R2" s="1725"/>
      <c r="S2" s="1726"/>
    </row>
    <row r="3" spans="1:21" s="1181" customFormat="1" ht="15.75" customHeight="1" thickBot="1">
      <c r="E3" s="1183" t="s">
        <v>3073</v>
      </c>
      <c r="H3" s="1183"/>
      <c r="L3" s="1724"/>
      <c r="M3" s="1727"/>
      <c r="N3" s="1727"/>
      <c r="O3" s="1727"/>
      <c r="P3" s="1727"/>
      <c r="Q3" s="1727"/>
      <c r="R3" s="1727"/>
      <c r="S3" s="1728"/>
    </row>
    <row r="4" spans="1:21" s="1181" customFormat="1" ht="6.75" customHeight="1" thickBot="1">
      <c r="A4" s="1184"/>
      <c r="B4" s="1184"/>
      <c r="C4" s="1184"/>
      <c r="D4" s="1184"/>
      <c r="E4" s="1185"/>
      <c r="F4" s="1184"/>
      <c r="G4" s="1184"/>
      <c r="H4" s="1184"/>
      <c r="I4" s="1184"/>
      <c r="J4" s="1184"/>
      <c r="K4" s="1184"/>
      <c r="L4" s="1184"/>
      <c r="M4" s="1184"/>
      <c r="N4" s="1184"/>
      <c r="O4" s="1184"/>
      <c r="P4" s="1184"/>
      <c r="Q4" s="1186"/>
      <c r="R4" s="1186"/>
      <c r="S4" s="1186"/>
    </row>
    <row r="5" spans="1:21" s="1181" customFormat="1" ht="6" customHeight="1" thickTop="1">
      <c r="E5" s="1187"/>
      <c r="Q5" s="1188"/>
      <c r="R5" s="1188"/>
    </row>
    <row r="6" spans="1:21" s="1192" customFormat="1" ht="17.25" customHeight="1">
      <c r="A6" s="1189"/>
      <c r="B6" s="1190" t="s">
        <v>3074</v>
      </c>
      <c r="C6" s="1729">
        <f ca="1">NOW()</f>
        <v>46173.354343749997</v>
      </c>
      <c r="D6" s="1729"/>
      <c r="E6" s="1729"/>
      <c r="F6" s="1190"/>
      <c r="G6" s="1190"/>
      <c r="H6" s="1190"/>
      <c r="I6" s="1190"/>
      <c r="J6" s="1190"/>
      <c r="K6" s="1191"/>
      <c r="L6" s="1191"/>
      <c r="M6" s="1190"/>
      <c r="N6" s="1190"/>
      <c r="O6" s="1190"/>
      <c r="P6" s="1729"/>
      <c r="Q6" s="1729"/>
      <c r="R6" s="1190"/>
      <c r="S6" s="1190"/>
      <c r="T6" s="1181"/>
      <c r="U6" s="1181"/>
    </row>
    <row r="7" spans="1:21" ht="6" customHeight="1">
      <c r="A7" s="1193"/>
    </row>
    <row r="8" spans="1:21" ht="16.5">
      <c r="A8" s="167" t="s">
        <v>2842</v>
      </c>
      <c r="C8"/>
      <c r="D8"/>
      <c r="E8"/>
      <c r="F8"/>
    </row>
    <row r="9" spans="1:21" ht="16.5">
      <c r="A9" s="1449" t="s">
        <v>2843</v>
      </c>
      <c r="C9"/>
      <c r="D9"/>
      <c r="E9"/>
      <c r="F9"/>
      <c r="G9" s="1195"/>
      <c r="H9" s="1196"/>
      <c r="I9" s="1196"/>
      <c r="J9" s="1195"/>
      <c r="L9" s="1194"/>
      <c r="N9" s="1196"/>
    </row>
    <row r="10" spans="1:21" ht="16.5">
      <c r="A10" s="1450" t="s">
        <v>260</v>
      </c>
      <c r="C10"/>
      <c r="D10"/>
      <c r="E10"/>
      <c r="F10"/>
      <c r="G10" s="1195"/>
      <c r="H10" s="1196"/>
      <c r="I10" s="1196"/>
      <c r="J10" s="1195"/>
      <c r="L10" s="1194"/>
      <c r="N10" s="1196"/>
    </row>
    <row r="11" spans="1:21" ht="16.5">
      <c r="A11" s="1449" t="s">
        <v>2844</v>
      </c>
      <c r="C11"/>
      <c r="D11"/>
      <c r="E11"/>
      <c r="F11"/>
      <c r="G11" s="1195"/>
      <c r="H11" s="1196"/>
      <c r="I11" s="1196"/>
      <c r="J11" s="1195"/>
      <c r="L11" s="1137"/>
      <c r="N11" s="1197"/>
    </row>
    <row r="12" spans="1:21" ht="16.5">
      <c r="A12" s="167"/>
      <c r="C12"/>
      <c r="D12"/>
      <c r="E12"/>
      <c r="F12"/>
      <c r="G12" s="1195"/>
      <c r="H12" s="1730"/>
      <c r="I12" s="1730"/>
      <c r="J12" s="1195"/>
      <c r="L12" s="1194"/>
      <c r="N12" s="1197"/>
    </row>
    <row r="13" spans="1:21" ht="16.5">
      <c r="A13" s="167" t="s">
        <v>2845</v>
      </c>
      <c r="C13"/>
      <c r="D13"/>
      <c r="E13"/>
      <c r="F13"/>
      <c r="H13" s="1196"/>
      <c r="I13" s="1196"/>
      <c r="L13" s="1194"/>
    </row>
    <row r="14" spans="1:21" ht="16.5">
      <c r="A14" s="1449" t="s">
        <v>2846</v>
      </c>
      <c r="C14"/>
      <c r="D14"/>
      <c r="E14"/>
      <c r="F14" s="1198"/>
      <c r="H14" s="1196"/>
      <c r="I14" s="1196"/>
      <c r="L14" s="1194"/>
    </row>
    <row r="15" spans="1:21" ht="16.5">
      <c r="A15" s="1450" t="s">
        <v>2847</v>
      </c>
      <c r="C15"/>
      <c r="D15"/>
      <c r="E15"/>
      <c r="F15" s="1198"/>
      <c r="G15" s="1195"/>
      <c r="H15" s="1196"/>
      <c r="I15" s="1196"/>
    </row>
    <row r="16" spans="1:21" ht="16.5">
      <c r="A16" s="1450" t="s">
        <v>263</v>
      </c>
      <c r="C16"/>
      <c r="D16"/>
      <c r="E16"/>
      <c r="F16" s="1198"/>
      <c r="G16" s="1195"/>
      <c r="H16" s="1196"/>
      <c r="I16" s="1196"/>
    </row>
    <row r="17" spans="1:14" ht="16.5">
      <c r="A17" s="1449" t="s">
        <v>2848</v>
      </c>
      <c r="C17"/>
      <c r="D17"/>
      <c r="E17"/>
      <c r="F17" s="1198"/>
      <c r="G17" s="1195"/>
      <c r="H17" s="1196"/>
      <c r="I17" s="1196"/>
    </row>
    <row r="18" spans="1:14" ht="16.5">
      <c r="A18" s="1449" t="s">
        <v>2849</v>
      </c>
      <c r="C18"/>
      <c r="D18"/>
      <c r="E18"/>
      <c r="F18" s="1198"/>
      <c r="G18" s="1195"/>
      <c r="H18" s="1196"/>
      <c r="I18" s="1196"/>
    </row>
    <row r="19" spans="1:14" ht="16.5">
      <c r="A19" s="1450" t="s">
        <v>2743</v>
      </c>
      <c r="C19"/>
      <c r="D19"/>
      <c r="E19"/>
      <c r="F19" s="1198"/>
      <c r="H19" s="1196"/>
      <c r="I19" s="1196"/>
    </row>
    <row r="20" spans="1:14" ht="16.5">
      <c r="A20" s="1450" t="s">
        <v>277</v>
      </c>
      <c r="C20"/>
      <c r="D20"/>
      <c r="E20"/>
      <c r="F20" s="1198"/>
      <c r="G20" s="1195"/>
      <c r="H20" s="1196"/>
      <c r="I20" s="1196"/>
      <c r="J20" s="1199"/>
    </row>
    <row r="21" spans="1:14" ht="16.5">
      <c r="A21" s="1450" t="s">
        <v>264</v>
      </c>
      <c r="C21"/>
      <c r="D21"/>
      <c r="E21"/>
      <c r="F21" s="1198"/>
      <c r="G21" s="1195"/>
      <c r="H21" s="1196"/>
      <c r="I21" s="1196"/>
      <c r="K21" s="1195"/>
      <c r="M21" s="1195"/>
      <c r="N21" s="1200"/>
    </row>
    <row r="22" spans="1:14" ht="16.5">
      <c r="A22" s="1450" t="s">
        <v>265</v>
      </c>
      <c r="C22"/>
      <c r="D22"/>
      <c r="E22"/>
      <c r="F22" s="1198"/>
      <c r="G22" s="1195"/>
      <c r="H22" s="1196"/>
      <c r="I22" s="1196"/>
      <c r="J22" s="1201"/>
      <c r="K22" s="1195"/>
      <c r="M22" s="1195"/>
      <c r="N22" s="1200"/>
    </row>
    <row r="23" spans="1:14" ht="16.5">
      <c r="A23" s="1450" t="s">
        <v>266</v>
      </c>
      <c r="C23"/>
      <c r="D23"/>
      <c r="E23"/>
      <c r="F23" s="1198"/>
      <c r="G23" s="1195"/>
      <c r="H23" s="1202"/>
      <c r="I23" s="1196"/>
      <c r="K23" s="1195"/>
      <c r="M23" s="1195"/>
      <c r="N23" s="1202"/>
    </row>
    <row r="24" spans="1:14" ht="16.5">
      <c r="A24" s="1449" t="s">
        <v>2850</v>
      </c>
      <c r="C24"/>
      <c r="D24"/>
      <c r="E24"/>
      <c r="F24" s="1198"/>
      <c r="G24" s="1195"/>
      <c r="H24" s="1202"/>
      <c r="I24" s="1196"/>
      <c r="K24" s="1195"/>
      <c r="M24" s="1195"/>
      <c r="N24" s="1202"/>
    </row>
    <row r="25" spans="1:14" ht="16.5">
      <c r="A25" s="1449" t="s">
        <v>2851</v>
      </c>
    </row>
    <row r="26" spans="1:14" ht="16.5">
      <c r="A26" s="1450" t="s">
        <v>2746</v>
      </c>
      <c r="C26"/>
      <c r="D26" s="1194"/>
      <c r="H26" s="1194"/>
      <c r="K26" s="1194"/>
      <c r="L26" s="1194"/>
    </row>
    <row r="27" spans="1:14" ht="16.5">
      <c r="A27" s="1450" t="s">
        <v>269</v>
      </c>
      <c r="H27" s="1194"/>
      <c r="K27" s="1194"/>
      <c r="L27" s="1194"/>
    </row>
    <row r="28" spans="1:14" ht="16.5">
      <c r="A28" s="1450" t="s">
        <v>271</v>
      </c>
      <c r="C28"/>
      <c r="D28" s="1194"/>
      <c r="H28" s="1194"/>
      <c r="K28" s="1194"/>
      <c r="L28" s="1194"/>
    </row>
    <row r="29" spans="1:14" ht="16.5">
      <c r="A29" s="1450" t="s">
        <v>2852</v>
      </c>
      <c r="C29"/>
      <c r="D29" s="1194"/>
      <c r="H29" s="1194"/>
      <c r="K29" s="1194"/>
      <c r="L29" s="1194"/>
    </row>
    <row r="30" spans="1:14" ht="16.5">
      <c r="A30" s="1450" t="s">
        <v>2853</v>
      </c>
      <c r="C30"/>
      <c r="D30" s="1194"/>
      <c r="H30" s="1194"/>
      <c r="I30" s="1195"/>
      <c r="K30" s="1194"/>
      <c r="L30" s="1194"/>
    </row>
    <row r="31" spans="1:14" ht="16.5">
      <c r="A31" s="167" t="s">
        <v>2854</v>
      </c>
      <c r="C31"/>
      <c r="D31" s="1194"/>
      <c r="H31" s="1194"/>
      <c r="I31" s="1195"/>
      <c r="K31" s="1194"/>
      <c r="L31" s="1194"/>
    </row>
    <row r="32" spans="1:14" ht="16.5">
      <c r="A32" s="167" t="s">
        <v>2855</v>
      </c>
      <c r="C32"/>
      <c r="D32" s="1194"/>
      <c r="H32" s="1194"/>
      <c r="K32" s="1194"/>
      <c r="L32" s="1194"/>
    </row>
    <row r="33" spans="1:19" ht="16.5">
      <c r="A33" s="1450" t="s">
        <v>2856</v>
      </c>
      <c r="C33"/>
      <c r="D33" s="1194"/>
      <c r="H33" s="1194"/>
      <c r="I33" s="1195"/>
      <c r="L33" s="1194"/>
    </row>
    <row r="34" spans="1:19" ht="16.5">
      <c r="A34" s="1450" t="s">
        <v>283</v>
      </c>
      <c r="D34" s="1194"/>
      <c r="F34"/>
      <c r="H34" s="1194"/>
    </row>
    <row r="35" spans="1:19" ht="16.5">
      <c r="A35" s="1450" t="s">
        <v>2857</v>
      </c>
      <c r="D35"/>
      <c r="F35"/>
      <c r="H35" s="1194"/>
    </row>
    <row r="36" spans="1:19" ht="16.5">
      <c r="A36" s="167"/>
      <c r="D36"/>
      <c r="E36"/>
      <c r="F36"/>
      <c r="H36" s="1194"/>
    </row>
    <row r="37" spans="1:19" ht="16.5">
      <c r="A37" s="1451" t="s">
        <v>2858</v>
      </c>
      <c r="D37"/>
      <c r="E37"/>
      <c r="F37"/>
      <c r="H37" s="1196"/>
      <c r="J37" s="1181"/>
      <c r="K37" s="1181"/>
      <c r="L37" s="1181"/>
      <c r="M37" s="1181"/>
      <c r="N37" s="1181"/>
      <c r="O37" s="1181"/>
      <c r="P37" s="1181"/>
      <c r="Q37" s="1203"/>
      <c r="R37" s="1203"/>
      <c r="S37" s="1203"/>
    </row>
    <row r="38" spans="1:19">
      <c r="A38" s="1452"/>
      <c r="H38" s="1196"/>
      <c r="J38" s="1181"/>
      <c r="K38" s="1181"/>
      <c r="L38" s="1181"/>
      <c r="M38" s="1181"/>
      <c r="N38" s="1181"/>
      <c r="O38" s="1181"/>
      <c r="P38" s="1181"/>
      <c r="Q38" s="1203"/>
      <c r="R38" s="1203"/>
      <c r="S38" s="1203"/>
    </row>
    <row r="39" spans="1:19" ht="16.5">
      <c r="A39" s="1453" t="s">
        <v>3520</v>
      </c>
      <c r="H39" s="1196"/>
      <c r="J39" s="1181"/>
      <c r="K39" s="1181"/>
      <c r="L39" s="1181"/>
      <c r="M39" s="1181"/>
      <c r="N39" s="1181"/>
      <c r="O39" s="1181"/>
      <c r="P39" s="1181"/>
      <c r="Q39" s="1203"/>
      <c r="R39" s="1203"/>
      <c r="S39" s="1203"/>
    </row>
    <row r="40" spans="1:19" ht="16.5">
      <c r="A40" s="1451" t="s">
        <v>2859</v>
      </c>
      <c r="E40" s="1195"/>
      <c r="H40" s="1200"/>
      <c r="J40" s="1181"/>
      <c r="K40" s="1181"/>
      <c r="L40" s="1181"/>
      <c r="M40" s="1181"/>
      <c r="N40" s="1181"/>
      <c r="O40" s="1181"/>
      <c r="P40" s="1181"/>
      <c r="Q40" s="1203"/>
      <c r="R40" s="1203"/>
      <c r="S40" s="1203"/>
    </row>
    <row r="41" spans="1:19" ht="16.5">
      <c r="A41" s="1451" t="s">
        <v>2860</v>
      </c>
      <c r="E41" s="1195"/>
      <c r="H41" s="1200"/>
      <c r="J41" s="1181"/>
      <c r="K41" s="1181"/>
      <c r="L41" s="1181"/>
      <c r="M41" s="1181"/>
      <c r="N41" s="1181"/>
      <c r="O41" s="1181"/>
      <c r="P41" s="1181"/>
      <c r="Q41" s="1203"/>
      <c r="R41" s="1203"/>
      <c r="S41" s="1203"/>
    </row>
    <row r="42" spans="1:19" ht="16.5">
      <c r="A42" s="1451" t="s">
        <v>2861</v>
      </c>
      <c r="E42" s="1195"/>
      <c r="H42" s="1200"/>
      <c r="J42" s="1181"/>
      <c r="K42" s="1181"/>
      <c r="L42" s="1181"/>
      <c r="M42" s="1181"/>
      <c r="N42" s="1181"/>
      <c r="O42" s="1181"/>
      <c r="P42" s="1181"/>
      <c r="Q42" s="1203"/>
      <c r="R42" s="1203"/>
      <c r="S42" s="1203"/>
    </row>
    <row r="43" spans="1:19" ht="16.5">
      <c r="A43" s="1451" t="s">
        <v>2862</v>
      </c>
      <c r="E43" s="1195"/>
      <c r="H43" s="1200"/>
      <c r="J43" s="1181"/>
      <c r="K43" s="1181"/>
      <c r="L43" s="1181"/>
      <c r="M43" s="1181"/>
      <c r="N43" s="1181"/>
      <c r="O43" s="1181"/>
      <c r="P43" s="1181"/>
      <c r="Q43" s="1203"/>
      <c r="R43" s="1203"/>
      <c r="S43" s="1203"/>
    </row>
    <row r="44" spans="1:19" ht="16.5">
      <c r="A44" s="1451" t="s">
        <v>2753</v>
      </c>
      <c r="E44" s="1195"/>
      <c r="H44" s="1200"/>
      <c r="J44" s="1181"/>
      <c r="K44" s="1181"/>
      <c r="L44" s="1181"/>
      <c r="M44" s="1181"/>
      <c r="N44" s="1181"/>
      <c r="O44" s="1181"/>
      <c r="P44" s="1181"/>
      <c r="Q44" s="1203"/>
      <c r="R44" s="1203"/>
      <c r="S44" s="1203"/>
    </row>
    <row r="45" spans="1:19" ht="16.5">
      <c r="A45" s="1453"/>
      <c r="E45" s="1195"/>
      <c r="H45" s="1200"/>
      <c r="J45" s="1181"/>
      <c r="K45" s="1181"/>
      <c r="L45" s="1181"/>
      <c r="M45" s="1181"/>
      <c r="N45" s="1181"/>
      <c r="O45" s="1181"/>
      <c r="P45" s="1181"/>
      <c r="Q45" s="1203"/>
      <c r="R45" s="1203"/>
      <c r="S45" s="1203"/>
    </row>
    <row r="46" spans="1:19" ht="16.5">
      <c r="A46" s="1453" t="s">
        <v>3521</v>
      </c>
    </row>
    <row r="47" spans="1:19" ht="16.5">
      <c r="A47" s="1451" t="s">
        <v>2755</v>
      </c>
      <c r="C47"/>
      <c r="D47"/>
      <c r="H47" s="1196"/>
    </row>
    <row r="48" spans="1:19" ht="16.5">
      <c r="A48" s="1451" t="s">
        <v>2756</v>
      </c>
      <c r="E48" s="1195"/>
      <c r="G48" s="1195"/>
      <c r="H48" s="1200"/>
    </row>
    <row r="49" spans="1:19" ht="16.5">
      <c r="A49" s="1453"/>
      <c r="E49" s="1195"/>
      <c r="G49" s="1195"/>
      <c r="H49" s="1200"/>
      <c r="J49" s="1205"/>
    </row>
    <row r="50" spans="1:19" ht="16.5">
      <c r="A50" s="1453" t="s">
        <v>3522</v>
      </c>
      <c r="E50" s="1195"/>
      <c r="G50" s="1195"/>
      <c r="H50" s="1200"/>
      <c r="J50" s="1205"/>
    </row>
    <row r="51" spans="1:19" ht="16.5">
      <c r="A51" s="1451" t="s">
        <v>2758</v>
      </c>
      <c r="E51" s="1195"/>
      <c r="G51" s="1195"/>
      <c r="H51" s="1200"/>
      <c r="J51" s="1205"/>
    </row>
    <row r="52" spans="1:19" ht="16.5">
      <c r="A52" s="1451" t="s">
        <v>2759</v>
      </c>
      <c r="E52" s="1195"/>
      <c r="G52" s="1195"/>
      <c r="H52" s="1200"/>
      <c r="J52" s="1205"/>
    </row>
    <row r="53" spans="1:19" ht="16.5">
      <c r="A53" s="1451" t="s">
        <v>2760</v>
      </c>
      <c r="E53" s="1195"/>
      <c r="G53" s="1195"/>
      <c r="H53" s="1200"/>
      <c r="J53" s="1205"/>
    </row>
    <row r="54" spans="1:19" s="1181" customFormat="1" ht="8.25" customHeight="1" thickBot="1">
      <c r="A54" s="1184"/>
      <c r="B54" s="1184"/>
      <c r="C54" s="1184"/>
      <c r="D54" s="1184"/>
      <c r="E54" s="1185"/>
      <c r="F54" s="1184"/>
      <c r="G54" s="1184"/>
      <c r="H54" s="1184"/>
      <c r="I54" s="1184"/>
      <c r="J54" s="1184"/>
      <c r="K54" s="1184"/>
      <c r="L54" s="1184"/>
      <c r="M54" s="1184"/>
      <c r="N54" s="1184"/>
      <c r="O54" s="1184"/>
      <c r="P54" s="1184"/>
      <c r="Q54" s="1204"/>
      <c r="R54" s="1204"/>
      <c r="S54" s="1204"/>
    </row>
    <row r="55" spans="1:19" s="1181" customFormat="1" ht="34.5" customHeight="1" thickTop="1">
      <c r="I55" s="1722" t="s">
        <v>3075</v>
      </c>
      <c r="J55" s="1722"/>
      <c r="K55" s="1722"/>
      <c r="L55" s="1722"/>
      <c r="M55" s="1722"/>
      <c r="N55" s="1722"/>
      <c r="O55" s="1722"/>
      <c r="P55" s="1722"/>
      <c r="Q55" s="1722"/>
      <c r="R55" s="1722"/>
      <c r="S55" s="1722"/>
    </row>
    <row r="56" spans="1:19" ht="13.5" customHeight="1"/>
    <row r="57" spans="1:19" ht="16.5">
      <c r="A57" s="1451" t="s">
        <v>2761</v>
      </c>
      <c r="B57" s="1472"/>
    </row>
    <row r="58" spans="1:19" ht="16.5">
      <c r="A58" s="1451" t="s">
        <v>2762</v>
      </c>
      <c r="B58" s="1472"/>
    </row>
    <row r="59" spans="1:19" ht="16.5">
      <c r="A59" s="1451" t="s">
        <v>2863</v>
      </c>
      <c r="B59" s="1472"/>
    </row>
    <row r="60" spans="1:19" ht="16.5">
      <c r="A60" s="1451" t="s">
        <v>2864</v>
      </c>
      <c r="B60" s="1472"/>
    </row>
    <row r="61" spans="1:19" ht="16.5">
      <c r="A61" s="1451" t="s">
        <v>2762</v>
      </c>
      <c r="B61" s="1472"/>
    </row>
    <row r="62" spans="1:19" ht="16.5">
      <c r="A62" s="1453"/>
      <c r="B62" s="1472"/>
    </row>
    <row r="63" spans="1:19" ht="16.5">
      <c r="A63" s="1453" t="s">
        <v>3523</v>
      </c>
      <c r="B63" s="1472"/>
    </row>
    <row r="64" spans="1:19" ht="16.5">
      <c r="A64" s="1451" t="s">
        <v>2765</v>
      </c>
      <c r="B64" s="1472"/>
    </row>
    <row r="65" spans="1:2" ht="16.5">
      <c r="A65" s="1451" t="s">
        <v>2766</v>
      </c>
      <c r="B65" s="1472"/>
    </row>
    <row r="66" spans="1:2" ht="16.5">
      <c r="A66" s="167"/>
      <c r="B66" s="1472"/>
    </row>
    <row r="67" spans="1:2" ht="16.5">
      <c r="A67" s="167" t="s">
        <v>2767</v>
      </c>
      <c r="B67" s="1472"/>
    </row>
    <row r="68" spans="1:2" ht="16.5">
      <c r="A68" s="1450" t="s">
        <v>2768</v>
      </c>
      <c r="B68" s="1472"/>
    </row>
    <row r="69" spans="1:2">
      <c r="A69" s="163"/>
      <c r="B69" s="1472"/>
    </row>
    <row r="70" spans="1:2">
      <c r="A70" s="163"/>
      <c r="B70" s="1472"/>
    </row>
    <row r="71" spans="1:2">
      <c r="A71" s="163"/>
      <c r="B71" s="1472"/>
    </row>
    <row r="72" spans="1:2">
      <c r="A72" s="163"/>
      <c r="B72" s="1472"/>
    </row>
    <row r="73" spans="1:2">
      <c r="A73" s="163"/>
      <c r="B73" s="1472"/>
    </row>
    <row r="74" spans="1:2">
      <c r="A74" s="163"/>
      <c r="B74" s="1472"/>
    </row>
    <row r="75" spans="1:2">
      <c r="A75" s="163"/>
      <c r="B75" s="1472"/>
    </row>
    <row r="76" spans="1:2">
      <c r="A76" s="163"/>
      <c r="B76" s="1472"/>
    </row>
    <row r="77" spans="1:2">
      <c r="A77" s="163"/>
      <c r="B77" s="1472"/>
    </row>
    <row r="78" spans="1:2">
      <c r="A78" s="163"/>
      <c r="B78" s="1472"/>
    </row>
    <row r="79" spans="1:2">
      <c r="A79" s="163"/>
      <c r="B79" s="1472"/>
    </row>
    <row r="80" spans="1:2">
      <c r="A80" s="163"/>
      <c r="B80" s="1472"/>
    </row>
    <row r="81" spans="1:2">
      <c r="A81" s="163"/>
      <c r="B81" s="1472"/>
    </row>
    <row r="82" spans="1:2">
      <c r="A82" s="163"/>
      <c r="B82" s="1472"/>
    </row>
    <row r="83" spans="1:2">
      <c r="A83" s="163"/>
      <c r="B83" s="1472"/>
    </row>
    <row r="84" spans="1:2">
      <c r="A84" s="163"/>
      <c r="B84" s="1472"/>
    </row>
    <row r="85" spans="1:2">
      <c r="A85" s="163"/>
      <c r="B85" s="1472"/>
    </row>
    <row r="86" spans="1:2">
      <c r="A86" s="163"/>
      <c r="B86" s="1472"/>
    </row>
    <row r="87" spans="1:2">
      <c r="A87" s="163"/>
      <c r="B87" s="1472"/>
    </row>
    <row r="88" spans="1:2">
      <c r="A88" s="163"/>
      <c r="B88" s="1472"/>
    </row>
    <row r="89" spans="1:2">
      <c r="A89" s="163"/>
      <c r="B89" s="1472"/>
    </row>
    <row r="90" spans="1:2">
      <c r="A90" s="163"/>
      <c r="B90" s="1472"/>
    </row>
    <row r="91" spans="1:2">
      <c r="A91" s="163"/>
      <c r="B91" s="1472"/>
    </row>
    <row r="92" spans="1:2">
      <c r="A92" s="163"/>
      <c r="B92" s="1472"/>
    </row>
    <row r="93" spans="1:2">
      <c r="A93" s="163"/>
      <c r="B93" s="1472"/>
    </row>
    <row r="94" spans="1:2">
      <c r="A94" s="163"/>
      <c r="B94" s="1472"/>
    </row>
    <row r="95" spans="1:2">
      <c r="A95" s="163"/>
    </row>
    <row r="96" spans="1:2">
      <c r="A96" s="163"/>
    </row>
    <row r="97" spans="1:19">
      <c r="A97" s="163"/>
    </row>
    <row r="98" spans="1:19">
      <c r="A98" s="163"/>
    </row>
    <row r="99" spans="1:19">
      <c r="A99" s="163"/>
    </row>
    <row r="100" spans="1:19">
      <c r="A100" s="163"/>
    </row>
    <row r="101" spans="1:19">
      <c r="A101" s="163"/>
    </row>
    <row r="102" spans="1:19">
      <c r="A102" s="163"/>
    </row>
    <row r="103" spans="1:19">
      <c r="A103" s="163"/>
    </row>
    <row r="104" spans="1:19">
      <c r="A104" s="163"/>
    </row>
    <row r="106" spans="1:19" s="1181" customFormat="1" ht="8.25" customHeight="1" thickBot="1">
      <c r="A106" s="1184"/>
      <c r="B106" s="1184"/>
      <c r="C106" s="1184"/>
      <c r="D106" s="1184"/>
      <c r="E106" s="1185"/>
      <c r="F106" s="1184"/>
      <c r="G106" s="1184"/>
      <c r="H106" s="1184"/>
      <c r="I106" s="1184"/>
      <c r="J106" s="1184"/>
      <c r="K106" s="1184"/>
      <c r="L106" s="1184"/>
      <c r="M106" s="1184"/>
      <c r="N106" s="1184"/>
      <c r="O106" s="1184"/>
      <c r="P106" s="1184"/>
      <c r="Q106" s="1204"/>
      <c r="R106" s="1204"/>
      <c r="S106" s="1204"/>
    </row>
    <row r="107" spans="1:19" s="1181" customFormat="1" ht="34.5" customHeight="1" thickTop="1">
      <c r="I107" s="1722" t="s">
        <v>3075</v>
      </c>
      <c r="J107" s="1722"/>
      <c r="K107" s="1722"/>
      <c r="L107" s="1722"/>
      <c r="M107" s="1722"/>
      <c r="N107" s="1722"/>
      <c r="O107" s="1722"/>
      <c r="P107" s="1722"/>
      <c r="Q107" s="1722"/>
      <c r="R107" s="1722"/>
      <c r="S107" s="1722"/>
    </row>
    <row r="108" spans="1:19" ht="13.5" customHeight="1"/>
  </sheetData>
  <mergeCells count="7">
    <mergeCell ref="I55:S55"/>
    <mergeCell ref="I107:S107"/>
    <mergeCell ref="L2:L3"/>
    <mergeCell ref="M2:S3"/>
    <mergeCell ref="C6:E6"/>
    <mergeCell ref="P6:Q6"/>
    <mergeCell ref="H12:I12"/>
  </mergeCells>
  <printOptions horizontalCentered="1"/>
  <pageMargins left="0.31496062992125984" right="0.31496062992125984" top="0.43307086614173229" bottom="0.35433070866141736" header="0.31496062992125984" footer="0.31496062992125984"/>
  <pageSetup scale="85"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19776-B38B-4C74-ACD3-396B4E668CA4}">
  <sheetPr codeName="L3_Schneider_Selection"/>
  <dimension ref="A1:AH59"/>
  <sheetViews>
    <sheetView topLeftCell="A7" zoomScaleNormal="100" zoomScaleSheetLayoutView="115" workbookViewId="0">
      <selection activeCell="G46" sqref="G46:R47"/>
    </sheetView>
  </sheetViews>
  <sheetFormatPr defaultRowHeight="15"/>
  <cols>
    <col min="1" max="1" width="6.42578125" style="1181" customWidth="1"/>
    <col min="2" max="2" width="5.5703125" style="1181" customWidth="1"/>
    <col min="3" max="3" width="9.140625" style="1181" customWidth="1"/>
    <col min="4" max="4" width="5.28515625" style="1181" customWidth="1"/>
    <col min="5" max="5" width="7.42578125" style="1181" customWidth="1"/>
    <col min="6" max="6" width="5.85546875" style="1181" customWidth="1"/>
    <col min="7" max="7" width="8.42578125" style="1181" customWidth="1"/>
    <col min="8" max="8" width="3" style="1181" customWidth="1"/>
    <col min="9" max="9" width="4.140625" style="1181" customWidth="1"/>
    <col min="10" max="10" width="1.5703125" style="1181" customWidth="1"/>
    <col min="11" max="11" width="4.85546875" style="1181" customWidth="1"/>
    <col min="12" max="12" width="7.42578125" style="1181" customWidth="1"/>
    <col min="13" max="13" width="6.42578125" style="1181" customWidth="1"/>
    <col min="14" max="14" width="5.28515625" style="1181" customWidth="1"/>
    <col min="15" max="16" width="7.42578125" style="1181" customWidth="1"/>
    <col min="17" max="17" width="7.85546875" style="1181" customWidth="1"/>
    <col min="18" max="18" width="7.28515625" style="1181" customWidth="1"/>
    <col min="19" max="19" width="0.5703125" style="1181" customWidth="1"/>
    <col min="20" max="16384" width="9.140625" style="1181"/>
  </cols>
  <sheetData>
    <row r="1" spans="1:22" ht="10.5" customHeight="1" thickBot="1"/>
    <row r="2" spans="1:22" ht="15.75">
      <c r="E2" s="1182" t="s">
        <v>3070</v>
      </c>
      <c r="L2" s="1732" t="s">
        <v>3071</v>
      </c>
      <c r="M2" s="1725" t="s">
        <v>3072</v>
      </c>
      <c r="N2" s="1725"/>
      <c r="O2" s="1725"/>
      <c r="P2" s="1725"/>
      <c r="Q2" s="1725"/>
      <c r="R2" s="1725"/>
      <c r="S2" s="1206"/>
    </row>
    <row r="3" spans="1:22" ht="15.75" customHeight="1" thickBot="1">
      <c r="E3" s="1183" t="s">
        <v>3076</v>
      </c>
      <c r="F3" s="1474"/>
      <c r="G3" s="1474"/>
      <c r="H3" s="1183" t="s">
        <v>3525</v>
      </c>
      <c r="I3" s="1474"/>
      <c r="L3" s="1733"/>
      <c r="M3" s="1727"/>
      <c r="N3" s="1727"/>
      <c r="O3" s="1727"/>
      <c r="P3" s="1727"/>
      <c r="Q3" s="1727"/>
      <c r="R3" s="1727"/>
      <c r="S3" s="1207"/>
    </row>
    <row r="4" spans="1:22" ht="6.75" customHeight="1" thickBot="1">
      <c r="A4" s="1184"/>
      <c r="B4" s="1184"/>
      <c r="C4" s="1184"/>
      <c r="D4" s="1184"/>
      <c r="E4" s="1185"/>
      <c r="F4" s="1184"/>
      <c r="G4" s="1184"/>
      <c r="H4" s="1184"/>
      <c r="I4" s="1184"/>
      <c r="J4" s="1184"/>
      <c r="K4" s="1184"/>
      <c r="L4" s="1184"/>
      <c r="M4" s="1184"/>
      <c r="N4" s="1184"/>
      <c r="O4" s="1184"/>
      <c r="P4" s="1184"/>
      <c r="Q4" s="1186"/>
      <c r="R4" s="1186"/>
      <c r="S4" s="1186"/>
    </row>
    <row r="5" spans="1:22" ht="6" customHeight="1" thickTop="1">
      <c r="E5" s="1187"/>
      <c r="Q5" s="1188"/>
      <c r="R5" s="1188"/>
    </row>
    <row r="6" spans="1:22" s="1192" customFormat="1" ht="17.25" customHeight="1">
      <c r="A6" s="1189" t="s">
        <v>3078</v>
      </c>
      <c r="B6" s="1191" t="s">
        <v>3079</v>
      </c>
      <c r="C6" s="1208"/>
      <c r="D6" s="1189"/>
      <c r="E6" s="1208" t="s">
        <v>3080</v>
      </c>
      <c r="F6" s="1191" t="s">
        <v>3704</v>
      </c>
      <c r="G6" s="1190"/>
      <c r="H6" s="1190"/>
      <c r="I6" s="1190" t="s">
        <v>3081</v>
      </c>
      <c r="J6" s="1190"/>
      <c r="K6" s="1191">
        <v>1</v>
      </c>
      <c r="L6" s="1191"/>
      <c r="M6" s="1190"/>
      <c r="N6" s="1190"/>
      <c r="O6" s="1190" t="s">
        <v>3074</v>
      </c>
      <c r="P6" s="1729">
        <f ca="1">NOW()</f>
        <v>46173.354343749997</v>
      </c>
      <c r="Q6" s="1729"/>
      <c r="R6" s="1729"/>
      <c r="S6" s="1190"/>
      <c r="T6" s="1181"/>
      <c r="U6" s="1181"/>
    </row>
    <row r="7" spans="1:22" ht="8.25" customHeight="1"/>
    <row r="8" spans="1:22" ht="15.75" thickBot="1">
      <c r="A8" s="1209" t="s">
        <v>3082</v>
      </c>
      <c r="B8" s="1209"/>
      <c r="C8" s="1209"/>
      <c r="D8" s="1209"/>
      <c r="E8" s="1209"/>
      <c r="F8" s="1209"/>
      <c r="G8" s="1209"/>
      <c r="H8" s="1210"/>
      <c r="I8" s="1209" t="s">
        <v>3083</v>
      </c>
      <c r="J8" s="1209"/>
      <c r="K8" s="1209"/>
      <c r="L8" s="1209"/>
      <c r="M8" s="1209"/>
      <c r="N8" s="1209"/>
      <c r="O8" s="1211" t="s">
        <v>3084</v>
      </c>
      <c r="P8" s="1211" t="s">
        <v>3085</v>
      </c>
      <c r="Q8" s="1211" t="s">
        <v>3086</v>
      </c>
      <c r="R8" s="1209"/>
      <c r="S8" s="1209"/>
    </row>
    <row r="9" spans="1:22" ht="8.25" customHeight="1" thickTop="1">
      <c r="A9" s="1212"/>
      <c r="B9" s="1213"/>
      <c r="C9" s="1213"/>
      <c r="D9" s="1213"/>
      <c r="E9" s="1213"/>
      <c r="F9" s="1213"/>
      <c r="G9" s="1213"/>
      <c r="H9" s="1210"/>
      <c r="I9" s="1212"/>
    </row>
    <row r="10" spans="1:22">
      <c r="A10" s="1214" t="s">
        <v>3087</v>
      </c>
      <c r="E10" s="1215" t="s">
        <v>3088</v>
      </c>
      <c r="F10" s="1215"/>
      <c r="G10" s="1214" t="s">
        <v>3089</v>
      </c>
      <c r="H10" s="1216"/>
      <c r="I10" s="1217" t="s">
        <v>3090</v>
      </c>
      <c r="O10" s="1214" t="s">
        <v>3091</v>
      </c>
      <c r="P10" s="1214"/>
      <c r="Q10" s="1214"/>
      <c r="R10" s="1214"/>
    </row>
    <row r="11" spans="1:22">
      <c r="A11" s="1214" t="s">
        <v>3092</v>
      </c>
      <c r="E11" s="1215" t="s">
        <v>2250</v>
      </c>
      <c r="F11" s="1215"/>
      <c r="H11" s="1218"/>
      <c r="I11" s="1217" t="s">
        <v>3094</v>
      </c>
      <c r="M11" s="1217"/>
      <c r="N11" s="1217"/>
      <c r="O11" s="1219">
        <v>1</v>
      </c>
      <c r="P11" s="1219">
        <v>1</v>
      </c>
      <c r="Q11" s="1219">
        <f>IF(Q12&lt;&gt;"",1,"")</f>
        <v>1</v>
      </c>
      <c r="R11" s="1214"/>
    </row>
    <row r="12" spans="1:22">
      <c r="A12" s="1214" t="s">
        <v>3095</v>
      </c>
      <c r="E12" s="1215" t="s">
        <v>789</v>
      </c>
      <c r="F12" s="1215"/>
      <c r="H12" s="1218"/>
      <c r="I12" s="1217" t="s">
        <v>3096</v>
      </c>
      <c r="J12" s="1216"/>
      <c r="K12" s="1216"/>
      <c r="M12" s="1216"/>
      <c r="N12" s="1216"/>
      <c r="O12" s="1219">
        <v>160</v>
      </c>
      <c r="P12" s="1219">
        <v>160</v>
      </c>
      <c r="Q12" s="1219">
        <v>160</v>
      </c>
      <c r="R12" s="1214" t="s">
        <v>3097</v>
      </c>
      <c r="V12" s="1217"/>
    </row>
    <row r="13" spans="1:22">
      <c r="A13" s="1214" t="s">
        <v>3098</v>
      </c>
      <c r="E13" s="1220">
        <v>520</v>
      </c>
      <c r="F13" s="1215"/>
      <c r="G13" s="1214" t="s">
        <v>3099</v>
      </c>
      <c r="H13" s="1218"/>
      <c r="I13" s="1217" t="s">
        <v>3100</v>
      </c>
      <c r="O13" s="1221">
        <f>O12/($O$12+$P$12+$Q$12)*$E$23</f>
        <v>386.66666666666663</v>
      </c>
      <c r="P13" s="1221">
        <f>P12/($O$12+$P$12+$Q$12)*$E$23</f>
        <v>386.66666666666663</v>
      </c>
      <c r="Q13" s="1221">
        <f>IF(Q12&lt;&gt;"",Q12/($O$12+$P$12+$Q$12)*$E$23,"")</f>
        <v>386.66666666666663</v>
      </c>
      <c r="R13" s="1214" t="s">
        <v>3101</v>
      </c>
    </row>
    <row r="14" spans="1:22">
      <c r="A14" s="1214" t="s">
        <v>3102</v>
      </c>
      <c r="E14" s="1215">
        <v>53</v>
      </c>
      <c r="F14" s="1215"/>
      <c r="G14" s="1214" t="s">
        <v>3103</v>
      </c>
      <c r="H14" s="1216"/>
      <c r="I14" s="1217" t="s">
        <v>3104</v>
      </c>
      <c r="O14" s="1221">
        <f>O12/($O$12+$P$12+$Q$12)*$E$27</f>
        <v>96.470520382750038</v>
      </c>
      <c r="P14" s="1221">
        <f>P12/($O$12+$P$12+$Q$12)*$E$27</f>
        <v>96.470520382750038</v>
      </c>
      <c r="Q14" s="1221">
        <f>IF(Q11&lt;&gt;"",Q12/($O$12+$P$12+$Q$12)*$E$27,"")</f>
        <v>96.470520382750038</v>
      </c>
      <c r="R14" s="1214" t="s">
        <v>3101</v>
      </c>
    </row>
    <row r="15" spans="1:22">
      <c r="A15" s="1214" t="s">
        <v>3105</v>
      </c>
      <c r="E15" s="1215">
        <v>31.5</v>
      </c>
      <c r="F15" s="1215"/>
      <c r="G15" s="1214" t="s">
        <v>3103</v>
      </c>
      <c r="H15" s="1216"/>
      <c r="I15" s="1217" t="s">
        <v>3106</v>
      </c>
      <c r="J15" s="1216"/>
      <c r="K15" s="1216"/>
      <c r="M15" s="1216"/>
      <c r="N15" s="1216"/>
      <c r="O15" s="1219">
        <v>154.2906226333543</v>
      </c>
      <c r="P15" s="1219">
        <v>154.2906226333543</v>
      </c>
      <c r="Q15" s="1219">
        <v>154.2906226333543</v>
      </c>
      <c r="R15" s="1214" t="s">
        <v>3107</v>
      </c>
    </row>
    <row r="16" spans="1:22">
      <c r="A16" s="1214" t="s">
        <v>3108</v>
      </c>
      <c r="E16" s="1215">
        <v>21.5</v>
      </c>
      <c r="F16" s="1215"/>
      <c r="G16" s="1214" t="s">
        <v>3103</v>
      </c>
      <c r="H16" s="1216"/>
      <c r="I16" s="1217" t="s">
        <v>3109</v>
      </c>
      <c r="M16" s="1216"/>
      <c r="N16" s="1216"/>
      <c r="O16" s="1219">
        <v>309.2</v>
      </c>
      <c r="P16" s="1219">
        <v>309.2</v>
      </c>
      <c r="Q16" s="1219">
        <v>0</v>
      </c>
      <c r="R16" s="1214" t="s">
        <v>3107</v>
      </c>
    </row>
    <row r="17" spans="1:34">
      <c r="A17" s="1214" t="s">
        <v>3110</v>
      </c>
      <c r="E17" s="1734">
        <v>1.8E-5</v>
      </c>
      <c r="F17" s="1734"/>
      <c r="G17" s="1214" t="s">
        <v>3111</v>
      </c>
      <c r="H17" s="1216"/>
      <c r="I17" s="1217" t="s">
        <v>3112</v>
      </c>
      <c r="M17" s="1216"/>
      <c r="N17" s="1216"/>
      <c r="O17" s="1219">
        <v>5</v>
      </c>
      <c r="P17" s="1219">
        <v>5</v>
      </c>
      <c r="Q17" s="1219">
        <f>IF(Q12&lt;&gt;"",5,"")</f>
        <v>5</v>
      </c>
      <c r="R17" s="1214" t="s">
        <v>3103</v>
      </c>
    </row>
    <row r="18" spans="1:34">
      <c r="A18" s="1214" t="s">
        <v>3113</v>
      </c>
      <c r="E18" s="1222">
        <v>0.107</v>
      </c>
      <c r="F18" s="1215"/>
      <c r="G18" s="1214" t="s">
        <v>3114</v>
      </c>
      <c r="H18" s="1216"/>
      <c r="I18" s="1217" t="s">
        <v>3115</v>
      </c>
      <c r="O18" s="1223">
        <f>O13/O14</f>
        <v>4.0081329004192536</v>
      </c>
      <c r="P18" s="1223">
        <f>P13/P14</f>
        <v>4.0081329004192536</v>
      </c>
      <c r="Q18" s="1223">
        <f>IF(Q11&lt;&gt;"",Q13/Q14,"")</f>
        <v>4.0081329004192536</v>
      </c>
      <c r="R18" s="1214" t="s">
        <v>3116</v>
      </c>
      <c r="Y18" s="1217"/>
      <c r="AC18" s="1216"/>
      <c r="AD18" s="1216"/>
      <c r="AE18" s="1219"/>
      <c r="AF18" s="1219"/>
      <c r="AG18" s="1219"/>
      <c r="AH18" s="1214"/>
    </row>
    <row r="19" spans="1:34" ht="9.75" customHeight="1">
      <c r="A19" s="1224"/>
      <c r="B19" s="1214"/>
      <c r="D19" s="1214"/>
      <c r="E19" s="1214"/>
      <c r="F19" s="1214"/>
      <c r="G19" s="1216"/>
      <c r="H19" s="1216"/>
      <c r="I19" s="1212"/>
      <c r="R19" s="1214"/>
    </row>
    <row r="20" spans="1:34" ht="15.75" thickBot="1">
      <c r="A20" s="1209" t="s">
        <v>3117</v>
      </c>
      <c r="B20" s="1209"/>
      <c r="C20" s="1209"/>
      <c r="D20" s="1209"/>
      <c r="E20" s="1209"/>
      <c r="F20" s="1209"/>
      <c r="G20" s="1209"/>
      <c r="H20" s="1216"/>
      <c r="I20" s="1209" t="s">
        <v>3118</v>
      </c>
      <c r="J20" s="1209"/>
      <c r="K20" s="1209"/>
      <c r="L20" s="1209"/>
      <c r="M20" s="1209"/>
      <c r="N20" s="1209"/>
      <c r="O20" s="1211" t="s">
        <v>3084</v>
      </c>
      <c r="P20" s="1211" t="s">
        <v>3085</v>
      </c>
      <c r="Q20" s="1211" t="s">
        <v>3086</v>
      </c>
      <c r="R20" s="1209"/>
      <c r="S20" s="1209"/>
    </row>
    <row r="21" spans="1:34" ht="15.75" thickTop="1">
      <c r="A21" s="1214" t="s">
        <v>3119</v>
      </c>
      <c r="C21" s="1216"/>
      <c r="D21" s="1214"/>
      <c r="E21" s="1225">
        <v>23.645825656359065</v>
      </c>
      <c r="F21" s="1216"/>
      <c r="G21" s="1214" t="s">
        <v>3120</v>
      </c>
      <c r="H21" s="1216"/>
      <c r="I21" s="1476" t="s">
        <v>3121</v>
      </c>
      <c r="J21" s="1228"/>
      <c r="K21" s="1228"/>
      <c r="L21" s="1228"/>
      <c r="M21" s="1216"/>
      <c r="N21" s="1216"/>
      <c r="O21" s="1216"/>
      <c r="P21" s="1216"/>
      <c r="Q21" s="1226"/>
      <c r="R21" s="1226"/>
    </row>
    <row r="22" spans="1:34">
      <c r="A22" s="1214" t="s">
        <v>3122</v>
      </c>
      <c r="C22" s="1216"/>
      <c r="D22" s="1214"/>
      <c r="E22" s="1225">
        <v>27.423987416437278</v>
      </c>
      <c r="F22" s="1216"/>
      <c r="G22" s="1214" t="s">
        <v>3123</v>
      </c>
      <c r="H22" s="1216"/>
      <c r="I22" s="1217" t="s">
        <v>3124</v>
      </c>
      <c r="J22" s="1216"/>
      <c r="K22" s="1216"/>
      <c r="L22" s="1216"/>
      <c r="M22" s="1216"/>
      <c r="N22" s="1216"/>
      <c r="O22" s="1735" t="s">
        <v>3125</v>
      </c>
      <c r="P22" s="1735"/>
      <c r="Q22" s="1735"/>
      <c r="R22" s="1214"/>
    </row>
    <row r="23" spans="1:34" ht="14.25" customHeight="1">
      <c r="A23" s="1214" t="s">
        <v>3126</v>
      </c>
      <c r="C23" s="1216"/>
      <c r="D23" s="1214"/>
      <c r="E23" s="1227">
        <v>1160</v>
      </c>
      <c r="F23" s="1216"/>
      <c r="G23" s="1214" t="s">
        <v>3101</v>
      </c>
      <c r="H23" s="1216"/>
      <c r="I23" s="1217" t="s">
        <v>3127</v>
      </c>
      <c r="O23" s="1731">
        <v>65.496643199999994</v>
      </c>
      <c r="P23" s="1731"/>
      <c r="Q23" s="1731"/>
      <c r="R23" s="1214" t="s">
        <v>3128</v>
      </c>
    </row>
    <row r="24" spans="1:34">
      <c r="A24" s="1214" t="s">
        <v>3129</v>
      </c>
      <c r="C24" s="1216"/>
      <c r="D24" s="1214"/>
      <c r="E24" s="1227">
        <v>1271.5</v>
      </c>
      <c r="F24" s="1216"/>
      <c r="G24" s="1214" t="s">
        <v>3101</v>
      </c>
      <c r="H24" s="1216"/>
      <c r="I24" s="1217" t="s">
        <v>3130</v>
      </c>
      <c r="O24" s="1219">
        <v>6</v>
      </c>
      <c r="P24" s="1219">
        <v>6</v>
      </c>
      <c r="Q24" s="1219">
        <v>6</v>
      </c>
      <c r="R24" s="1214"/>
    </row>
    <row r="25" spans="1:34">
      <c r="A25" s="1224"/>
      <c r="H25" s="1216"/>
      <c r="I25" s="1476" t="s">
        <v>3131</v>
      </c>
      <c r="J25" s="1228"/>
      <c r="K25" s="1228"/>
      <c r="L25" s="1228"/>
      <c r="O25" s="1214"/>
      <c r="P25" s="1214"/>
      <c r="Q25" s="1214"/>
      <c r="R25" s="1214"/>
    </row>
    <row r="26" spans="1:34" ht="15.75" thickBot="1">
      <c r="A26" s="1209" t="s">
        <v>3132</v>
      </c>
      <c r="B26" s="1209"/>
      <c r="C26" s="1209"/>
      <c r="D26" s="1209"/>
      <c r="E26" s="1209"/>
      <c r="F26" s="1209"/>
      <c r="G26" s="1209"/>
      <c r="H26" s="1216"/>
      <c r="I26" s="1217" t="s">
        <v>3133</v>
      </c>
      <c r="J26" s="1229"/>
      <c r="K26" s="1229"/>
      <c r="O26" s="1735" t="s">
        <v>3134</v>
      </c>
      <c r="P26" s="1735"/>
      <c r="Q26" s="1735"/>
      <c r="R26" s="1214"/>
    </row>
    <row r="27" spans="1:34" ht="15.75" thickTop="1">
      <c r="A27" s="1214" t="s">
        <v>3135</v>
      </c>
      <c r="C27" s="1216"/>
      <c r="D27" s="1216"/>
      <c r="E27" s="1223">
        <v>289.41156114825014</v>
      </c>
      <c r="F27" s="1216"/>
      <c r="G27" s="1214" t="s">
        <v>3101</v>
      </c>
      <c r="H27" s="1216"/>
      <c r="I27" s="1217" t="s">
        <v>3136</v>
      </c>
      <c r="L27" s="1230"/>
      <c r="M27" s="1231"/>
      <c r="N27" s="1231"/>
      <c r="O27" s="1735" t="s">
        <v>3137</v>
      </c>
      <c r="P27" s="1735"/>
      <c r="Q27" s="1735"/>
      <c r="R27" s="1214"/>
    </row>
    <row r="28" spans="1:34">
      <c r="A28" s="1214" t="s">
        <v>3138</v>
      </c>
      <c r="C28" s="1216"/>
      <c r="D28" s="1216"/>
      <c r="E28" s="1223">
        <f>E27+O31+IF(P31="",0,P31)+IF(Q31="",0,Q31)</f>
        <v>329.91156114825014</v>
      </c>
      <c r="F28" s="1216"/>
      <c r="G28" s="1214" t="s">
        <v>3101</v>
      </c>
      <c r="H28" s="1216"/>
      <c r="I28" s="1217" t="s">
        <v>3139</v>
      </c>
      <c r="J28" s="1232"/>
      <c r="K28" s="1232"/>
      <c r="L28" s="1230"/>
      <c r="M28" s="1231"/>
      <c r="N28" s="1231"/>
      <c r="O28" s="1219">
        <f>IF(O12&lt;&gt;"",O24,"")</f>
        <v>6</v>
      </c>
      <c r="P28" s="1219">
        <f>IF(P12&lt;&gt;"",P24,"")</f>
        <v>6</v>
      </c>
      <c r="Q28" s="1219">
        <f>IF(Q12&lt;&gt;"",Q24,"")</f>
        <v>6</v>
      </c>
      <c r="R28" s="1214"/>
    </row>
    <row r="29" spans="1:34">
      <c r="A29" s="1214" t="s">
        <v>3140</v>
      </c>
      <c r="C29" s="1216"/>
      <c r="D29" s="1216"/>
      <c r="E29" s="1233">
        <f>E23/E28</f>
        <v>3.5160938160598092</v>
      </c>
      <c r="F29" s="1216"/>
      <c r="G29" s="1214" t="s">
        <v>3116</v>
      </c>
      <c r="I29" s="1217" t="s">
        <v>3141</v>
      </c>
      <c r="L29" s="1230"/>
      <c r="M29" s="1231"/>
      <c r="N29" s="1231"/>
      <c r="O29" s="1219">
        <v>2.25</v>
      </c>
      <c r="P29" s="1219">
        <f>IFERROR(O29*P28/P28,0)</f>
        <v>2.25</v>
      </c>
      <c r="Q29" s="1219">
        <f>IF(Q12&lt;&gt;"",O29,"")</f>
        <v>2.25</v>
      </c>
      <c r="R29" s="1214" t="s">
        <v>3101</v>
      </c>
    </row>
    <row r="30" spans="1:34">
      <c r="H30" s="1216"/>
      <c r="I30" s="1217" t="s">
        <v>3142</v>
      </c>
      <c r="L30" s="1230"/>
      <c r="M30" s="1231"/>
      <c r="N30" s="1231"/>
      <c r="O30" s="1219">
        <v>3.9</v>
      </c>
      <c r="P30" s="1219">
        <f>IF(P12&lt;&gt;"",O30,"")</f>
        <v>3.9</v>
      </c>
      <c r="Q30" s="1219">
        <f>IF(Q12&lt;&gt;"",O30,"")</f>
        <v>3.9</v>
      </c>
      <c r="R30" s="1214" t="s">
        <v>3107</v>
      </c>
    </row>
    <row r="31" spans="1:34" ht="15.75" thickBot="1">
      <c r="A31" s="1209" t="s">
        <v>3659</v>
      </c>
      <c r="B31" s="1209"/>
      <c r="C31" s="1209"/>
      <c r="D31" s="1209"/>
      <c r="E31" s="1209"/>
      <c r="F31" s="1209"/>
      <c r="G31" s="1209"/>
      <c r="H31" s="1216"/>
      <c r="I31" s="1217" t="s">
        <v>3143</v>
      </c>
      <c r="L31" s="1230"/>
      <c r="M31" s="1231"/>
      <c r="N31" s="1231"/>
      <c r="O31" s="1215">
        <f>IF(O12&lt;&gt;"",O29*O28,0)</f>
        <v>13.5</v>
      </c>
      <c r="P31" s="1215">
        <f>IF(P12&lt;&gt;"",P29*P28,0)</f>
        <v>13.5</v>
      </c>
      <c r="Q31" s="1215">
        <f>IF(Q12&lt;&gt;"",Q29*Q28,"")</f>
        <v>13.5</v>
      </c>
      <c r="R31" s="1214" t="s">
        <v>3101</v>
      </c>
    </row>
    <row r="32" spans="1:34" ht="15.75" thickTop="1">
      <c r="A32" s="1214" t="s">
        <v>3144</v>
      </c>
      <c r="E32" s="1219">
        <f>E27*E24/E23+O31+P31+IF(Q31="",0,Q31)</f>
        <v>357.73</v>
      </c>
      <c r="G32" s="1214" t="s">
        <v>3101</v>
      </c>
      <c r="H32" s="1216"/>
      <c r="I32" s="1217" t="s">
        <v>3145</v>
      </c>
      <c r="O32" s="1219">
        <f>O30*O28</f>
        <v>23.4</v>
      </c>
      <c r="P32" s="1219">
        <f>P30*P28</f>
        <v>23.4</v>
      </c>
      <c r="Q32" s="1215">
        <f>IF(Q12&lt;&gt;"",Q30*Q28,"")</f>
        <v>23.4</v>
      </c>
      <c r="R32" s="1214" t="s">
        <v>3107</v>
      </c>
    </row>
    <row r="33" spans="1:19">
      <c r="A33" s="1214" t="s">
        <v>3146</v>
      </c>
      <c r="E33" s="1219">
        <f>O16+P16+Q16+O32+P32+IF(Q32="",0,Q32)</f>
        <v>688.59999999999991</v>
      </c>
      <c r="G33" s="1214" t="s">
        <v>3107</v>
      </c>
      <c r="H33" s="1216"/>
      <c r="I33" s="1234" t="s">
        <v>3147</v>
      </c>
      <c r="J33" s="1234"/>
      <c r="K33" s="1234"/>
      <c r="L33" s="1234"/>
      <c r="M33" s="1234"/>
      <c r="N33" s="1234"/>
      <c r="O33" s="1235">
        <v>43890</v>
      </c>
      <c r="P33" s="1235">
        <v>43890</v>
      </c>
      <c r="Q33" s="1235">
        <v>43890</v>
      </c>
      <c r="R33" s="1214" t="s">
        <v>3148</v>
      </c>
    </row>
    <row r="34" spans="1:19" ht="14.25" customHeight="1">
      <c r="A34" s="1214" t="s">
        <v>3149</v>
      </c>
      <c r="E34" s="1219">
        <f>0.25*MAX(O16:Q16)+E33</f>
        <v>765.89999999999986</v>
      </c>
      <c r="G34" s="1214" t="s">
        <v>3107</v>
      </c>
      <c r="H34" s="1216"/>
      <c r="I34" s="1736" t="s">
        <v>3150</v>
      </c>
      <c r="J34" s="1736"/>
      <c r="K34" s="1736"/>
      <c r="L34" s="1736"/>
      <c r="M34" s="1736"/>
      <c r="N34" s="1234"/>
      <c r="O34" s="1737">
        <v>100</v>
      </c>
      <c r="P34" s="1737">
        <v>100</v>
      </c>
      <c r="Q34" s="1737">
        <f>IF(Q12&lt;&gt;"",100,"")</f>
        <v>100</v>
      </c>
      <c r="R34" s="1737" t="s">
        <v>3114</v>
      </c>
    </row>
    <row r="35" spans="1:19" ht="8.25" customHeight="1">
      <c r="A35" s="1738" t="s">
        <v>3151</v>
      </c>
      <c r="E35" s="1737">
        <f>INDEX('Schneider Data'!$A$19:$A$55,MATCH(1.25*MAX(O16:Q16)+E33,'Schneider Data'!$A$19:$A$55,1)+1,1)</f>
        <v>1200</v>
      </c>
      <c r="G35" s="1737" t="s">
        <v>3107</v>
      </c>
      <c r="H35" s="1216"/>
      <c r="I35" s="1736"/>
      <c r="J35" s="1736"/>
      <c r="K35" s="1736"/>
      <c r="L35" s="1736"/>
      <c r="M35" s="1736"/>
      <c r="N35" s="1231"/>
      <c r="O35" s="1737"/>
      <c r="P35" s="1737"/>
      <c r="Q35" s="1737"/>
      <c r="R35" s="1737"/>
    </row>
    <row r="36" spans="1:19" ht="13.5" customHeight="1">
      <c r="A36" s="1738"/>
      <c r="B36" s="1214"/>
      <c r="E36" s="1737"/>
      <c r="G36" s="1737"/>
      <c r="H36" s="1216"/>
      <c r="I36" s="1217" t="s">
        <v>3152</v>
      </c>
      <c r="L36" s="1230"/>
      <c r="M36" s="1231"/>
      <c r="N36" s="1231"/>
      <c r="O36" s="1219">
        <v>980</v>
      </c>
      <c r="P36" s="1219">
        <v>980</v>
      </c>
      <c r="Q36" s="1219">
        <v>980</v>
      </c>
      <c r="R36" s="1214" t="s">
        <v>3153</v>
      </c>
    </row>
    <row r="37" spans="1:19" ht="15.75" thickBot="1">
      <c r="A37" s="1209" t="s">
        <v>3154</v>
      </c>
      <c r="B37" s="1209"/>
      <c r="C37" s="1209"/>
      <c r="D37" s="1209"/>
      <c r="E37" s="1209"/>
      <c r="F37" s="1209"/>
      <c r="G37" s="1209"/>
      <c r="H37" s="1216"/>
      <c r="I37" s="1217" t="s">
        <v>3155</v>
      </c>
      <c r="L37" s="1230"/>
      <c r="M37" s="1231"/>
      <c r="N37" s="1231"/>
      <c r="O37" s="1219">
        <v>75</v>
      </c>
      <c r="P37" s="1219">
        <v>75</v>
      </c>
      <c r="Q37" s="1219">
        <v>75</v>
      </c>
      <c r="R37" s="1214" t="s">
        <v>3156</v>
      </c>
    </row>
    <row r="38" spans="1:19" ht="15.75" thickTop="1">
      <c r="A38" s="1214" t="s">
        <v>3157</v>
      </c>
      <c r="E38" s="1227">
        <v>13660</v>
      </c>
      <c r="G38" s="1214" t="s">
        <v>3158</v>
      </c>
      <c r="H38" s="1216"/>
    </row>
    <row r="39" spans="1:19" ht="15.75" thickBot="1">
      <c r="A39" s="1214" t="s">
        <v>3159</v>
      </c>
      <c r="C39" s="1214"/>
      <c r="D39" s="1216"/>
      <c r="E39" s="1227">
        <v>2230</v>
      </c>
      <c r="F39" s="1216"/>
      <c r="G39" s="1214" t="s">
        <v>3158</v>
      </c>
      <c r="H39" s="1216"/>
      <c r="I39" s="1209" t="s">
        <v>3160</v>
      </c>
      <c r="J39" s="1209"/>
      <c r="K39" s="1209"/>
      <c r="L39" s="1209"/>
      <c r="M39" s="1209"/>
      <c r="N39" s="1209"/>
      <c r="O39" s="1209"/>
      <c r="P39" s="1209"/>
      <c r="Q39" s="1209"/>
      <c r="R39" s="1209"/>
      <c r="S39" s="1209"/>
    </row>
    <row r="40" spans="1:19" ht="15.75" thickTop="1">
      <c r="A40" s="1214" t="s">
        <v>3161</v>
      </c>
      <c r="C40" s="1216"/>
      <c r="D40" s="1216"/>
      <c r="E40" s="1227">
        <v>2770</v>
      </c>
      <c r="F40" s="1216"/>
      <c r="G40" s="1214" t="s">
        <v>3158</v>
      </c>
      <c r="H40" s="1216"/>
      <c r="I40" s="1214" t="s">
        <v>3162</v>
      </c>
      <c r="L40" s="1214"/>
      <c r="M40" s="1219"/>
      <c r="N40" s="1214" t="s">
        <v>3163</v>
      </c>
      <c r="O40" s="1214"/>
      <c r="P40" s="1214"/>
      <c r="Q40" s="1214" t="s">
        <v>3164</v>
      </c>
      <c r="R40" s="1214"/>
    </row>
    <row r="41" spans="1:19">
      <c r="A41" s="1214" t="s">
        <v>3165</v>
      </c>
      <c r="C41" s="1216"/>
      <c r="D41" s="1216"/>
      <c r="E41" s="1227">
        <v>15035</v>
      </c>
      <c r="F41" s="1216"/>
      <c r="G41" s="1214" t="s">
        <v>3166</v>
      </c>
      <c r="H41" s="1216"/>
      <c r="I41" s="1214" t="s">
        <v>3167</v>
      </c>
      <c r="L41" s="1214"/>
      <c r="M41" s="1219"/>
      <c r="N41" s="1214" t="s">
        <v>3168</v>
      </c>
      <c r="O41" s="1214"/>
      <c r="P41" s="1214"/>
      <c r="Q41" s="1214"/>
      <c r="R41" s="1214"/>
    </row>
    <row r="42" spans="1:19" ht="6" customHeight="1">
      <c r="A42" s="1224"/>
      <c r="B42" s="1216"/>
      <c r="C42" s="1216"/>
      <c r="D42" s="1216"/>
      <c r="F42" s="1216"/>
      <c r="H42" s="1216"/>
      <c r="I42" s="1218"/>
      <c r="L42" s="1230"/>
      <c r="M42" s="1231"/>
      <c r="N42" s="1231"/>
      <c r="O42" s="1216"/>
      <c r="P42" s="1216"/>
      <c r="Q42" s="1236"/>
      <c r="R42" s="1236"/>
    </row>
    <row r="43" spans="1:19" ht="15.75" thickBot="1">
      <c r="A43" s="1209" t="s">
        <v>3169</v>
      </c>
      <c r="B43" s="1209"/>
      <c r="C43" s="1209"/>
      <c r="D43" s="1209"/>
      <c r="E43" s="1209"/>
      <c r="F43" s="1209"/>
      <c r="G43" s="1209"/>
      <c r="H43" s="1209"/>
      <c r="I43" s="1209"/>
      <c r="J43" s="1209"/>
      <c r="K43" s="1209"/>
      <c r="L43" s="1209"/>
      <c r="M43" s="1209"/>
      <c r="N43" s="1209"/>
      <c r="O43" s="1209"/>
      <c r="P43" s="1209"/>
      <c r="Q43" s="1209"/>
      <c r="R43" s="1209"/>
      <c r="S43" s="1209"/>
    </row>
    <row r="44" spans="1:19" ht="4.5" customHeight="1" thickTop="1" thickBot="1">
      <c r="A44" s="1224"/>
    </row>
    <row r="45" spans="1:19" ht="15.75" thickBot="1">
      <c r="A45" s="1739" t="s">
        <v>3170</v>
      </c>
      <c r="B45" s="1739"/>
      <c r="C45" s="1739"/>
      <c r="D45" s="1739"/>
      <c r="E45" s="1740" t="s">
        <v>3171</v>
      </c>
      <c r="F45" s="1741"/>
      <c r="G45" s="1237">
        <v>63</v>
      </c>
      <c r="H45" s="1740">
        <v>125</v>
      </c>
      <c r="I45" s="1741"/>
      <c r="J45" s="1740">
        <v>250</v>
      </c>
      <c r="K45" s="1741"/>
      <c r="L45" s="1237">
        <v>500</v>
      </c>
      <c r="M45" s="1237" t="s">
        <v>3172</v>
      </c>
      <c r="N45" s="1237" t="s">
        <v>3173</v>
      </c>
      <c r="O45" s="1237" t="s">
        <v>3174</v>
      </c>
      <c r="P45" s="1237" t="s">
        <v>3175</v>
      </c>
      <c r="Q45" s="1740" t="s">
        <v>3176</v>
      </c>
      <c r="R45" s="1741"/>
    </row>
    <row r="46" spans="1:19" ht="15.75" thickBot="1">
      <c r="A46" s="1739" t="s">
        <v>3177</v>
      </c>
      <c r="B46" s="1739"/>
      <c r="C46" s="1739"/>
      <c r="D46" s="1739"/>
      <c r="E46" s="1740" t="s">
        <v>3178</v>
      </c>
      <c r="F46" s="1741"/>
      <c r="G46" s="1238">
        <v>102.02279461827524</v>
      </c>
      <c r="H46" s="1745">
        <v>98.030533933575043</v>
      </c>
      <c r="I46" s="1746"/>
      <c r="J46" s="1745">
        <v>97.088889363141163</v>
      </c>
      <c r="K46" s="1746"/>
      <c r="L46" s="1238">
        <v>96.071275476172076</v>
      </c>
      <c r="M46" s="1238">
        <v>97.567804141374012</v>
      </c>
      <c r="N46" s="1238">
        <v>96.377053990390152</v>
      </c>
      <c r="O46" s="1238">
        <v>91.331455473827987</v>
      </c>
      <c r="P46" s="1238">
        <v>84.105511731700886</v>
      </c>
      <c r="Q46" s="1745">
        <v>102.03176541061238</v>
      </c>
      <c r="R46" s="1746"/>
    </row>
    <row r="47" spans="1:19" ht="15.75" thickBot="1">
      <c r="A47" s="1739" t="s">
        <v>3179</v>
      </c>
      <c r="B47" s="1739"/>
      <c r="C47" s="1739"/>
      <c r="D47" s="1739"/>
      <c r="E47" s="1740" t="s">
        <v>3180</v>
      </c>
      <c r="F47" s="1741"/>
      <c r="G47" s="1238">
        <v>81.673988642678282</v>
      </c>
      <c r="H47" s="1745">
        <v>77.681727957978083</v>
      </c>
      <c r="I47" s="1746"/>
      <c r="J47" s="1745">
        <v>76.740083387544203</v>
      </c>
      <c r="K47" s="1746"/>
      <c r="L47" s="1238">
        <v>75.722469500575116</v>
      </c>
      <c r="M47" s="1238">
        <v>77.218998165777052</v>
      </c>
      <c r="N47" s="1238">
        <v>76.028248014793192</v>
      </c>
      <c r="O47" s="1238">
        <v>70.982649498231027</v>
      </c>
      <c r="P47" s="1238">
        <v>63.756705756103926</v>
      </c>
      <c r="Q47" s="1745">
        <v>81.68295943501542</v>
      </c>
      <c r="R47" s="1746"/>
    </row>
    <row r="48" spans="1:19" ht="9" customHeight="1">
      <c r="H48" s="1218"/>
      <c r="I48" s="1218"/>
    </row>
    <row r="49" spans="1:19" ht="15.75" thickBot="1">
      <c r="A49" s="1209" t="s">
        <v>3181</v>
      </c>
      <c r="B49" s="1209"/>
      <c r="C49" s="1209"/>
      <c r="D49" s="1209"/>
      <c r="E49" s="1209"/>
      <c r="G49" s="1209" t="s">
        <v>3182</v>
      </c>
      <c r="H49" s="1209"/>
      <c r="I49" s="1209"/>
      <c r="J49" s="1209"/>
      <c r="K49" s="1209"/>
      <c r="L49" s="1209"/>
      <c r="M49" s="1209"/>
      <c r="N49" s="1209"/>
      <c r="O49" s="1209"/>
      <c r="P49" s="1209"/>
      <c r="Q49" s="1209"/>
      <c r="R49" s="1209"/>
      <c r="S49" s="1209"/>
    </row>
    <row r="50" spans="1:19" ht="15.75" thickTop="1">
      <c r="A50" s="1214" t="s">
        <v>3183</v>
      </c>
      <c r="B50" s="1214"/>
      <c r="C50" s="1214"/>
      <c r="D50" s="1221">
        <f>E22</f>
        <v>27.423987416437278</v>
      </c>
      <c r="E50" s="1214" t="s">
        <v>3148</v>
      </c>
      <c r="G50" s="1476" t="s">
        <v>3184</v>
      </c>
      <c r="H50" s="1214"/>
      <c r="I50" s="1214"/>
      <c r="J50" s="1214"/>
      <c r="K50" s="1214"/>
      <c r="L50" s="1214"/>
      <c r="N50" s="1476" t="s">
        <v>3185</v>
      </c>
      <c r="O50" s="1214"/>
      <c r="P50" s="1214"/>
      <c r="Q50" s="1214"/>
      <c r="R50" s="1214"/>
      <c r="S50" s="1214"/>
    </row>
    <row r="51" spans="1:19">
      <c r="A51" s="1214" t="s">
        <v>3186</v>
      </c>
      <c r="B51" s="1214"/>
      <c r="C51" s="1214"/>
      <c r="D51" s="1221">
        <v>35</v>
      </c>
      <c r="E51" s="1214" t="s">
        <v>3099</v>
      </c>
      <c r="G51" s="1214" t="s">
        <v>3187</v>
      </c>
      <c r="H51" s="1214"/>
      <c r="I51" s="1214"/>
      <c r="J51" s="1214"/>
      <c r="K51" s="1214" t="str">
        <f>E12</f>
        <v>Water</v>
      </c>
      <c r="L51" s="1214"/>
      <c r="N51" s="1214" t="s">
        <v>3188</v>
      </c>
      <c r="O51" s="1214"/>
      <c r="P51" s="1214"/>
      <c r="Q51" s="1219">
        <v>17.57</v>
      </c>
      <c r="R51" s="1214" t="s">
        <v>3189</v>
      </c>
      <c r="S51" s="1214"/>
    </row>
    <row r="52" spans="1:19">
      <c r="A52" s="1214" t="s">
        <v>3190</v>
      </c>
      <c r="B52" s="1214"/>
      <c r="C52" s="1214"/>
      <c r="D52" s="1221">
        <f>D51+10</f>
        <v>45</v>
      </c>
      <c r="E52" s="1214" t="s">
        <v>3099</v>
      </c>
      <c r="G52" s="1214" t="s">
        <v>3191</v>
      </c>
      <c r="H52" s="1214"/>
      <c r="I52" s="1214"/>
      <c r="J52" s="1214"/>
      <c r="K52" s="1219">
        <v>10</v>
      </c>
      <c r="L52" s="1214" t="s">
        <v>3103</v>
      </c>
      <c r="N52" s="1214" t="s">
        <v>3192</v>
      </c>
      <c r="O52" s="1214"/>
      <c r="P52" s="1214"/>
      <c r="Q52" s="1239">
        <v>30.4</v>
      </c>
      <c r="R52" s="1214" t="s">
        <v>3148</v>
      </c>
      <c r="S52" s="1214"/>
    </row>
    <row r="53" spans="1:19">
      <c r="A53" s="1214" t="s">
        <v>3193</v>
      </c>
      <c r="B53" s="1214"/>
      <c r="C53" s="1214"/>
      <c r="D53" s="1221">
        <v>30</v>
      </c>
      <c r="E53" s="1214" t="s">
        <v>3101</v>
      </c>
      <c r="G53" s="1214" t="s">
        <v>3194</v>
      </c>
      <c r="H53" s="1214"/>
      <c r="I53" s="1214"/>
      <c r="J53" s="1214"/>
      <c r="K53" s="1219">
        <v>32.5</v>
      </c>
      <c r="L53" s="1214" t="s">
        <v>3103</v>
      </c>
      <c r="N53" s="1214" t="s">
        <v>3195</v>
      </c>
      <c r="O53" s="1214"/>
      <c r="P53" s="1214"/>
      <c r="Q53" s="1239">
        <v>1263.52</v>
      </c>
      <c r="R53" s="1214" t="s">
        <v>3101</v>
      </c>
      <c r="S53" s="1214"/>
    </row>
    <row r="54" spans="1:19">
      <c r="A54" s="1214" t="s">
        <v>3196</v>
      </c>
      <c r="B54" s="1214"/>
      <c r="C54" s="1214"/>
      <c r="D54" s="1221">
        <v>21.6</v>
      </c>
      <c r="E54" s="1214" t="s">
        <v>3101</v>
      </c>
      <c r="G54" s="1214" t="s">
        <v>3197</v>
      </c>
      <c r="H54" s="1214"/>
      <c r="I54" s="1214"/>
      <c r="J54" s="1214"/>
      <c r="K54" s="1219">
        <v>22.5</v>
      </c>
      <c r="L54" s="1214" t="s">
        <v>3103</v>
      </c>
      <c r="N54" s="1476" t="s">
        <v>3198</v>
      </c>
      <c r="O54" s="1214"/>
      <c r="P54" s="1214"/>
      <c r="Q54" s="1214"/>
      <c r="R54" s="1214"/>
      <c r="S54" s="1214"/>
    </row>
    <row r="55" spans="1:19">
      <c r="A55" s="1214" t="s">
        <v>3146</v>
      </c>
      <c r="B55" s="1214"/>
      <c r="C55" s="1214"/>
      <c r="D55" s="1219">
        <v>57</v>
      </c>
      <c r="E55" s="1214" t="s">
        <v>3107</v>
      </c>
      <c r="H55" s="1214"/>
      <c r="I55" s="1214"/>
      <c r="J55" s="1214"/>
      <c r="K55" s="1214"/>
      <c r="L55" s="1214"/>
      <c r="M55" s="1214"/>
      <c r="N55" s="1214" t="s">
        <v>3199</v>
      </c>
      <c r="O55" s="1214"/>
      <c r="P55" s="1742" t="str">
        <f>IF(O22="MicroChannel","Copper Tube Alum.Fins","MicroChannel")</f>
        <v>Copper Tube Alum.Fins</v>
      </c>
      <c r="Q55" s="1742"/>
      <c r="R55" s="1742"/>
      <c r="S55" s="1214"/>
    </row>
    <row r="56" spans="1:19">
      <c r="A56" s="1214" t="s">
        <v>3151</v>
      </c>
      <c r="B56" s="1214"/>
      <c r="C56" s="1214"/>
      <c r="D56" s="1219">
        <v>125</v>
      </c>
      <c r="E56" s="1214" t="s">
        <v>3107</v>
      </c>
      <c r="G56" s="1195"/>
      <c r="H56" s="1214"/>
      <c r="I56" s="1214"/>
      <c r="J56" s="1214"/>
      <c r="K56" s="1214"/>
      <c r="L56" s="1214"/>
      <c r="M56" s="1214"/>
      <c r="N56" s="1214" t="s">
        <v>3200</v>
      </c>
      <c r="O56" s="1214"/>
      <c r="P56" s="1743">
        <f>O24+P24+Q24</f>
        <v>18</v>
      </c>
      <c r="Q56" s="1743"/>
      <c r="R56" s="1743"/>
      <c r="S56" s="1214"/>
    </row>
    <row r="57" spans="1:19" ht="15.75" customHeight="1" thickBot="1">
      <c r="A57" s="1475" t="s">
        <v>3201</v>
      </c>
      <c r="B57" s="1184"/>
      <c r="C57" s="1184"/>
      <c r="D57" s="1184"/>
      <c r="E57" s="1185"/>
      <c r="F57" s="1184"/>
      <c r="G57" s="1184"/>
      <c r="H57" s="1184"/>
      <c r="I57" s="1184"/>
      <c r="J57" s="1184"/>
      <c r="K57" s="1184"/>
      <c r="L57" s="1184"/>
      <c r="M57" s="1184"/>
      <c r="N57" s="1184"/>
      <c r="O57" s="1184"/>
      <c r="P57" s="1184"/>
      <c r="Q57" s="1204"/>
      <c r="R57" s="1204"/>
      <c r="S57" s="1204"/>
    </row>
    <row r="58" spans="1:19" ht="36.75" customHeight="1" thickTop="1">
      <c r="K58" s="1722" t="s">
        <v>3202</v>
      </c>
      <c r="L58" s="1722"/>
      <c r="M58" s="1722"/>
      <c r="N58" s="1722"/>
      <c r="O58" s="1722"/>
      <c r="P58" s="1722"/>
      <c r="Q58" s="1722"/>
      <c r="R58" s="1722"/>
      <c r="S58" s="1722"/>
    </row>
    <row r="59" spans="1:19" ht="10.5" customHeight="1">
      <c r="K59" s="1744"/>
      <c r="L59" s="1744"/>
      <c r="M59" s="1744"/>
      <c r="N59" s="1744"/>
      <c r="O59" s="1744"/>
      <c r="P59" s="1744"/>
      <c r="Q59" s="1744"/>
      <c r="R59" s="1744"/>
      <c r="S59" s="1744"/>
    </row>
  </sheetData>
  <mergeCells count="34">
    <mergeCell ref="P55:R55"/>
    <mergeCell ref="P56:R56"/>
    <mergeCell ref="K58:S59"/>
    <mergeCell ref="A46:D46"/>
    <mergeCell ref="E46:F46"/>
    <mergeCell ref="H46:I46"/>
    <mergeCell ref="J46:K46"/>
    <mergeCell ref="Q46:R46"/>
    <mergeCell ref="A47:D47"/>
    <mergeCell ref="E47:F47"/>
    <mergeCell ref="H47:I47"/>
    <mergeCell ref="J47:K47"/>
    <mergeCell ref="Q47:R47"/>
    <mergeCell ref="R34:R35"/>
    <mergeCell ref="A35:A36"/>
    <mergeCell ref="E35:E36"/>
    <mergeCell ref="G35:G36"/>
    <mergeCell ref="A45:D45"/>
    <mergeCell ref="E45:F45"/>
    <mergeCell ref="H45:I45"/>
    <mergeCell ref="J45:K45"/>
    <mergeCell ref="Q45:R45"/>
    <mergeCell ref="O26:Q26"/>
    <mergeCell ref="O27:Q27"/>
    <mergeCell ref="I34:M35"/>
    <mergeCell ref="O34:O35"/>
    <mergeCell ref="P34:P35"/>
    <mergeCell ref="Q34:Q35"/>
    <mergeCell ref="O23:Q23"/>
    <mergeCell ref="L2:L3"/>
    <mergeCell ref="M2:R3"/>
    <mergeCell ref="P6:R6"/>
    <mergeCell ref="E17:F17"/>
    <mergeCell ref="O22:Q22"/>
  </mergeCells>
  <printOptions horizontalCentered="1"/>
  <pageMargins left="0.31496062992125984" right="0.31496062992125984" top="0.43307086614173229" bottom="0.35433070866141736" header="0.31496062992125984" footer="0.31496062992125984"/>
  <pageSetup scale="90"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C1326-71AF-4EBB-B3F2-F303AB041D10}">
  <sheetPr codeName="L4_Schneider_Data"/>
  <dimension ref="A1:AG114"/>
  <sheetViews>
    <sheetView topLeftCell="A64" workbookViewId="0">
      <selection activeCell="G83" sqref="G83"/>
    </sheetView>
  </sheetViews>
  <sheetFormatPr defaultRowHeight="15"/>
  <cols>
    <col min="1" max="1" width="16.85546875" customWidth="1"/>
    <col min="2" max="3" width="9.28515625" bestFit="1" customWidth="1"/>
    <col min="4" max="4" width="15.42578125" customWidth="1"/>
    <col min="5" max="9" width="9.28515625" bestFit="1" customWidth="1"/>
    <col min="10" max="10" width="11.42578125" bestFit="1" customWidth="1"/>
    <col min="11" max="11" width="10.140625" bestFit="1" customWidth="1"/>
    <col min="12" max="12" width="18.5703125" bestFit="1" customWidth="1"/>
    <col min="14" max="14" width="17.5703125" bestFit="1" customWidth="1"/>
    <col min="15" max="15" width="12.28515625" customWidth="1"/>
    <col min="16" max="16" width="27.140625" bestFit="1" customWidth="1"/>
    <col min="17" max="17" width="24.85546875" customWidth="1"/>
    <col min="18" max="18" width="23.140625" customWidth="1"/>
    <col min="19" max="19" width="13.42578125" customWidth="1"/>
    <col min="20" max="20" width="20.28515625" customWidth="1"/>
    <col min="21" max="21" width="19.85546875" bestFit="1" customWidth="1"/>
    <col min="22" max="22" width="22.28515625" bestFit="1" customWidth="1"/>
    <col min="23" max="23" width="22.7109375" bestFit="1" customWidth="1"/>
    <col min="24" max="24" width="20" bestFit="1" customWidth="1"/>
    <col min="25" max="25" width="25.28515625" bestFit="1" customWidth="1"/>
    <col min="26" max="26" width="40.7109375" bestFit="1" customWidth="1"/>
    <col min="27" max="27" width="24.28515625" bestFit="1" customWidth="1"/>
    <col min="28" max="28" width="14.7109375" bestFit="1" customWidth="1"/>
    <col min="29" max="29" width="20.7109375" bestFit="1" customWidth="1"/>
    <col min="30" max="30" width="16.7109375" bestFit="1" customWidth="1"/>
    <col min="31" max="31" width="20.7109375" bestFit="1" customWidth="1"/>
    <col min="32" max="32" width="11.85546875" bestFit="1" customWidth="1"/>
    <col min="33" max="33" width="13.42578125" bestFit="1" customWidth="1"/>
  </cols>
  <sheetData>
    <row r="1" spans="1:33" ht="15.75" thickBot="1">
      <c r="J1" s="1471" t="s">
        <v>3232</v>
      </c>
      <c r="K1" s="1471" t="s">
        <v>3525</v>
      </c>
      <c r="N1" s="1522" t="s">
        <v>3230</v>
      </c>
      <c r="O1" s="1522" t="s">
        <v>3233</v>
      </c>
      <c r="P1" s="1523" t="s">
        <v>3234</v>
      </c>
      <c r="Q1" s="1523" t="s">
        <v>3235</v>
      </c>
      <c r="R1" s="1524"/>
      <c r="S1" s="1523" t="s">
        <v>1342</v>
      </c>
    </row>
    <row r="2" spans="1:33">
      <c r="B2" s="1747" t="s">
        <v>3236</v>
      </c>
      <c r="C2" s="1748"/>
      <c r="D2" s="1748"/>
      <c r="E2" s="1748"/>
      <c r="F2" s="1748"/>
      <c r="G2" s="1748"/>
      <c r="H2" s="1749"/>
      <c r="N2" s="1128" t="s">
        <v>789</v>
      </c>
      <c r="O2" s="1128" t="s">
        <v>3217</v>
      </c>
      <c r="P2" s="1093" t="s">
        <v>3125</v>
      </c>
      <c r="Q2" s="1093">
        <v>1930.4</v>
      </c>
      <c r="R2" s="1093" t="s">
        <v>737</v>
      </c>
      <c r="S2" s="1093" t="s">
        <v>2250</v>
      </c>
      <c r="Z2" s="1750" t="s">
        <v>3237</v>
      </c>
      <c r="AA2" s="1750" t="s">
        <v>3238</v>
      </c>
      <c r="AB2" s="1753" t="s">
        <v>3239</v>
      </c>
      <c r="AC2" s="1753" t="s">
        <v>3240</v>
      </c>
      <c r="AD2" s="1753" t="s">
        <v>3241</v>
      </c>
      <c r="AE2" s="1753" t="s">
        <v>3242</v>
      </c>
      <c r="AF2" s="1753" t="s">
        <v>3243</v>
      </c>
      <c r="AG2" s="1753" t="s">
        <v>3244</v>
      </c>
    </row>
    <row r="3" spans="1:33" ht="16.5" thickBot="1">
      <c r="A3" s="1260" t="s">
        <v>0</v>
      </c>
      <c r="B3" s="1261" t="s">
        <v>3245</v>
      </c>
      <c r="C3" s="1261" t="s">
        <v>3246</v>
      </c>
      <c r="D3" s="1261" t="s">
        <v>3247</v>
      </c>
      <c r="E3" s="1261" t="s">
        <v>3248</v>
      </c>
      <c r="F3" s="1261" t="s">
        <v>3088</v>
      </c>
      <c r="G3" s="1261" t="s">
        <v>3249</v>
      </c>
      <c r="H3" s="1261" t="s">
        <v>3077</v>
      </c>
      <c r="N3" s="1128" t="s">
        <v>3671</v>
      </c>
      <c r="O3" s="1128" t="s">
        <v>45</v>
      </c>
      <c r="P3" s="1093" t="s">
        <v>3250</v>
      </c>
      <c r="Q3" s="1093">
        <v>1447.8</v>
      </c>
      <c r="R3" s="1093" t="s">
        <v>737</v>
      </c>
      <c r="S3" s="1093" t="s">
        <v>3093</v>
      </c>
      <c r="Z3" s="1751"/>
      <c r="AA3" s="1752"/>
      <c r="AB3" s="1754"/>
      <c r="AC3" s="1754"/>
      <c r="AD3" s="1754"/>
      <c r="AE3" s="1754"/>
      <c r="AF3" s="1754" t="s">
        <v>3251</v>
      </c>
      <c r="AG3" s="1754"/>
    </row>
    <row r="4" spans="1:33" ht="16.5" thickBot="1">
      <c r="A4" s="1260" t="s">
        <v>3252</v>
      </c>
      <c r="B4" s="555">
        <v>4.67</v>
      </c>
      <c r="C4" s="555">
        <v>4.67</v>
      </c>
      <c r="D4" s="555">
        <v>4.8</v>
      </c>
      <c r="E4" s="555">
        <v>5.13</v>
      </c>
      <c r="F4" s="555">
        <v>5</v>
      </c>
      <c r="G4" s="555">
        <v>8.24</v>
      </c>
      <c r="H4" s="555">
        <v>8.1999999999999993</v>
      </c>
      <c r="P4" s="1093" t="s">
        <v>3253</v>
      </c>
      <c r="Q4" s="1263">
        <f>(Q3/1000)*(Q2/1000)</f>
        <v>2.7948331200000003</v>
      </c>
      <c r="R4" s="1093" t="s">
        <v>738</v>
      </c>
      <c r="S4" s="1093" t="s">
        <v>3672</v>
      </c>
      <c r="Z4" s="1752"/>
      <c r="AA4" s="1264" t="s">
        <v>3254</v>
      </c>
      <c r="AB4" s="1265" t="s">
        <v>3255</v>
      </c>
      <c r="AC4" s="1265" t="s">
        <v>3256</v>
      </c>
      <c r="AD4" s="1265" t="s">
        <v>3257</v>
      </c>
      <c r="AE4" s="1265" t="s">
        <v>3258</v>
      </c>
      <c r="AF4" s="1265" t="s">
        <v>3259</v>
      </c>
      <c r="AG4" s="1265" t="s">
        <v>3260</v>
      </c>
    </row>
    <row r="5" spans="1:33" ht="16.5" thickBot="1">
      <c r="A5" s="1260" t="s">
        <v>3261</v>
      </c>
      <c r="B5" s="555">
        <v>1.32</v>
      </c>
      <c r="C5" s="555">
        <v>1.32</v>
      </c>
      <c r="D5" s="555">
        <v>1.35</v>
      </c>
      <c r="E5" s="555">
        <v>1.46</v>
      </c>
      <c r="F5" s="555">
        <v>1.46</v>
      </c>
      <c r="G5" s="555">
        <v>2.46</v>
      </c>
      <c r="H5" s="555">
        <v>2.46</v>
      </c>
      <c r="Z5" s="1262" t="s">
        <v>3262</v>
      </c>
      <c r="AA5" s="1266" t="s">
        <v>1716</v>
      </c>
      <c r="AB5" s="1267" t="s">
        <v>3263</v>
      </c>
      <c r="AC5" s="1267" t="s">
        <v>3264</v>
      </c>
      <c r="AD5" s="1267" t="s">
        <v>3265</v>
      </c>
      <c r="AE5" s="1267">
        <v>1575</v>
      </c>
      <c r="AF5" s="1267">
        <v>1675</v>
      </c>
      <c r="AG5" s="1267" t="s">
        <v>3266</v>
      </c>
    </row>
    <row r="6" spans="1:33" ht="16.5" thickBot="1">
      <c r="A6" s="1260" t="s">
        <v>3267</v>
      </c>
      <c r="B6" s="555">
        <v>3.5</v>
      </c>
      <c r="C6" s="555">
        <v>3.5</v>
      </c>
      <c r="D6" s="555">
        <v>3.5</v>
      </c>
      <c r="E6" s="555">
        <v>4</v>
      </c>
      <c r="F6" s="555">
        <v>3.9</v>
      </c>
      <c r="G6" s="1268" t="s">
        <v>1433</v>
      </c>
      <c r="H6" s="1268" t="s">
        <v>1433</v>
      </c>
      <c r="N6" s="1269" t="s">
        <v>3268</v>
      </c>
      <c r="O6" s="1270" t="s">
        <v>3269</v>
      </c>
      <c r="P6" s="1270" t="s">
        <v>3270</v>
      </c>
      <c r="Q6" s="1270" t="s">
        <v>3271</v>
      </c>
      <c r="R6" s="1270" t="s">
        <v>3272</v>
      </c>
      <c r="Z6" s="1262" t="s">
        <v>3273</v>
      </c>
      <c r="AA6" s="1266" t="s">
        <v>1716</v>
      </c>
      <c r="AB6" s="1267">
        <v>900</v>
      </c>
      <c r="AC6" s="1267">
        <v>1000</v>
      </c>
      <c r="AD6" s="1267">
        <v>1200</v>
      </c>
      <c r="AE6" s="1267">
        <v>1500</v>
      </c>
      <c r="AF6" s="1267">
        <v>1600</v>
      </c>
      <c r="AG6" s="1267">
        <v>1700</v>
      </c>
    </row>
    <row r="7" spans="1:33" ht="15.75">
      <c r="A7" s="1260" t="s">
        <v>3274</v>
      </c>
      <c r="B7" s="555">
        <v>1.25</v>
      </c>
      <c r="C7" s="555">
        <v>1.25</v>
      </c>
      <c r="D7" s="555">
        <v>1.25</v>
      </c>
      <c r="E7" s="555">
        <v>1.55</v>
      </c>
      <c r="F7" s="555">
        <v>1.6</v>
      </c>
      <c r="G7" s="1268" t="s">
        <v>1433</v>
      </c>
      <c r="H7" s="1268" t="s">
        <v>1433</v>
      </c>
      <c r="N7" s="1755" t="s">
        <v>3275</v>
      </c>
      <c r="O7" s="1271" t="s">
        <v>3276</v>
      </c>
      <c r="P7" s="1271" t="s">
        <v>3277</v>
      </c>
      <c r="Q7" s="1758" t="s">
        <v>3278</v>
      </c>
      <c r="R7" s="1758" t="s">
        <v>3279</v>
      </c>
    </row>
    <row r="8" spans="1:33">
      <c r="N8" s="1756"/>
      <c r="O8" s="1271" t="s">
        <v>3280</v>
      </c>
      <c r="P8" s="1271" t="s">
        <v>3281</v>
      </c>
      <c r="Q8" s="1759"/>
      <c r="R8" s="1759"/>
    </row>
    <row r="9" spans="1:33">
      <c r="N9" s="1756"/>
      <c r="O9" s="1271" t="s">
        <v>3282</v>
      </c>
      <c r="P9" s="1271" t="s">
        <v>3282</v>
      </c>
      <c r="Q9" s="1759"/>
      <c r="R9" s="1759"/>
    </row>
    <row r="10" spans="1:33">
      <c r="B10" s="1747" t="s">
        <v>3283</v>
      </c>
      <c r="C10" s="1748"/>
      <c r="D10" s="1748"/>
      <c r="E10" s="1748"/>
      <c r="F10" s="1748"/>
      <c r="G10" s="1748"/>
      <c r="H10" s="1749"/>
      <c r="N10" s="1756"/>
      <c r="O10" s="1271" t="s">
        <v>3284</v>
      </c>
      <c r="P10" s="1271" t="s">
        <v>3284</v>
      </c>
      <c r="Q10" s="1759"/>
      <c r="R10" s="1759"/>
    </row>
    <row r="11" spans="1:33" ht="15.75">
      <c r="A11" s="1260" t="s">
        <v>0</v>
      </c>
      <c r="B11" s="1261" t="s">
        <v>3245</v>
      </c>
      <c r="C11" s="1261" t="s">
        <v>3246</v>
      </c>
      <c r="D11" s="1261" t="s">
        <v>3247</v>
      </c>
      <c r="E11" s="1261" t="s">
        <v>3248</v>
      </c>
      <c r="F11" s="1261" t="s">
        <v>3088</v>
      </c>
      <c r="G11" s="1261" t="s">
        <v>3249</v>
      </c>
      <c r="H11" s="1261" t="s">
        <v>3077</v>
      </c>
      <c r="N11" s="1756"/>
      <c r="O11" s="1271"/>
      <c r="P11" s="1271"/>
      <c r="Q11" s="1759"/>
      <c r="R11" s="1759"/>
    </row>
    <row r="12" spans="1:33" ht="16.5" thickBot="1">
      <c r="A12" s="1260" t="s">
        <v>3252</v>
      </c>
      <c r="B12" s="555">
        <v>1.99</v>
      </c>
      <c r="C12" s="555">
        <v>1.99</v>
      </c>
      <c r="D12" s="555">
        <v>2.0499999999999998</v>
      </c>
      <c r="E12" s="555">
        <v>2.87</v>
      </c>
      <c r="F12" s="555">
        <v>2.1</v>
      </c>
      <c r="G12" s="555">
        <v>2</v>
      </c>
      <c r="H12" s="555">
        <v>2</v>
      </c>
      <c r="N12" s="1757"/>
      <c r="O12" s="1272" t="s">
        <v>3285</v>
      </c>
      <c r="P12" s="1272" t="s">
        <v>3286</v>
      </c>
      <c r="Q12" s="1760"/>
      <c r="R12" s="1760"/>
    </row>
    <row r="13" spans="1:33" ht="15.75">
      <c r="A13" s="1260" t="s">
        <v>3261</v>
      </c>
      <c r="B13" s="555">
        <v>0.63</v>
      </c>
      <c r="C13" s="555">
        <v>0.63</v>
      </c>
      <c r="D13" s="555">
        <v>0.65</v>
      </c>
      <c r="E13" s="555">
        <v>0.86</v>
      </c>
      <c r="F13" s="555">
        <v>0.77</v>
      </c>
      <c r="G13" s="555">
        <v>0.76</v>
      </c>
      <c r="H13" s="555">
        <v>0.76</v>
      </c>
      <c r="N13" s="1755" t="s">
        <v>3287</v>
      </c>
      <c r="O13" s="1271" t="s">
        <v>3288</v>
      </c>
      <c r="P13" s="1767" t="s">
        <v>3289</v>
      </c>
      <c r="Q13" s="1767" t="s">
        <v>3289</v>
      </c>
      <c r="R13" s="1767"/>
    </row>
    <row r="14" spans="1:33" ht="15.75">
      <c r="A14" s="1260" t="s">
        <v>3267</v>
      </c>
      <c r="B14" s="555">
        <v>1.45</v>
      </c>
      <c r="C14" s="555">
        <v>1.45</v>
      </c>
      <c r="D14" s="555">
        <v>1.45</v>
      </c>
      <c r="E14" s="555">
        <v>2.2999999999999998</v>
      </c>
      <c r="F14" s="555">
        <v>2.0499999999999998</v>
      </c>
      <c r="G14" s="1268" t="s">
        <v>1433</v>
      </c>
      <c r="H14" s="1268" t="s">
        <v>1433</v>
      </c>
      <c r="N14" s="1756"/>
      <c r="O14" s="1271" t="s">
        <v>3290</v>
      </c>
      <c r="P14" s="1768"/>
      <c r="Q14" s="1768"/>
      <c r="R14" s="1768"/>
    </row>
    <row r="15" spans="1:33" ht="15.75">
      <c r="A15" s="1260" t="s">
        <v>3274</v>
      </c>
      <c r="B15" s="555">
        <v>0.63</v>
      </c>
      <c r="C15" s="555">
        <v>0.63</v>
      </c>
      <c r="D15" s="555">
        <v>0.63</v>
      </c>
      <c r="E15" s="555">
        <v>1</v>
      </c>
      <c r="F15" s="555">
        <v>0.94</v>
      </c>
      <c r="G15" s="1268" t="s">
        <v>1433</v>
      </c>
      <c r="H15" s="1268" t="s">
        <v>1433</v>
      </c>
      <c r="N15" s="1756"/>
      <c r="O15" s="1271" t="s">
        <v>3282</v>
      </c>
      <c r="P15" s="1768"/>
      <c r="Q15" s="1768"/>
      <c r="R15" s="1768"/>
    </row>
    <row r="16" spans="1:33">
      <c r="N16" s="1756"/>
      <c r="O16" s="1271" t="s">
        <v>3284</v>
      </c>
      <c r="P16" s="1768"/>
      <c r="Q16" s="1768"/>
      <c r="R16" s="1768"/>
    </row>
    <row r="17" spans="1:29" ht="15.75" thickBot="1">
      <c r="N17" s="1756"/>
      <c r="O17" s="1271"/>
      <c r="P17" s="1768"/>
      <c r="Q17" s="1768"/>
      <c r="R17" s="1768"/>
    </row>
    <row r="18" spans="1:29" ht="15.75" thickBot="1">
      <c r="A18" s="1273" t="s">
        <v>40</v>
      </c>
      <c r="B18" s="1274" t="s">
        <v>38</v>
      </c>
      <c r="N18" s="1757"/>
      <c r="O18" s="1272" t="s">
        <v>3285</v>
      </c>
      <c r="P18" s="1769"/>
      <c r="Q18" s="1769"/>
      <c r="R18" s="1769"/>
    </row>
    <row r="19" spans="1:29" ht="15.75" thickBot="1">
      <c r="A19" s="1275">
        <v>15</v>
      </c>
      <c r="B19" s="1276">
        <v>25</v>
      </c>
      <c r="D19" s="1521" t="s">
        <v>3667</v>
      </c>
    </row>
    <row r="20" spans="1:29" ht="15.75" thickBot="1">
      <c r="A20" s="1277">
        <v>20</v>
      </c>
      <c r="B20" s="1277">
        <v>40</v>
      </c>
      <c r="D20" s="1520" t="s">
        <v>3668</v>
      </c>
    </row>
    <row r="21" spans="1:29" ht="16.5" thickBot="1">
      <c r="A21" s="1277">
        <v>25</v>
      </c>
      <c r="B21" s="1277">
        <v>60</v>
      </c>
      <c r="D21" s="1518" t="s">
        <v>3669</v>
      </c>
      <c r="N21" s="1278" t="s">
        <v>3291</v>
      </c>
      <c r="O21" s="1279" t="s">
        <v>3292</v>
      </c>
      <c r="P21" s="1279" t="s">
        <v>3293</v>
      </c>
      <c r="Q21" s="1280" t="s">
        <v>3294</v>
      </c>
      <c r="R21" s="1281" t="s">
        <v>3295</v>
      </c>
      <c r="S21" s="1281" t="s">
        <v>3296</v>
      </c>
    </row>
    <row r="22" spans="1:29" ht="15.75" thickBot="1">
      <c r="A22" s="1277">
        <v>30</v>
      </c>
      <c r="B22" s="1277">
        <v>80</v>
      </c>
      <c r="D22" s="1519" t="s">
        <v>3670</v>
      </c>
      <c r="N22" s="1282" t="s">
        <v>3297</v>
      </c>
      <c r="O22" s="1283">
        <v>241</v>
      </c>
      <c r="P22" s="1284">
        <v>110</v>
      </c>
      <c r="Q22" s="1285">
        <v>33</v>
      </c>
      <c r="R22" s="1093" t="s">
        <v>3125</v>
      </c>
      <c r="S22" s="1093">
        <v>191</v>
      </c>
    </row>
    <row r="23" spans="1:29">
      <c r="A23" s="1277">
        <v>35</v>
      </c>
      <c r="B23" s="1277">
        <v>100</v>
      </c>
      <c r="N23" s="1286" t="s">
        <v>3298</v>
      </c>
      <c r="O23" s="1093">
        <v>255</v>
      </c>
      <c r="P23" s="1287">
        <v>155</v>
      </c>
      <c r="R23" s="1093" t="s">
        <v>3299</v>
      </c>
      <c r="S23" s="1093">
        <v>370</v>
      </c>
    </row>
    <row r="24" spans="1:29">
      <c r="A24" s="1277">
        <v>40</v>
      </c>
      <c r="B24" s="1277">
        <v>125</v>
      </c>
      <c r="N24" s="1286" t="s">
        <v>3300</v>
      </c>
      <c r="O24" s="1093">
        <v>373</v>
      </c>
      <c r="P24" s="1287">
        <v>140</v>
      </c>
      <c r="R24" s="1093" t="s">
        <v>1826</v>
      </c>
      <c r="S24" s="1093" t="s">
        <v>1433</v>
      </c>
    </row>
    <row r="25" spans="1:29">
      <c r="A25" s="1277">
        <v>45</v>
      </c>
      <c r="B25" s="1277">
        <v>160</v>
      </c>
      <c r="N25" s="1286" t="s">
        <v>3301</v>
      </c>
      <c r="O25" s="1093">
        <v>392</v>
      </c>
      <c r="P25" s="1287">
        <v>240</v>
      </c>
    </row>
    <row r="26" spans="1:29" ht="15.75">
      <c r="A26" s="1277">
        <v>50</v>
      </c>
      <c r="B26" s="1277">
        <v>200</v>
      </c>
      <c r="N26" s="1286" t="s">
        <v>3302</v>
      </c>
      <c r="O26" s="1093">
        <v>229</v>
      </c>
      <c r="P26" s="1287">
        <v>240</v>
      </c>
      <c r="R26" s="1281" t="s">
        <v>3303</v>
      </c>
      <c r="S26" s="1281" t="s">
        <v>3304</v>
      </c>
      <c r="T26" s="1281" t="s">
        <v>3305</v>
      </c>
      <c r="U26" s="1281" t="s">
        <v>3306</v>
      </c>
      <c r="V26" s="1281" t="s">
        <v>3307</v>
      </c>
      <c r="W26" s="1281" t="s">
        <v>3308</v>
      </c>
      <c r="X26" s="1281" t="s">
        <v>3309</v>
      </c>
      <c r="Y26" s="1281" t="s">
        <v>1744</v>
      </c>
      <c r="Z26" s="1281" t="s">
        <v>3310</v>
      </c>
      <c r="AA26" s="1281" t="s">
        <v>3311</v>
      </c>
      <c r="AB26" s="1281" t="s">
        <v>3312</v>
      </c>
      <c r="AC26" s="1281" t="s">
        <v>3313</v>
      </c>
    </row>
    <row r="27" spans="1:29" ht="15.75">
      <c r="A27" s="1277">
        <v>60</v>
      </c>
      <c r="B27" s="1277">
        <v>250</v>
      </c>
      <c r="N27" s="1286" t="s">
        <v>3314</v>
      </c>
      <c r="O27" s="1093">
        <v>368</v>
      </c>
      <c r="P27" s="1287">
        <v>245</v>
      </c>
      <c r="R27" s="1281" t="s">
        <v>3315</v>
      </c>
      <c r="S27" s="1093">
        <v>600</v>
      </c>
      <c r="T27" s="1093">
        <v>400</v>
      </c>
      <c r="U27" s="1093">
        <v>1800</v>
      </c>
      <c r="V27" s="1093"/>
      <c r="W27" s="1093">
        <f>1800-400</f>
        <v>1400</v>
      </c>
      <c r="X27" s="1093"/>
      <c r="Y27" s="1093">
        <f t="shared" ref="Y27:Y36" si="0">U27+V27+T27</f>
        <v>2200</v>
      </c>
      <c r="Z27" s="1093">
        <f t="shared" ref="Z27:Z36" si="1">X27+W27+T27</f>
        <v>1800</v>
      </c>
      <c r="AA27" s="1093"/>
      <c r="AB27" s="1093">
        <v>2200</v>
      </c>
      <c r="AC27" s="1093">
        <v>2200</v>
      </c>
    </row>
    <row r="28" spans="1:29" ht="15.75">
      <c r="A28" s="1277">
        <v>70</v>
      </c>
      <c r="B28" s="1277">
        <v>260</v>
      </c>
      <c r="N28" s="1286" t="s">
        <v>3316</v>
      </c>
      <c r="O28" s="1093">
        <v>454</v>
      </c>
      <c r="P28" s="1287">
        <v>220</v>
      </c>
      <c r="R28" s="1281" t="s">
        <v>3317</v>
      </c>
      <c r="S28" s="1093">
        <v>1140</v>
      </c>
      <c r="T28" s="1093">
        <v>400</v>
      </c>
      <c r="U28" s="1093">
        <v>1160</v>
      </c>
      <c r="V28" s="1093">
        <f t="shared" ref="V28:V36" si="2">680*2</f>
        <v>1360</v>
      </c>
      <c r="W28" s="1093">
        <v>1280</v>
      </c>
      <c r="X28" s="1093">
        <f>740*2</f>
        <v>1480</v>
      </c>
      <c r="Y28" s="1093">
        <f t="shared" si="0"/>
        <v>2920</v>
      </c>
      <c r="Z28" s="1093">
        <f t="shared" si="1"/>
        <v>3160</v>
      </c>
      <c r="AA28" s="1093">
        <v>2230</v>
      </c>
      <c r="AB28" s="1093">
        <v>2200</v>
      </c>
      <c r="AC28" s="1093">
        <v>2200</v>
      </c>
    </row>
    <row r="29" spans="1:29" ht="15.75">
      <c r="A29" s="1277">
        <v>80</v>
      </c>
      <c r="B29" s="1277">
        <v>315</v>
      </c>
      <c r="N29" s="1286" t="s">
        <v>3223</v>
      </c>
      <c r="O29" s="1093">
        <v>614</v>
      </c>
      <c r="P29" s="1287">
        <v>240</v>
      </c>
      <c r="R29" s="1281" t="s">
        <v>3318</v>
      </c>
      <c r="S29" s="1093">
        <v>1620</v>
      </c>
      <c r="T29" s="1093">
        <v>400</v>
      </c>
      <c r="U29" s="1093">
        <f>U28*2</f>
        <v>2320</v>
      </c>
      <c r="V29" s="1093">
        <f t="shared" si="2"/>
        <v>1360</v>
      </c>
      <c r="W29" s="1093">
        <f>$W$28*2</f>
        <v>2560</v>
      </c>
      <c r="X29" s="1093">
        <f t="shared" ref="X29:X36" si="3">740*2</f>
        <v>1480</v>
      </c>
      <c r="Y29" s="1093">
        <f t="shared" si="0"/>
        <v>4080</v>
      </c>
      <c r="Z29" s="1093">
        <f t="shared" si="1"/>
        <v>4440</v>
      </c>
      <c r="AA29" s="1093">
        <v>2230</v>
      </c>
      <c r="AB29" s="1093">
        <v>2200</v>
      </c>
      <c r="AC29" s="1093">
        <v>2200</v>
      </c>
    </row>
    <row r="30" spans="1:29" ht="15.75">
      <c r="A30" s="1277">
        <v>90</v>
      </c>
      <c r="B30" s="1277">
        <v>400</v>
      </c>
      <c r="N30" s="1286" t="s">
        <v>3319</v>
      </c>
      <c r="O30" s="1093">
        <v>369</v>
      </c>
      <c r="P30" s="1287">
        <v>400</v>
      </c>
      <c r="R30" s="1281" t="s">
        <v>3320</v>
      </c>
      <c r="S30" s="1093">
        <v>2320</v>
      </c>
      <c r="T30" s="1093">
        <v>400</v>
      </c>
      <c r="U30" s="1093">
        <f>U28*3</f>
        <v>3480</v>
      </c>
      <c r="V30" s="1093">
        <f t="shared" si="2"/>
        <v>1360</v>
      </c>
      <c r="W30" s="1093">
        <f>$W$28*3</f>
        <v>3840</v>
      </c>
      <c r="X30" s="1093">
        <f t="shared" si="3"/>
        <v>1480</v>
      </c>
      <c r="Y30" s="1093">
        <f t="shared" si="0"/>
        <v>5240</v>
      </c>
      <c r="Z30" s="1093">
        <f t="shared" si="1"/>
        <v>5720</v>
      </c>
      <c r="AA30" s="1093">
        <v>2230</v>
      </c>
      <c r="AB30" s="1093">
        <v>2200</v>
      </c>
      <c r="AC30" s="1093">
        <v>2200</v>
      </c>
    </row>
    <row r="31" spans="1:29" ht="15.75">
      <c r="A31" s="1277">
        <v>100</v>
      </c>
      <c r="B31" s="1277">
        <v>450</v>
      </c>
      <c r="N31" s="1286" t="s">
        <v>3321</v>
      </c>
      <c r="O31" s="1093">
        <v>447</v>
      </c>
      <c r="P31" s="1287">
        <v>440</v>
      </c>
      <c r="R31" s="1281" t="s">
        <v>3322</v>
      </c>
      <c r="S31" s="1093">
        <v>2770</v>
      </c>
      <c r="T31" s="1093">
        <v>400</v>
      </c>
      <c r="U31" s="1093">
        <f>U28*4</f>
        <v>4640</v>
      </c>
      <c r="V31" s="1093">
        <f t="shared" si="2"/>
        <v>1360</v>
      </c>
      <c r="W31" s="1093">
        <f>$W$28*4</f>
        <v>5120</v>
      </c>
      <c r="X31" s="1093">
        <f t="shared" si="3"/>
        <v>1480</v>
      </c>
      <c r="Y31" s="1093">
        <f t="shared" si="0"/>
        <v>6400</v>
      </c>
      <c r="Z31" s="1093">
        <f t="shared" si="1"/>
        <v>7000</v>
      </c>
      <c r="AA31" s="1093">
        <v>2230</v>
      </c>
      <c r="AB31" s="1093">
        <v>2200</v>
      </c>
      <c r="AC31" s="1093">
        <v>2200</v>
      </c>
    </row>
    <row r="32" spans="1:29" ht="15.75">
      <c r="A32" s="1277">
        <v>110</v>
      </c>
      <c r="B32" s="1277">
        <v>600</v>
      </c>
      <c r="N32" s="1286" t="s">
        <v>3323</v>
      </c>
      <c r="O32" s="1093">
        <v>618</v>
      </c>
      <c r="P32" s="1287">
        <v>460</v>
      </c>
      <c r="R32" s="1281" t="s">
        <v>3324</v>
      </c>
      <c r="S32" s="1093">
        <v>3350</v>
      </c>
      <c r="T32" s="1093">
        <v>400</v>
      </c>
      <c r="U32" s="1093">
        <f>U28*5</f>
        <v>5800</v>
      </c>
      <c r="V32" s="1093">
        <f t="shared" si="2"/>
        <v>1360</v>
      </c>
      <c r="W32" s="1093">
        <f>$W$28*5</f>
        <v>6400</v>
      </c>
      <c r="X32" s="1093">
        <f t="shared" si="3"/>
        <v>1480</v>
      </c>
      <c r="Y32" s="1093">
        <f t="shared" si="0"/>
        <v>7560</v>
      </c>
      <c r="Z32" s="1093">
        <f t="shared" si="1"/>
        <v>8280</v>
      </c>
      <c r="AA32" s="1093">
        <v>2230</v>
      </c>
      <c r="AB32" s="1093">
        <v>2200</v>
      </c>
      <c r="AC32" s="1093">
        <v>2200</v>
      </c>
    </row>
    <row r="33" spans="1:30" ht="16.5" thickBot="1">
      <c r="A33" s="1288">
        <v>125</v>
      </c>
      <c r="B33" s="1277">
        <v>800</v>
      </c>
      <c r="N33" s="1289" t="s">
        <v>3325</v>
      </c>
      <c r="O33" s="1290">
        <v>777</v>
      </c>
      <c r="P33" s="1291">
        <v>560</v>
      </c>
      <c r="R33" s="1281" t="s">
        <v>3326</v>
      </c>
      <c r="S33" s="1093">
        <v>3830</v>
      </c>
      <c r="T33" s="1093">
        <v>400</v>
      </c>
      <c r="U33" s="1093">
        <f>U28*6</f>
        <v>6960</v>
      </c>
      <c r="V33" s="1093">
        <f t="shared" si="2"/>
        <v>1360</v>
      </c>
      <c r="W33" s="1093">
        <f>$W$28*6</f>
        <v>7680</v>
      </c>
      <c r="X33" s="1093">
        <f t="shared" si="3"/>
        <v>1480</v>
      </c>
      <c r="Y33" s="1093">
        <f t="shared" si="0"/>
        <v>8720</v>
      </c>
      <c r="Z33" s="1093">
        <f t="shared" si="1"/>
        <v>9560</v>
      </c>
      <c r="AA33" s="1093">
        <v>2230</v>
      </c>
      <c r="AB33" s="1093">
        <v>2200</v>
      </c>
      <c r="AC33" s="1093">
        <v>2200</v>
      </c>
    </row>
    <row r="34" spans="1:30" ht="15.75">
      <c r="A34" s="1277">
        <v>150</v>
      </c>
      <c r="B34" s="1277">
        <v>1000</v>
      </c>
      <c r="R34" s="1281" t="s">
        <v>3327</v>
      </c>
      <c r="S34" s="1093">
        <v>4240</v>
      </c>
      <c r="T34" s="1093">
        <v>400</v>
      </c>
      <c r="U34" s="1093">
        <f>U28*7</f>
        <v>8120</v>
      </c>
      <c r="V34" s="1093">
        <f t="shared" si="2"/>
        <v>1360</v>
      </c>
      <c r="W34" s="1093">
        <f>$W$28*7</f>
        <v>8960</v>
      </c>
      <c r="X34" s="1093">
        <f t="shared" si="3"/>
        <v>1480</v>
      </c>
      <c r="Y34" s="1093">
        <f t="shared" si="0"/>
        <v>9880</v>
      </c>
      <c r="Z34" s="1093">
        <f t="shared" si="1"/>
        <v>10840</v>
      </c>
      <c r="AA34" s="1093">
        <v>2230</v>
      </c>
      <c r="AB34" s="1093">
        <v>2200</v>
      </c>
      <c r="AC34" s="1093">
        <v>2200</v>
      </c>
    </row>
    <row r="35" spans="1:30" ht="15.75">
      <c r="A35" s="1277">
        <v>175</v>
      </c>
      <c r="B35" s="1277">
        <v>1200</v>
      </c>
      <c r="R35" s="1281" t="s">
        <v>3328</v>
      </c>
      <c r="S35" s="1093">
        <v>5090</v>
      </c>
      <c r="T35" s="1093">
        <v>400</v>
      </c>
      <c r="U35" s="1093">
        <f>U28*8</f>
        <v>9280</v>
      </c>
      <c r="V35" s="1093">
        <f t="shared" si="2"/>
        <v>1360</v>
      </c>
      <c r="W35" s="1093">
        <f>$W$28*8</f>
        <v>10240</v>
      </c>
      <c r="X35" s="1093">
        <f t="shared" si="3"/>
        <v>1480</v>
      </c>
      <c r="Y35" s="1093">
        <f t="shared" si="0"/>
        <v>11040</v>
      </c>
      <c r="Z35" s="1093">
        <f t="shared" si="1"/>
        <v>12120</v>
      </c>
      <c r="AA35" s="1093">
        <v>2230</v>
      </c>
      <c r="AB35" s="1093">
        <v>2200</v>
      </c>
      <c r="AC35" s="1093">
        <v>2200</v>
      </c>
    </row>
    <row r="36" spans="1:30" ht="15.75">
      <c r="A36" s="1277">
        <v>200</v>
      </c>
      <c r="B36" s="1277">
        <v>1250</v>
      </c>
      <c r="R36" s="1281" t="s">
        <v>3329</v>
      </c>
      <c r="S36" s="1093">
        <v>5700</v>
      </c>
      <c r="T36" s="1093">
        <v>400</v>
      </c>
      <c r="U36" s="1093">
        <f>U28*9</f>
        <v>10440</v>
      </c>
      <c r="V36" s="1093">
        <f t="shared" si="2"/>
        <v>1360</v>
      </c>
      <c r="W36" s="1093">
        <f>$W$28*9</f>
        <v>11520</v>
      </c>
      <c r="X36" s="1093">
        <f t="shared" si="3"/>
        <v>1480</v>
      </c>
      <c r="Y36" s="1093">
        <f t="shared" si="0"/>
        <v>12200</v>
      </c>
      <c r="Z36" s="1093">
        <f t="shared" si="1"/>
        <v>13400</v>
      </c>
      <c r="AA36" s="1093">
        <v>2230</v>
      </c>
      <c r="AB36" s="1093">
        <v>2600</v>
      </c>
      <c r="AC36" s="1093">
        <v>2400</v>
      </c>
    </row>
    <row r="37" spans="1:30" ht="15.75" thickBot="1">
      <c r="A37" s="1277">
        <v>225</v>
      </c>
      <c r="B37" s="1292" t="s">
        <v>3330</v>
      </c>
    </row>
    <row r="38" spans="1:30" ht="15.75" thickBot="1">
      <c r="A38" s="1277">
        <v>250</v>
      </c>
      <c r="B38" s="1293" t="s">
        <v>3331</v>
      </c>
    </row>
    <row r="39" spans="1:30">
      <c r="A39" s="1277">
        <v>300</v>
      </c>
      <c r="B39" t="s">
        <v>3332</v>
      </c>
    </row>
    <row r="40" spans="1:30" ht="15.75">
      <c r="A40" s="1277">
        <v>350</v>
      </c>
      <c r="B40" t="s">
        <v>3333</v>
      </c>
      <c r="Y40" s="1281" t="s">
        <v>3308</v>
      </c>
      <c r="Z40" s="1281" t="s">
        <v>3308</v>
      </c>
      <c r="AA40" s="1281" t="s">
        <v>3311</v>
      </c>
      <c r="AB40" s="1281" t="s">
        <v>770</v>
      </c>
      <c r="AC40" s="1281" t="s">
        <v>3334</v>
      </c>
      <c r="AD40" s="1281" t="s">
        <v>3335</v>
      </c>
    </row>
    <row r="41" spans="1:30">
      <c r="A41" s="1277">
        <v>400</v>
      </c>
      <c r="B41" t="s">
        <v>3336</v>
      </c>
      <c r="Y41" s="1093">
        <v>1160</v>
      </c>
      <c r="Z41" s="1093">
        <v>1280</v>
      </c>
      <c r="AA41" s="1093">
        <v>2230</v>
      </c>
      <c r="AB41" s="1093">
        <v>2600</v>
      </c>
      <c r="AC41" s="1093">
        <v>200</v>
      </c>
      <c r="AD41" s="1093">
        <v>300</v>
      </c>
    </row>
    <row r="42" spans="1:30" ht="15.75">
      <c r="A42" s="1277">
        <v>450</v>
      </c>
      <c r="B42" s="1294" t="s">
        <v>3337</v>
      </c>
    </row>
    <row r="43" spans="1:30" ht="15.75">
      <c r="A43" s="1277">
        <v>500</v>
      </c>
      <c r="B43" s="1294" t="s">
        <v>3338</v>
      </c>
    </row>
    <row r="44" spans="1:30">
      <c r="A44" s="1277">
        <v>600</v>
      </c>
      <c r="Y44" t="s">
        <v>3339</v>
      </c>
    </row>
    <row r="45" spans="1:30">
      <c r="A45" s="1277">
        <v>700</v>
      </c>
      <c r="X45" s="1093" t="s">
        <v>3340</v>
      </c>
      <c r="Y45" s="1093">
        <v>1280</v>
      </c>
      <c r="Z45" s="1093" t="s">
        <v>3341</v>
      </c>
    </row>
    <row r="46" spans="1:30">
      <c r="A46" s="1277">
        <v>800</v>
      </c>
      <c r="X46" s="1093" t="s">
        <v>3342</v>
      </c>
      <c r="Y46" s="1093">
        <v>1380</v>
      </c>
      <c r="Z46" s="1093" t="s">
        <v>3341</v>
      </c>
    </row>
    <row r="47" spans="1:30">
      <c r="A47" s="1288">
        <v>1000</v>
      </c>
      <c r="X47" s="1093" t="s">
        <v>3343</v>
      </c>
      <c r="Y47" s="1093">
        <v>1580</v>
      </c>
      <c r="Z47" s="1093" t="s">
        <v>3341</v>
      </c>
    </row>
    <row r="48" spans="1:30">
      <c r="A48" s="1277">
        <v>1200</v>
      </c>
      <c r="X48" s="1093" t="s">
        <v>3343</v>
      </c>
      <c r="Y48" s="1093">
        <v>1280</v>
      </c>
      <c r="Z48" s="1093" t="s">
        <v>3344</v>
      </c>
    </row>
    <row r="49" spans="1:22" ht="15.75" thickBot="1">
      <c r="A49" s="1277">
        <v>1600</v>
      </c>
    </row>
    <row r="50" spans="1:22">
      <c r="A50" s="1277">
        <v>2000</v>
      </c>
      <c r="O50" s="1295" t="s">
        <v>3345</v>
      </c>
      <c r="P50" s="1770" t="s">
        <v>3346</v>
      </c>
      <c r="Q50" s="1296" t="s">
        <v>3347</v>
      </c>
      <c r="R50" s="1296" t="s">
        <v>3348</v>
      </c>
      <c r="S50" s="1296" t="s">
        <v>3349</v>
      </c>
      <c r="T50" s="1296" t="s">
        <v>3350</v>
      </c>
      <c r="U50" s="1296" t="s">
        <v>3304</v>
      </c>
      <c r="V50" s="1296" t="s">
        <v>3351</v>
      </c>
    </row>
    <row r="51" spans="1:22" ht="15.75" thickBot="1">
      <c r="A51" s="1277">
        <v>2500</v>
      </c>
      <c r="O51" s="1297" t="s">
        <v>739</v>
      </c>
      <c r="P51" s="1771"/>
      <c r="Q51" s="1298" t="s">
        <v>3352</v>
      </c>
      <c r="R51" s="1298" t="s">
        <v>1716</v>
      </c>
      <c r="S51" s="1298" t="s">
        <v>1716</v>
      </c>
      <c r="T51" s="1298" t="s">
        <v>3353</v>
      </c>
      <c r="U51" s="1298" t="s">
        <v>3354</v>
      </c>
      <c r="V51" s="1298"/>
    </row>
    <row r="52" spans="1:22" ht="15.75" thickBot="1">
      <c r="A52" s="1277">
        <v>3000</v>
      </c>
      <c r="O52" s="1299">
        <v>1</v>
      </c>
      <c r="P52" s="1300" t="s">
        <v>3355</v>
      </c>
      <c r="Q52" s="1300">
        <v>45</v>
      </c>
      <c r="R52" s="1300">
        <v>16.43</v>
      </c>
      <c r="S52" s="1300">
        <v>18.5</v>
      </c>
      <c r="T52" s="1300">
        <v>35.9</v>
      </c>
      <c r="U52" s="1300">
        <v>234</v>
      </c>
      <c r="V52" s="1300" t="str">
        <f>P52</f>
        <v>ETCL080-065-200</v>
      </c>
    </row>
    <row r="53" spans="1:22" ht="15.75" thickBot="1">
      <c r="A53" s="1277">
        <v>4000</v>
      </c>
      <c r="O53" s="1299">
        <v>29</v>
      </c>
      <c r="P53" s="1300" t="s">
        <v>3355</v>
      </c>
      <c r="Q53" s="1300">
        <v>45</v>
      </c>
      <c r="R53" s="1300">
        <v>16.43</v>
      </c>
      <c r="S53" s="1300">
        <v>18.5</v>
      </c>
      <c r="T53" s="1300">
        <v>35.9</v>
      </c>
      <c r="U53" s="1300">
        <v>234</v>
      </c>
      <c r="V53" s="1300" t="str">
        <f>P54</f>
        <v>ETCL100-080-200</v>
      </c>
    </row>
    <row r="54" spans="1:22" ht="15.75" thickBot="1">
      <c r="A54" s="1277">
        <v>5000</v>
      </c>
      <c r="O54" s="1299">
        <v>37.799999999999997</v>
      </c>
      <c r="P54" s="1300" t="s">
        <v>3356</v>
      </c>
      <c r="Q54" s="1300">
        <v>45</v>
      </c>
      <c r="R54" s="1300">
        <v>21.6</v>
      </c>
      <c r="S54" s="1300">
        <v>30</v>
      </c>
      <c r="T54" s="1300">
        <v>54.9</v>
      </c>
      <c r="U54" s="1300">
        <v>295</v>
      </c>
      <c r="V54" s="1300" t="str">
        <f>P55</f>
        <v>ETCL100-080-200</v>
      </c>
    </row>
    <row r="55" spans="1:22" ht="15.75" thickBot="1">
      <c r="A55" s="1292">
        <v>6000</v>
      </c>
      <c r="O55" s="1299">
        <v>42.5</v>
      </c>
      <c r="P55" s="1300" t="s">
        <v>3356</v>
      </c>
      <c r="Q55" s="1300">
        <v>45</v>
      </c>
      <c r="R55" s="1300">
        <v>24.45</v>
      </c>
      <c r="S55" s="1300">
        <v>30</v>
      </c>
      <c r="T55" s="1300">
        <v>54.9</v>
      </c>
      <c r="U55" s="1300">
        <v>295</v>
      </c>
      <c r="V55" s="1300" t="str">
        <f>P56</f>
        <v>ETCL100-080-200</v>
      </c>
    </row>
    <row r="56" spans="1:22" ht="15.75" thickBot="1">
      <c r="A56" s="1301" t="s">
        <v>3357</v>
      </c>
      <c r="O56" s="1299">
        <v>48.3</v>
      </c>
      <c r="P56" s="1300" t="s">
        <v>3356</v>
      </c>
      <c r="Q56" s="1300">
        <v>45</v>
      </c>
      <c r="R56" s="1300">
        <v>27.49</v>
      </c>
      <c r="S56" s="1300">
        <v>30</v>
      </c>
      <c r="T56" s="1300">
        <v>54.9</v>
      </c>
      <c r="U56" s="1300">
        <v>295</v>
      </c>
      <c r="V56" s="1300" t="str">
        <f>P57</f>
        <v>ETCL100-080-200</v>
      </c>
    </row>
    <row r="57" spans="1:22" ht="15.75" thickBot="1">
      <c r="O57" s="1299">
        <v>50.8</v>
      </c>
      <c r="P57" s="1300" t="s">
        <v>3356</v>
      </c>
      <c r="Q57" s="1300">
        <v>45</v>
      </c>
      <c r="R57" s="1300">
        <v>28.88</v>
      </c>
      <c r="S57" s="1300">
        <v>30</v>
      </c>
      <c r="T57" s="1300">
        <v>54.9</v>
      </c>
      <c r="U57" s="1300">
        <v>295</v>
      </c>
      <c r="V57" s="1300" t="str">
        <f>P58</f>
        <v>Etanorm RG 125-500.2</v>
      </c>
    </row>
    <row r="58" spans="1:22" ht="15.75" thickBot="1">
      <c r="O58" s="1299">
        <v>58</v>
      </c>
      <c r="P58" s="1300" t="s">
        <v>3358</v>
      </c>
      <c r="Q58" s="1300">
        <v>45</v>
      </c>
      <c r="R58" s="1300">
        <v>37.26</v>
      </c>
      <c r="S58" s="1300">
        <v>45</v>
      </c>
      <c r="T58" s="1300">
        <v>81.3</v>
      </c>
      <c r="U58" s="1300">
        <v>412</v>
      </c>
      <c r="V58" s="1300" t="str">
        <f>P58</f>
        <v>Etanorm RG 125-500.2</v>
      </c>
    </row>
    <row r="59" spans="1:22" ht="15.75" thickBot="1">
      <c r="O59" s="1299">
        <v>80</v>
      </c>
      <c r="P59" s="1300"/>
      <c r="Q59" s="1300"/>
      <c r="R59" s="1300"/>
      <c r="S59" s="1300"/>
      <c r="T59" s="1300"/>
      <c r="U59" s="1300"/>
      <c r="V59" s="1300" t="str">
        <f>V58</f>
        <v>Etanorm RG 125-500.2</v>
      </c>
    </row>
    <row r="60" spans="1:22">
      <c r="V60" s="1059" t="s">
        <v>3359</v>
      </c>
    </row>
    <row r="71" spans="1:24" ht="15.75" thickBot="1"/>
    <row r="72" spans="1:24" ht="16.5" thickBot="1">
      <c r="A72" s="1761" t="s">
        <v>3360</v>
      </c>
      <c r="B72" s="1762"/>
      <c r="C72" s="1762"/>
      <c r="D72" s="1762"/>
      <c r="E72" s="1762"/>
      <c r="F72" s="1762"/>
      <c r="G72" s="1762"/>
      <c r="H72" s="1762"/>
      <c r="I72" s="1762"/>
      <c r="J72" s="1762"/>
      <c r="K72" s="1763"/>
    </row>
    <row r="73" spans="1:24" ht="15.75" thickBot="1">
      <c r="A73" s="1302" t="s">
        <v>3361</v>
      </c>
      <c r="B73" s="1303" t="s">
        <v>0</v>
      </c>
      <c r="C73" s="1303" t="s">
        <v>3245</v>
      </c>
      <c r="D73" s="1303" t="s">
        <v>3246</v>
      </c>
      <c r="E73" s="1303" t="s">
        <v>3247</v>
      </c>
      <c r="F73" s="1303" t="s">
        <v>3248</v>
      </c>
      <c r="G73" s="1304" t="s">
        <v>3088</v>
      </c>
      <c r="H73" s="1303" t="s">
        <v>2176</v>
      </c>
      <c r="I73" s="1304" t="s">
        <v>3362</v>
      </c>
      <c r="J73" s="1303"/>
      <c r="K73" s="1305" t="s">
        <v>3363</v>
      </c>
    </row>
    <row r="74" spans="1:24">
      <c r="A74" s="1306">
        <v>50</v>
      </c>
      <c r="B74" s="1283" t="s">
        <v>3364</v>
      </c>
      <c r="C74" s="1283">
        <v>86.1</v>
      </c>
      <c r="D74" s="1283">
        <v>83.7</v>
      </c>
      <c r="E74" s="1283">
        <v>78.8</v>
      </c>
      <c r="F74" s="1283">
        <v>85.5</v>
      </c>
      <c r="G74" s="1307">
        <v>103.5</v>
      </c>
      <c r="H74" s="1283">
        <v>81.900000000000006</v>
      </c>
      <c r="I74" s="1283">
        <f>G74</f>
        <v>103.5</v>
      </c>
      <c r="J74" s="1283"/>
      <c r="K74" s="1308">
        <v>420</v>
      </c>
    </row>
    <row r="75" spans="1:24">
      <c r="A75" s="1309">
        <v>70</v>
      </c>
      <c r="B75" s="1093" t="s">
        <v>3365</v>
      </c>
      <c r="C75" s="1093">
        <v>110.1</v>
      </c>
      <c r="D75" s="1093">
        <v>107</v>
      </c>
      <c r="E75" s="1093">
        <v>98.3</v>
      </c>
      <c r="F75" s="1093">
        <v>109.5</v>
      </c>
      <c r="G75" s="1310">
        <v>132.5</v>
      </c>
      <c r="H75" s="1093">
        <v>104.9</v>
      </c>
      <c r="I75" s="1093">
        <f t="shared" ref="I75:I88" si="4">G75</f>
        <v>132.5</v>
      </c>
      <c r="J75" s="1093"/>
      <c r="K75" s="1311">
        <v>545</v>
      </c>
    </row>
    <row r="76" spans="1:24" ht="15.75" thickBot="1">
      <c r="A76" s="1309">
        <v>80</v>
      </c>
      <c r="B76" s="1093" t="s">
        <v>3366</v>
      </c>
      <c r="C76" s="1093">
        <v>126</v>
      </c>
      <c r="D76" s="1093">
        <v>122.4</v>
      </c>
      <c r="E76" s="1093">
        <v>115.4</v>
      </c>
      <c r="F76" s="1093">
        <v>125.2</v>
      </c>
      <c r="G76" s="1310">
        <v>151.6</v>
      </c>
      <c r="H76" s="1093">
        <v>120</v>
      </c>
      <c r="I76" s="1093">
        <f t="shared" si="4"/>
        <v>151.6</v>
      </c>
      <c r="J76" s="1093"/>
      <c r="K76" s="1311">
        <v>590</v>
      </c>
    </row>
    <row r="77" spans="1:24" ht="21.75" thickBot="1">
      <c r="A77" s="1309">
        <v>90</v>
      </c>
      <c r="B77" s="1093" t="s">
        <v>3367</v>
      </c>
      <c r="C77" s="1093">
        <v>143.80000000000001</v>
      </c>
      <c r="D77" s="1093">
        <v>139.69999999999999</v>
      </c>
      <c r="E77" s="1093">
        <v>131.69999999999999</v>
      </c>
      <c r="F77" s="1093">
        <v>142.9</v>
      </c>
      <c r="G77" s="1310">
        <v>173</v>
      </c>
      <c r="H77" s="1093">
        <v>136.9</v>
      </c>
      <c r="I77" s="1093">
        <f t="shared" si="4"/>
        <v>173</v>
      </c>
      <c r="J77" s="1093"/>
      <c r="K77" s="1311">
        <v>600</v>
      </c>
      <c r="P77" s="1764" t="s">
        <v>645</v>
      </c>
      <c r="Q77" s="1765"/>
      <c r="R77" s="1765"/>
      <c r="S77" s="1765"/>
      <c r="T77" s="1765"/>
      <c r="U77" s="1765"/>
      <c r="V77" s="1765"/>
      <c r="W77" s="1765"/>
      <c r="X77" s="1766"/>
    </row>
    <row r="78" spans="1:24" ht="16.5" thickBot="1">
      <c r="A78" s="1309">
        <v>100</v>
      </c>
      <c r="B78" s="1093" t="s">
        <v>3368</v>
      </c>
      <c r="C78" s="1093">
        <v>154.4</v>
      </c>
      <c r="D78" s="1093">
        <v>150</v>
      </c>
      <c r="E78" s="1093">
        <v>141.4</v>
      </c>
      <c r="F78" s="1093">
        <v>153.5</v>
      </c>
      <c r="G78" s="1310">
        <v>185.8</v>
      </c>
      <c r="H78" s="1093">
        <v>147.1</v>
      </c>
      <c r="I78" s="1093">
        <f t="shared" si="4"/>
        <v>185.8</v>
      </c>
      <c r="J78" s="1093"/>
      <c r="K78" s="1311">
        <v>610</v>
      </c>
      <c r="P78" s="1312" t="s">
        <v>3369</v>
      </c>
      <c r="Q78" s="1313" t="s">
        <v>3245</v>
      </c>
      <c r="R78" s="1314" t="s">
        <v>3246</v>
      </c>
      <c r="S78" s="1314" t="s">
        <v>3247</v>
      </c>
      <c r="T78" s="1314" t="s">
        <v>3248</v>
      </c>
      <c r="U78" s="1314" t="s">
        <v>3088</v>
      </c>
      <c r="V78" s="1314" t="s">
        <v>3362</v>
      </c>
      <c r="W78" s="1314" t="s">
        <v>3249</v>
      </c>
      <c r="X78" s="1315" t="s">
        <v>3077</v>
      </c>
    </row>
    <row r="79" spans="1:24">
      <c r="A79" s="1309">
        <v>110</v>
      </c>
      <c r="B79" s="1093" t="s">
        <v>3370</v>
      </c>
      <c r="C79" s="1093">
        <v>172.7</v>
      </c>
      <c r="D79" s="1093">
        <v>167.8</v>
      </c>
      <c r="E79" s="1093">
        <v>158.19999999999999</v>
      </c>
      <c r="F79" s="1093">
        <v>171.7</v>
      </c>
      <c r="G79" s="1310">
        <v>207.8</v>
      </c>
      <c r="H79" s="1093">
        <v>164.5</v>
      </c>
      <c r="I79" s="1093">
        <f t="shared" si="4"/>
        <v>207.8</v>
      </c>
      <c r="J79" s="1093"/>
      <c r="K79" s="1311">
        <v>730</v>
      </c>
      <c r="P79" s="1316">
        <v>0.55000000000000004</v>
      </c>
      <c r="Q79" s="1129">
        <v>1.2</v>
      </c>
      <c r="R79" s="1130">
        <v>1.2</v>
      </c>
      <c r="S79" s="1130">
        <v>1.2</v>
      </c>
      <c r="T79" s="1130">
        <v>1.1000000000000001</v>
      </c>
      <c r="U79" s="1130">
        <v>1.3</v>
      </c>
      <c r="V79" s="1130">
        <v>1.1000000000000001</v>
      </c>
      <c r="W79" s="1130" t="s">
        <v>1433</v>
      </c>
      <c r="X79" s="1246" t="s">
        <v>1433</v>
      </c>
    </row>
    <row r="80" spans="1:24">
      <c r="A80" s="1309">
        <v>125</v>
      </c>
      <c r="B80" s="1093" t="s">
        <v>3371</v>
      </c>
      <c r="C80" s="1093">
        <v>195.5</v>
      </c>
      <c r="D80" s="1093">
        <v>189.9</v>
      </c>
      <c r="E80" s="1093">
        <v>179</v>
      </c>
      <c r="F80" s="1093">
        <v>194.3</v>
      </c>
      <c r="G80" s="1310">
        <v>235.2</v>
      </c>
      <c r="H80" s="1093">
        <v>186.2</v>
      </c>
      <c r="I80" s="1093">
        <f t="shared" si="4"/>
        <v>235.2</v>
      </c>
      <c r="J80" s="1093"/>
      <c r="K80" s="1311">
        <v>800</v>
      </c>
      <c r="P80" s="1317">
        <v>0.75</v>
      </c>
      <c r="Q80" s="1127">
        <v>2.1</v>
      </c>
      <c r="R80" s="1093">
        <v>2.1</v>
      </c>
      <c r="S80" s="1093">
        <v>2.1</v>
      </c>
      <c r="T80" s="1093">
        <v>1.4</v>
      </c>
      <c r="U80" s="1093">
        <v>1.9</v>
      </c>
      <c r="V80" s="1093">
        <v>1.9</v>
      </c>
      <c r="W80" s="1093" t="s">
        <v>1433</v>
      </c>
      <c r="X80" s="1311" t="s">
        <v>1433</v>
      </c>
    </row>
    <row r="81" spans="1:24">
      <c r="A81" s="1309">
        <v>135</v>
      </c>
      <c r="B81" s="1093" t="s">
        <v>3372</v>
      </c>
      <c r="C81" s="1093">
        <v>212</v>
      </c>
      <c r="D81" s="1093">
        <v>205.9</v>
      </c>
      <c r="E81" s="1093">
        <v>194.1</v>
      </c>
      <c r="F81" s="1093">
        <v>210.7</v>
      </c>
      <c r="G81" s="1310">
        <v>255.1</v>
      </c>
      <c r="H81" s="1093">
        <v>201.9</v>
      </c>
      <c r="I81" s="1093">
        <f t="shared" si="4"/>
        <v>255.1</v>
      </c>
      <c r="J81" s="1093"/>
      <c r="K81" s="1311">
        <v>760</v>
      </c>
      <c r="P81" s="1317">
        <v>1.1000000000000001</v>
      </c>
      <c r="Q81" s="1127">
        <v>2.6</v>
      </c>
      <c r="R81" s="1093">
        <v>2.5</v>
      </c>
      <c r="S81" s="1093">
        <v>2.5</v>
      </c>
      <c r="T81" s="1093">
        <v>2.2000000000000002</v>
      </c>
      <c r="U81" s="1093">
        <v>2.4</v>
      </c>
      <c r="V81" s="1093">
        <v>2.4</v>
      </c>
      <c r="W81" s="1093" t="s">
        <v>1433</v>
      </c>
      <c r="X81" s="1311" t="s">
        <v>1433</v>
      </c>
    </row>
    <row r="82" spans="1:24">
      <c r="A82" s="1309">
        <v>140</v>
      </c>
      <c r="B82" s="1093" t="s">
        <v>3373</v>
      </c>
      <c r="C82" s="1093">
        <v>228.7</v>
      </c>
      <c r="D82" s="1093">
        <v>222.1</v>
      </c>
      <c r="E82" s="1093">
        <v>209.4</v>
      </c>
      <c r="F82" s="1093">
        <v>227.3</v>
      </c>
      <c r="G82" s="1310">
        <v>275.10000000000002</v>
      </c>
      <c r="H82" s="1093">
        <v>217.8</v>
      </c>
      <c r="I82" s="1093">
        <f t="shared" si="4"/>
        <v>275.10000000000002</v>
      </c>
      <c r="J82" s="1093"/>
      <c r="K82" s="1311">
        <v>820</v>
      </c>
      <c r="P82" s="1317">
        <v>1.5</v>
      </c>
      <c r="Q82" s="1127">
        <v>3.2</v>
      </c>
      <c r="R82" s="1127">
        <v>3.2</v>
      </c>
      <c r="S82" s="1127">
        <v>3.2</v>
      </c>
      <c r="T82" s="1093">
        <v>3.1</v>
      </c>
      <c r="U82" s="1093">
        <v>3.5</v>
      </c>
      <c r="V82" s="1093">
        <v>3.4</v>
      </c>
      <c r="W82" s="1093" t="s">
        <v>1433</v>
      </c>
      <c r="X82" s="1311" t="s">
        <v>1433</v>
      </c>
    </row>
    <row r="83" spans="1:24">
      <c r="A83" s="1309">
        <v>160</v>
      </c>
      <c r="B83" s="1093" t="s">
        <v>3374</v>
      </c>
      <c r="C83" s="1093">
        <v>234.9</v>
      </c>
      <c r="D83" s="1093">
        <v>228.2</v>
      </c>
      <c r="E83" s="1093">
        <v>215.1</v>
      </c>
      <c r="F83" s="1093">
        <v>233.4</v>
      </c>
      <c r="G83" s="1310">
        <v>282.60000000000002</v>
      </c>
      <c r="H83" s="1093">
        <v>223.7</v>
      </c>
      <c r="I83" s="1093">
        <f t="shared" si="4"/>
        <v>282.60000000000002</v>
      </c>
      <c r="J83" s="1093"/>
      <c r="K83" s="1311">
        <v>805</v>
      </c>
      <c r="P83" s="1317">
        <v>2.2000000000000002</v>
      </c>
      <c r="Q83" s="1127">
        <v>4.5</v>
      </c>
      <c r="R83" s="1093">
        <v>4.3</v>
      </c>
      <c r="S83" s="1093">
        <v>4.3</v>
      </c>
      <c r="T83" s="1093">
        <v>4.5</v>
      </c>
      <c r="U83" s="1093">
        <v>4.3</v>
      </c>
      <c r="V83" s="1093">
        <v>4.5</v>
      </c>
      <c r="W83" s="1093" t="s">
        <v>1433</v>
      </c>
      <c r="X83" s="1311" t="s">
        <v>1433</v>
      </c>
    </row>
    <row r="84" spans="1:24">
      <c r="A84" s="1309">
        <v>190</v>
      </c>
      <c r="B84" s="1093" t="s">
        <v>3375</v>
      </c>
      <c r="C84" s="1093">
        <v>288.39999999999998</v>
      </c>
      <c r="D84" s="1093">
        <v>280</v>
      </c>
      <c r="E84" s="1093">
        <v>264</v>
      </c>
      <c r="F84" s="1093">
        <v>286.60000000000002</v>
      </c>
      <c r="G84" s="1310">
        <v>346.9</v>
      </c>
      <c r="H84" s="1093">
        <v>274.60000000000002</v>
      </c>
      <c r="I84" s="1093">
        <f t="shared" si="4"/>
        <v>346.9</v>
      </c>
      <c r="J84" s="1093"/>
      <c r="K84" s="1311">
        <v>1099</v>
      </c>
      <c r="P84" s="1317">
        <v>3</v>
      </c>
      <c r="Q84" s="1127">
        <v>6.2</v>
      </c>
      <c r="R84" s="1093">
        <v>6</v>
      </c>
      <c r="S84" s="1093">
        <v>6</v>
      </c>
      <c r="T84" s="1093">
        <v>5.7</v>
      </c>
      <c r="U84" s="1093">
        <v>6.1</v>
      </c>
      <c r="V84" s="1093">
        <v>5.8</v>
      </c>
      <c r="W84" s="1093" t="s">
        <v>1433</v>
      </c>
      <c r="X84" s="1311" t="s">
        <v>1433</v>
      </c>
    </row>
    <row r="85" spans="1:24">
      <c r="A85" s="1309">
        <v>210</v>
      </c>
      <c r="B85" s="1093" t="s">
        <v>3377</v>
      </c>
      <c r="C85" s="1093">
        <v>315.2</v>
      </c>
      <c r="D85" s="1093">
        <v>306.10000000000002</v>
      </c>
      <c r="E85" s="1093">
        <v>288.60000000000002</v>
      </c>
      <c r="F85" s="1093">
        <v>313.2</v>
      </c>
      <c r="G85" s="1310">
        <v>379.2</v>
      </c>
      <c r="H85" s="1093">
        <v>300.2</v>
      </c>
      <c r="I85" s="1093">
        <f t="shared" si="4"/>
        <v>379.2</v>
      </c>
      <c r="J85" s="1093"/>
      <c r="K85" s="1311">
        <v>1140</v>
      </c>
      <c r="P85" s="1317">
        <v>4</v>
      </c>
      <c r="Q85" s="1127">
        <v>8.1999999999999993</v>
      </c>
      <c r="R85" s="1093">
        <v>8.1</v>
      </c>
      <c r="S85" s="1093">
        <v>8.1</v>
      </c>
      <c r="T85" s="1093">
        <v>7.6</v>
      </c>
      <c r="U85" s="1093">
        <v>8.1</v>
      </c>
      <c r="V85" s="1093">
        <v>7.7</v>
      </c>
      <c r="W85" s="1093" t="s">
        <v>1433</v>
      </c>
      <c r="X85" s="1311" t="s">
        <v>1433</v>
      </c>
    </row>
    <row r="86" spans="1:24">
      <c r="A86" s="1318">
        <v>220</v>
      </c>
      <c r="B86" s="1093" t="s">
        <v>3666</v>
      </c>
      <c r="C86" s="1093"/>
      <c r="D86" s="1093"/>
      <c r="E86" s="1093"/>
      <c r="F86" s="1093"/>
      <c r="G86" s="1310"/>
      <c r="H86" s="1093"/>
      <c r="I86" s="1093"/>
      <c r="J86" s="1093" t="s">
        <v>3376</v>
      </c>
      <c r="K86" s="1311">
        <v>1160</v>
      </c>
      <c r="P86" s="1317">
        <v>5.5</v>
      </c>
      <c r="Q86" s="1127">
        <v>11.7</v>
      </c>
      <c r="R86" s="1093">
        <v>11</v>
      </c>
      <c r="S86" s="1093">
        <v>11</v>
      </c>
      <c r="T86" s="1093">
        <v>9.9</v>
      </c>
      <c r="U86" s="1093">
        <v>11.1</v>
      </c>
      <c r="V86" s="1093">
        <v>10.8</v>
      </c>
      <c r="W86" s="1093" t="s">
        <v>1433</v>
      </c>
      <c r="X86" s="1311" t="s">
        <v>1433</v>
      </c>
    </row>
    <row r="87" spans="1:24">
      <c r="A87" s="1309">
        <v>240</v>
      </c>
      <c r="B87" s="1093" t="s">
        <v>3378</v>
      </c>
      <c r="C87" s="1093">
        <v>397.3</v>
      </c>
      <c r="D87" s="1093">
        <v>385.8</v>
      </c>
      <c r="E87" s="1093">
        <v>363.8</v>
      </c>
      <c r="F87" s="1093">
        <v>394.7</v>
      </c>
      <c r="G87" s="1310">
        <v>447.8</v>
      </c>
      <c r="H87" s="1093">
        <v>378.2</v>
      </c>
      <c r="I87" s="1093">
        <f t="shared" si="4"/>
        <v>447.8</v>
      </c>
      <c r="J87" s="1093"/>
      <c r="K87" s="1311">
        <v>1180</v>
      </c>
      <c r="P87" s="1317">
        <v>7.5</v>
      </c>
      <c r="Q87" s="1127">
        <v>14.3</v>
      </c>
      <c r="R87" s="1093">
        <v>13.8</v>
      </c>
      <c r="S87" s="1093">
        <v>13.8</v>
      </c>
      <c r="T87" s="1093">
        <v>12</v>
      </c>
      <c r="U87" s="1093">
        <v>14.6</v>
      </c>
      <c r="V87" s="1093">
        <v>14.1</v>
      </c>
      <c r="W87" s="1093" t="s">
        <v>1433</v>
      </c>
      <c r="X87" s="1311" t="s">
        <v>1433</v>
      </c>
    </row>
    <row r="88" spans="1:24" ht="15.75" thickBot="1">
      <c r="A88" s="1319">
        <v>250</v>
      </c>
      <c r="B88" s="1320" t="s">
        <v>3378</v>
      </c>
      <c r="C88" s="1320">
        <v>397.3</v>
      </c>
      <c r="D88" s="1320">
        <v>385.8</v>
      </c>
      <c r="E88" s="1320">
        <v>363.8</v>
      </c>
      <c r="F88" s="1320">
        <v>394.7</v>
      </c>
      <c r="G88" s="1320">
        <v>447.8</v>
      </c>
      <c r="H88" s="1320">
        <v>378.2</v>
      </c>
      <c r="I88" s="1320">
        <f t="shared" si="4"/>
        <v>447.8</v>
      </c>
      <c r="J88" s="1320" t="s">
        <v>3379</v>
      </c>
      <c r="K88" s="1321">
        <v>1180</v>
      </c>
      <c r="P88" s="1317">
        <v>9</v>
      </c>
      <c r="Q88" s="1127">
        <v>17.399999999999999</v>
      </c>
      <c r="R88" s="1093">
        <v>17</v>
      </c>
      <c r="S88" s="1093">
        <v>17</v>
      </c>
      <c r="T88" s="1093">
        <v>14.9</v>
      </c>
      <c r="U88" s="1093">
        <v>18.100000000000001</v>
      </c>
      <c r="V88" s="1093">
        <v>17.7</v>
      </c>
      <c r="W88" s="1093" t="s">
        <v>1433</v>
      </c>
      <c r="X88" s="1311" t="s">
        <v>1433</v>
      </c>
    </row>
    <row r="89" spans="1:24">
      <c r="P89" s="1317">
        <v>11</v>
      </c>
      <c r="Q89" s="1127">
        <v>21.1</v>
      </c>
      <c r="R89" s="1093">
        <v>20.5</v>
      </c>
      <c r="S89" s="1093">
        <v>20.5</v>
      </c>
      <c r="T89" s="1093">
        <v>17.8</v>
      </c>
      <c r="U89" s="1093">
        <v>21</v>
      </c>
      <c r="V89" s="1093">
        <v>21.1</v>
      </c>
      <c r="W89" s="1093" t="s">
        <v>1433</v>
      </c>
      <c r="X89" s="1311" t="s">
        <v>1433</v>
      </c>
    </row>
    <row r="90" spans="1:24">
      <c r="A90" s="1259" t="s">
        <v>3245</v>
      </c>
      <c r="B90" s="1093">
        <v>2</v>
      </c>
      <c r="P90" s="1317">
        <v>15</v>
      </c>
      <c r="Q90" s="1127">
        <v>28.7</v>
      </c>
      <c r="R90" s="1093">
        <v>27.7</v>
      </c>
      <c r="S90" s="1093">
        <v>27.7</v>
      </c>
      <c r="T90" s="1093">
        <v>24.2</v>
      </c>
      <c r="U90" s="1093">
        <v>28.4</v>
      </c>
      <c r="V90" s="1093">
        <v>27.2</v>
      </c>
      <c r="W90" s="1093" t="s">
        <v>1433</v>
      </c>
      <c r="X90" s="1311" t="s">
        <v>1433</v>
      </c>
    </row>
    <row r="91" spans="1:24">
      <c r="A91" s="1259" t="s">
        <v>3246</v>
      </c>
      <c r="B91" s="1093">
        <v>3</v>
      </c>
      <c r="P91" s="1317">
        <v>18.5</v>
      </c>
      <c r="Q91" s="1127">
        <v>35</v>
      </c>
      <c r="R91" s="1093">
        <v>33.700000000000003</v>
      </c>
      <c r="S91" s="1093">
        <v>33.700000000000003</v>
      </c>
      <c r="T91" s="1093">
        <v>29.5</v>
      </c>
      <c r="U91" s="1093">
        <v>35.6</v>
      </c>
      <c r="V91" s="1093">
        <v>35.6</v>
      </c>
      <c r="W91" s="1093" t="s">
        <v>1433</v>
      </c>
      <c r="X91" s="1311" t="s">
        <v>1433</v>
      </c>
    </row>
    <row r="92" spans="1:24">
      <c r="A92" s="1259" t="s">
        <v>3247</v>
      </c>
      <c r="B92" s="1093">
        <v>4</v>
      </c>
      <c r="P92" s="1317">
        <v>22</v>
      </c>
      <c r="Q92" s="1127">
        <v>42.2</v>
      </c>
      <c r="R92" s="1093">
        <v>41</v>
      </c>
      <c r="S92" s="1093">
        <v>41</v>
      </c>
      <c r="T92" s="1093">
        <v>36.4</v>
      </c>
      <c r="U92" s="1093">
        <v>43</v>
      </c>
      <c r="V92" s="1093">
        <v>43.1</v>
      </c>
      <c r="W92" s="1093" t="s">
        <v>1433</v>
      </c>
      <c r="X92" s="1311" t="s">
        <v>1433</v>
      </c>
    </row>
    <row r="93" spans="1:24">
      <c r="A93" s="1259" t="s">
        <v>3248</v>
      </c>
      <c r="B93" s="1093">
        <v>5</v>
      </c>
      <c r="P93" s="1317">
        <v>30</v>
      </c>
      <c r="Q93" s="1127">
        <v>57.1</v>
      </c>
      <c r="R93" s="1093">
        <v>58.2</v>
      </c>
      <c r="S93" s="1093">
        <v>58.2</v>
      </c>
      <c r="T93" s="1093">
        <v>48.1</v>
      </c>
      <c r="U93" s="1093">
        <v>57</v>
      </c>
      <c r="V93" s="1093">
        <v>56.1</v>
      </c>
      <c r="W93" s="1093" t="s">
        <v>1433</v>
      </c>
      <c r="X93" s="1311" t="s">
        <v>1433</v>
      </c>
    </row>
    <row r="94" spans="1:24">
      <c r="A94" s="1322" t="s">
        <v>3088</v>
      </c>
      <c r="B94" s="1093">
        <v>6</v>
      </c>
      <c r="P94" s="1317">
        <v>37</v>
      </c>
      <c r="Q94" s="1127">
        <v>69.8</v>
      </c>
      <c r="R94" s="1093">
        <v>69.8</v>
      </c>
      <c r="S94" s="1093">
        <v>69.8</v>
      </c>
      <c r="T94" s="1093">
        <v>58.3</v>
      </c>
      <c r="U94" s="1093">
        <v>75</v>
      </c>
      <c r="V94" s="1093">
        <v>72.099999999999994</v>
      </c>
      <c r="W94" s="1093" t="s">
        <v>1433</v>
      </c>
      <c r="X94" s="1311" t="s">
        <v>1433</v>
      </c>
    </row>
    <row r="95" spans="1:24">
      <c r="A95" s="1259" t="s">
        <v>3249</v>
      </c>
      <c r="B95" s="1093">
        <v>7</v>
      </c>
      <c r="P95" s="1317">
        <v>45</v>
      </c>
      <c r="Q95" s="1127">
        <v>86.2</v>
      </c>
      <c r="R95" s="1093">
        <v>83</v>
      </c>
      <c r="S95" s="1093">
        <v>83</v>
      </c>
      <c r="T95" s="1093">
        <v>72.3</v>
      </c>
      <c r="U95" s="1093">
        <v>88</v>
      </c>
      <c r="V95" s="1093">
        <v>88</v>
      </c>
      <c r="W95" s="1093" t="s">
        <v>1433</v>
      </c>
      <c r="X95" s="1311" t="s">
        <v>1433</v>
      </c>
    </row>
    <row r="96" spans="1:24">
      <c r="A96" s="1259" t="s">
        <v>3077</v>
      </c>
      <c r="B96" s="1093">
        <v>8</v>
      </c>
      <c r="P96" s="1317">
        <v>55</v>
      </c>
      <c r="Q96" s="1127">
        <v>105</v>
      </c>
      <c r="R96" s="1093">
        <v>101</v>
      </c>
      <c r="S96" s="1093">
        <v>101</v>
      </c>
      <c r="T96" s="1093">
        <v>87.9</v>
      </c>
      <c r="U96" s="1093">
        <v>104</v>
      </c>
      <c r="V96" s="1093">
        <v>100</v>
      </c>
      <c r="W96" s="1093" t="s">
        <v>1433</v>
      </c>
      <c r="X96" s="1311" t="s">
        <v>1433</v>
      </c>
    </row>
    <row r="97" spans="1:24" ht="15.75" thickBot="1">
      <c r="P97" s="1323">
        <v>75</v>
      </c>
      <c r="Q97" s="1248" t="s">
        <v>1433</v>
      </c>
      <c r="R97" s="1290" t="s">
        <v>1433</v>
      </c>
      <c r="S97" s="1290"/>
      <c r="T97" s="1290" t="s">
        <v>1433</v>
      </c>
      <c r="U97" s="1290">
        <v>142.5</v>
      </c>
      <c r="V97" s="1290">
        <v>138</v>
      </c>
      <c r="W97" s="1290" t="s">
        <v>1433</v>
      </c>
      <c r="X97" s="1324" t="s">
        <v>1433</v>
      </c>
    </row>
    <row r="98" spans="1:24" ht="16.5" thickBot="1">
      <c r="A98" s="1761" t="s">
        <v>3380</v>
      </c>
      <c r="B98" s="1762"/>
      <c r="C98" s="1762"/>
      <c r="D98" s="1762"/>
      <c r="E98" s="1762"/>
      <c r="F98" s="1762"/>
      <c r="G98" s="1762"/>
      <c r="H98" s="1762"/>
      <c r="I98" s="1763"/>
    </row>
    <row r="99" spans="1:24" ht="15.75" thickBot="1">
      <c r="A99" s="1302" t="s">
        <v>3361</v>
      </c>
      <c r="B99" s="1303" t="s">
        <v>0</v>
      </c>
      <c r="C99" s="1303" t="s">
        <v>3245</v>
      </c>
      <c r="D99" s="1303" t="s">
        <v>3246</v>
      </c>
      <c r="E99" s="1303" t="s">
        <v>3247</v>
      </c>
      <c r="F99" s="1303" t="s">
        <v>3248</v>
      </c>
      <c r="G99" s="1304" t="s">
        <v>3088</v>
      </c>
      <c r="H99" s="1303" t="s">
        <v>2176</v>
      </c>
      <c r="I99" s="1325" t="s">
        <v>3362</v>
      </c>
    </row>
    <row r="100" spans="1:24">
      <c r="A100" s="1326">
        <v>50</v>
      </c>
      <c r="B100" s="1130" t="s">
        <v>3364</v>
      </c>
      <c r="C100" s="1130">
        <v>60.4</v>
      </c>
      <c r="D100" s="1130">
        <v>58.7</v>
      </c>
      <c r="E100" s="1130">
        <v>55.3</v>
      </c>
      <c r="F100" s="1130">
        <v>60.1</v>
      </c>
      <c r="G100" s="1130">
        <v>72.7</v>
      </c>
      <c r="H100" s="1130">
        <v>57.6</v>
      </c>
      <c r="I100" s="1246">
        <f>G100</f>
        <v>72.7</v>
      </c>
    </row>
    <row r="101" spans="1:24">
      <c r="A101" s="1309">
        <v>70</v>
      </c>
      <c r="B101" s="1093" t="s">
        <v>3365</v>
      </c>
      <c r="C101" s="1093">
        <v>77.8</v>
      </c>
      <c r="D101" s="1093">
        <v>75.599999999999994</v>
      </c>
      <c r="E101" s="1093">
        <v>71.3</v>
      </c>
      <c r="F101" s="1093">
        <v>77.3</v>
      </c>
      <c r="G101" s="1093">
        <v>93.6</v>
      </c>
      <c r="H101" s="1093">
        <v>74.099999999999994</v>
      </c>
      <c r="I101" s="1246">
        <f t="shared" ref="I101:I114" si="5">G101</f>
        <v>93.6</v>
      </c>
    </row>
    <row r="102" spans="1:24">
      <c r="A102" s="1309">
        <v>80</v>
      </c>
      <c r="B102" s="1093" t="s">
        <v>3366</v>
      </c>
      <c r="C102" s="1093">
        <v>90.6</v>
      </c>
      <c r="D102" s="1093">
        <v>88</v>
      </c>
      <c r="E102" s="1093">
        <v>82.9</v>
      </c>
      <c r="F102" s="1093">
        <v>90</v>
      </c>
      <c r="G102" s="1093">
        <v>108.9</v>
      </c>
      <c r="H102" s="1093">
        <v>86.2</v>
      </c>
      <c r="I102" s="1246">
        <f t="shared" si="5"/>
        <v>108.9</v>
      </c>
    </row>
    <row r="103" spans="1:24">
      <c r="A103" s="1309">
        <v>90</v>
      </c>
      <c r="B103" s="1093" t="s">
        <v>3367</v>
      </c>
      <c r="C103" s="1093">
        <v>103.8</v>
      </c>
      <c r="D103" s="1093">
        <v>100.8</v>
      </c>
      <c r="E103" s="1093">
        <v>95</v>
      </c>
      <c r="F103" s="1093">
        <v>103.1</v>
      </c>
      <c r="G103" s="1093">
        <v>124.8</v>
      </c>
      <c r="H103" s="1093">
        <v>98.8</v>
      </c>
      <c r="I103" s="1246">
        <f t="shared" si="5"/>
        <v>124.8</v>
      </c>
    </row>
    <row r="104" spans="1:24">
      <c r="A104" s="1309">
        <v>100</v>
      </c>
      <c r="B104" s="1093" t="s">
        <v>3368</v>
      </c>
      <c r="C104" s="1093">
        <v>111.7</v>
      </c>
      <c r="D104" s="1093">
        <v>108.5</v>
      </c>
      <c r="E104" s="1093">
        <v>102.3</v>
      </c>
      <c r="F104" s="1093">
        <v>111</v>
      </c>
      <c r="G104" s="1093">
        <v>134.4</v>
      </c>
      <c r="H104" s="1093">
        <v>106.4</v>
      </c>
      <c r="I104" s="1246">
        <f t="shared" si="5"/>
        <v>134.4</v>
      </c>
    </row>
    <row r="105" spans="1:24">
      <c r="A105" s="1309">
        <v>110</v>
      </c>
      <c r="B105" s="1093" t="s">
        <v>3370</v>
      </c>
      <c r="C105" s="1093">
        <v>127.1</v>
      </c>
      <c r="D105" s="1093">
        <v>123.5</v>
      </c>
      <c r="E105" s="1093">
        <v>116.4</v>
      </c>
      <c r="F105" s="1093">
        <v>126.3</v>
      </c>
      <c r="G105" s="1093">
        <v>152.80000000000001</v>
      </c>
      <c r="H105" s="1093">
        <v>121</v>
      </c>
      <c r="I105" s="1246">
        <f t="shared" si="5"/>
        <v>152.80000000000001</v>
      </c>
    </row>
    <row r="106" spans="1:24">
      <c r="A106" s="1309">
        <v>125</v>
      </c>
      <c r="B106" s="1093" t="s">
        <v>3371</v>
      </c>
      <c r="C106" s="1093">
        <v>143.4</v>
      </c>
      <c r="D106" s="1093">
        <v>139.4</v>
      </c>
      <c r="E106" s="1093">
        <v>131.30000000000001</v>
      </c>
      <c r="F106" s="1093">
        <v>142.5</v>
      </c>
      <c r="G106" s="1093">
        <v>172.5</v>
      </c>
      <c r="H106" s="1093">
        <v>136.6</v>
      </c>
      <c r="I106" s="1246">
        <f t="shared" si="5"/>
        <v>172.5</v>
      </c>
    </row>
    <row r="107" spans="1:24">
      <c r="A107" s="1309">
        <v>135</v>
      </c>
      <c r="B107" s="1093" t="s">
        <v>3372</v>
      </c>
      <c r="C107" s="1093">
        <v>154.1</v>
      </c>
      <c r="D107" s="1093">
        <v>149.69999999999999</v>
      </c>
      <c r="E107" s="1093">
        <v>141.1</v>
      </c>
      <c r="F107" s="1093">
        <v>153.1</v>
      </c>
      <c r="G107" s="1093">
        <v>185.3</v>
      </c>
      <c r="H107" s="1093">
        <v>146.69999999999999</v>
      </c>
      <c r="I107" s="1246">
        <f t="shared" si="5"/>
        <v>185.3</v>
      </c>
    </row>
    <row r="108" spans="1:24">
      <c r="A108" s="1309">
        <v>140</v>
      </c>
      <c r="B108" s="1093" t="s">
        <v>3373</v>
      </c>
      <c r="C108" s="1093">
        <v>163.5</v>
      </c>
      <c r="D108" s="1093">
        <v>158.80000000000001</v>
      </c>
      <c r="E108" s="1093">
        <v>149.69999999999999</v>
      </c>
      <c r="F108" s="1093">
        <v>162.5</v>
      </c>
      <c r="G108" s="1093">
        <v>196.7</v>
      </c>
      <c r="H108" s="1093">
        <v>155.69999999999999</v>
      </c>
      <c r="I108" s="1246">
        <f t="shared" si="5"/>
        <v>196.7</v>
      </c>
    </row>
    <row r="109" spans="1:24">
      <c r="A109" s="1309">
        <v>160</v>
      </c>
      <c r="B109" s="1093" t="s">
        <v>3374</v>
      </c>
      <c r="C109" s="1093">
        <v>168.5</v>
      </c>
      <c r="D109" s="1093">
        <v>163.69999999999999</v>
      </c>
      <c r="E109" s="1093">
        <v>154.30000000000001</v>
      </c>
      <c r="F109" s="1093">
        <v>167.5</v>
      </c>
      <c r="G109" s="1093">
        <v>202.7</v>
      </c>
      <c r="H109" s="1093">
        <v>160.5</v>
      </c>
      <c r="I109" s="1246">
        <f t="shared" si="5"/>
        <v>202.7</v>
      </c>
    </row>
    <row r="110" spans="1:24">
      <c r="A110" s="1309">
        <v>180</v>
      </c>
      <c r="B110" s="1093" t="s">
        <v>3375</v>
      </c>
      <c r="C110" s="1093">
        <v>216.1</v>
      </c>
      <c r="D110" s="1093">
        <v>210.1</v>
      </c>
      <c r="E110" s="1093">
        <v>197.9</v>
      </c>
      <c r="F110" s="1093">
        <v>214.7</v>
      </c>
      <c r="G110" s="1093">
        <v>260</v>
      </c>
      <c r="H110" s="1093">
        <v>205.8</v>
      </c>
      <c r="I110" s="1246">
        <f t="shared" si="5"/>
        <v>260</v>
      </c>
    </row>
    <row r="111" spans="1:24">
      <c r="A111" s="1318">
        <v>190</v>
      </c>
      <c r="B111" s="1093" t="s">
        <v>3375</v>
      </c>
      <c r="C111" s="1093">
        <v>216.1</v>
      </c>
      <c r="D111" s="1093">
        <v>210.1</v>
      </c>
      <c r="E111" s="1093">
        <v>197.9</v>
      </c>
      <c r="F111" s="1093">
        <v>214.7</v>
      </c>
      <c r="G111" s="1093">
        <v>260</v>
      </c>
      <c r="H111" s="1093">
        <v>205.8</v>
      </c>
      <c r="I111" s="1246">
        <f t="shared" si="5"/>
        <v>260</v>
      </c>
    </row>
    <row r="112" spans="1:24">
      <c r="A112" s="1309">
        <v>210</v>
      </c>
      <c r="B112" s="1093" t="s">
        <v>3377</v>
      </c>
      <c r="C112" s="1093">
        <v>231.5</v>
      </c>
      <c r="D112" s="1093">
        <v>224.9</v>
      </c>
      <c r="E112" s="1093">
        <v>212</v>
      </c>
      <c r="F112" s="1093">
        <v>230</v>
      </c>
      <c r="G112" s="1093">
        <v>278.39999999999998</v>
      </c>
      <c r="H112" s="1093">
        <v>220.4</v>
      </c>
      <c r="I112" s="1246">
        <f t="shared" si="5"/>
        <v>278.39999999999998</v>
      </c>
    </row>
    <row r="113" spans="1:9">
      <c r="A113" s="1309">
        <v>240</v>
      </c>
      <c r="B113" s="1093" t="s">
        <v>3378</v>
      </c>
      <c r="C113" s="1093">
        <v>286.8</v>
      </c>
      <c r="D113" s="1093">
        <v>278.5</v>
      </c>
      <c r="E113" s="1093">
        <v>262.60000000000002</v>
      </c>
      <c r="F113" s="1093">
        <v>285</v>
      </c>
      <c r="G113" s="1093">
        <v>345</v>
      </c>
      <c r="H113" s="1093">
        <v>273.10000000000002</v>
      </c>
      <c r="I113" s="1246">
        <f t="shared" si="5"/>
        <v>345</v>
      </c>
    </row>
    <row r="114" spans="1:9" ht="15.75" thickBot="1">
      <c r="A114" s="1319">
        <v>250</v>
      </c>
      <c r="B114" s="1320" t="s">
        <v>3378</v>
      </c>
      <c r="C114" s="1290">
        <v>286.8</v>
      </c>
      <c r="D114" s="1290">
        <v>278.5</v>
      </c>
      <c r="E114" s="1290">
        <v>262.60000000000002</v>
      </c>
      <c r="F114" s="1290">
        <v>285</v>
      </c>
      <c r="G114" s="1290">
        <v>345</v>
      </c>
      <c r="H114" s="1290">
        <v>273.10000000000002</v>
      </c>
      <c r="I114" s="1327">
        <f t="shared" si="5"/>
        <v>345</v>
      </c>
    </row>
  </sheetData>
  <mergeCells count="21">
    <mergeCell ref="A72:K72"/>
    <mergeCell ref="P77:X77"/>
    <mergeCell ref="A98:I98"/>
    <mergeCell ref="B10:H10"/>
    <mergeCell ref="N13:N18"/>
    <mergeCell ref="P13:P18"/>
    <mergeCell ref="Q13:Q18"/>
    <mergeCell ref="R13:R18"/>
    <mergeCell ref="P50:P51"/>
    <mergeCell ref="AE2:AE3"/>
    <mergeCell ref="AF2:AF3"/>
    <mergeCell ref="AG2:AG3"/>
    <mergeCell ref="N7:N12"/>
    <mergeCell ref="Q7:Q12"/>
    <mergeCell ref="R7:R12"/>
    <mergeCell ref="AD2:AD3"/>
    <mergeCell ref="B2:H2"/>
    <mergeCell ref="Z2:Z4"/>
    <mergeCell ref="AA2:AA3"/>
    <mergeCell ref="AB2:AB3"/>
    <mergeCell ref="AC2:AC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9E70B-BA2A-4AC7-9F4B-A44AB5EAA2E4}">
  <sheetPr codeName="L5_Schneider_Sound"/>
  <dimension ref="A1:AC296"/>
  <sheetViews>
    <sheetView topLeftCell="L78" workbookViewId="0">
      <selection activeCell="T90" sqref="T90"/>
    </sheetView>
  </sheetViews>
  <sheetFormatPr defaultRowHeight="15.75"/>
  <cols>
    <col min="1" max="1" width="31" style="1328" customWidth="1"/>
    <col min="2" max="2" width="47.28515625" style="1328" bestFit="1" customWidth="1"/>
    <col min="3" max="3" width="8.7109375" style="1328" customWidth="1"/>
    <col min="4" max="18" width="9.140625" style="1328"/>
    <col min="19" max="19" width="24.85546875" style="1328" bestFit="1" customWidth="1"/>
    <col min="20" max="20" width="26.5703125" style="1328" bestFit="1" customWidth="1"/>
    <col min="21" max="21" width="19.85546875" style="1328" customWidth="1"/>
    <col min="22" max="29" width="14.7109375" style="1328" bestFit="1" customWidth="1"/>
    <col min="30" max="256" width="9.140625" style="1328"/>
    <col min="257" max="257" width="31" style="1328" customWidth="1"/>
    <col min="258" max="258" width="47.28515625" style="1328" bestFit="1" customWidth="1"/>
    <col min="259" max="259" width="8.7109375" style="1328" customWidth="1"/>
    <col min="260" max="512" width="9.140625" style="1328"/>
    <col min="513" max="513" width="31" style="1328" customWidth="1"/>
    <col min="514" max="514" width="47.28515625" style="1328" bestFit="1" customWidth="1"/>
    <col min="515" max="515" width="8.7109375" style="1328" customWidth="1"/>
    <col min="516" max="768" width="9.140625" style="1328"/>
    <col min="769" max="769" width="31" style="1328" customWidth="1"/>
    <col min="770" max="770" width="47.28515625" style="1328" bestFit="1" customWidth="1"/>
    <col min="771" max="771" width="8.7109375" style="1328" customWidth="1"/>
    <col min="772" max="1024" width="9.140625" style="1328"/>
    <col min="1025" max="1025" width="31" style="1328" customWidth="1"/>
    <col min="1026" max="1026" width="47.28515625" style="1328" bestFit="1" customWidth="1"/>
    <col min="1027" max="1027" width="8.7109375" style="1328" customWidth="1"/>
    <col min="1028" max="1280" width="9.140625" style="1328"/>
    <col min="1281" max="1281" width="31" style="1328" customWidth="1"/>
    <col min="1282" max="1282" width="47.28515625" style="1328" bestFit="1" customWidth="1"/>
    <col min="1283" max="1283" width="8.7109375" style="1328" customWidth="1"/>
    <col min="1284" max="1536" width="9.140625" style="1328"/>
    <col min="1537" max="1537" width="31" style="1328" customWidth="1"/>
    <col min="1538" max="1538" width="47.28515625" style="1328" bestFit="1" customWidth="1"/>
    <col min="1539" max="1539" width="8.7109375" style="1328" customWidth="1"/>
    <col min="1540" max="1792" width="9.140625" style="1328"/>
    <col min="1793" max="1793" width="31" style="1328" customWidth="1"/>
    <col min="1794" max="1794" width="47.28515625" style="1328" bestFit="1" customWidth="1"/>
    <col min="1795" max="1795" width="8.7109375" style="1328" customWidth="1"/>
    <col min="1796" max="2048" width="9.140625" style="1328"/>
    <col min="2049" max="2049" width="31" style="1328" customWidth="1"/>
    <col min="2050" max="2050" width="47.28515625" style="1328" bestFit="1" customWidth="1"/>
    <col min="2051" max="2051" width="8.7109375" style="1328" customWidth="1"/>
    <col min="2052" max="2304" width="9.140625" style="1328"/>
    <col min="2305" max="2305" width="31" style="1328" customWidth="1"/>
    <col min="2306" max="2306" width="47.28515625" style="1328" bestFit="1" customWidth="1"/>
    <col min="2307" max="2307" width="8.7109375" style="1328" customWidth="1"/>
    <col min="2308" max="2560" width="9.140625" style="1328"/>
    <col min="2561" max="2561" width="31" style="1328" customWidth="1"/>
    <col min="2562" max="2562" width="47.28515625" style="1328" bestFit="1" customWidth="1"/>
    <col min="2563" max="2563" width="8.7109375" style="1328" customWidth="1"/>
    <col min="2564" max="2816" width="9.140625" style="1328"/>
    <col min="2817" max="2817" width="31" style="1328" customWidth="1"/>
    <col min="2818" max="2818" width="47.28515625" style="1328" bestFit="1" customWidth="1"/>
    <col min="2819" max="2819" width="8.7109375" style="1328" customWidth="1"/>
    <col min="2820" max="3072" width="9.140625" style="1328"/>
    <col min="3073" max="3073" width="31" style="1328" customWidth="1"/>
    <col min="3074" max="3074" width="47.28515625" style="1328" bestFit="1" customWidth="1"/>
    <col min="3075" max="3075" width="8.7109375" style="1328" customWidth="1"/>
    <col min="3076" max="3328" width="9.140625" style="1328"/>
    <col min="3329" max="3329" width="31" style="1328" customWidth="1"/>
    <col min="3330" max="3330" width="47.28515625" style="1328" bestFit="1" customWidth="1"/>
    <col min="3331" max="3331" width="8.7109375" style="1328" customWidth="1"/>
    <col min="3332" max="3584" width="9.140625" style="1328"/>
    <col min="3585" max="3585" width="31" style="1328" customWidth="1"/>
    <col min="3586" max="3586" width="47.28515625" style="1328" bestFit="1" customWidth="1"/>
    <col min="3587" max="3587" width="8.7109375" style="1328" customWidth="1"/>
    <col min="3588" max="3840" width="9.140625" style="1328"/>
    <col min="3841" max="3841" width="31" style="1328" customWidth="1"/>
    <col min="3842" max="3842" width="47.28515625" style="1328" bestFit="1" customWidth="1"/>
    <col min="3843" max="3843" width="8.7109375" style="1328" customWidth="1"/>
    <col min="3844" max="4096" width="9.140625" style="1328"/>
    <col min="4097" max="4097" width="31" style="1328" customWidth="1"/>
    <col min="4098" max="4098" width="47.28515625" style="1328" bestFit="1" customWidth="1"/>
    <col min="4099" max="4099" width="8.7109375" style="1328" customWidth="1"/>
    <col min="4100" max="4352" width="9.140625" style="1328"/>
    <col min="4353" max="4353" width="31" style="1328" customWidth="1"/>
    <col min="4354" max="4354" width="47.28515625" style="1328" bestFit="1" customWidth="1"/>
    <col min="4355" max="4355" width="8.7109375" style="1328" customWidth="1"/>
    <col min="4356" max="4608" width="9.140625" style="1328"/>
    <col min="4609" max="4609" width="31" style="1328" customWidth="1"/>
    <col min="4610" max="4610" width="47.28515625" style="1328" bestFit="1" customWidth="1"/>
    <col min="4611" max="4611" width="8.7109375" style="1328" customWidth="1"/>
    <col min="4612" max="4864" width="9.140625" style="1328"/>
    <col min="4865" max="4865" width="31" style="1328" customWidth="1"/>
    <col min="4866" max="4866" width="47.28515625" style="1328" bestFit="1" customWidth="1"/>
    <col min="4867" max="4867" width="8.7109375" style="1328" customWidth="1"/>
    <col min="4868" max="5120" width="9.140625" style="1328"/>
    <col min="5121" max="5121" width="31" style="1328" customWidth="1"/>
    <col min="5122" max="5122" width="47.28515625" style="1328" bestFit="1" customWidth="1"/>
    <col min="5123" max="5123" width="8.7109375" style="1328" customWidth="1"/>
    <col min="5124" max="5376" width="9.140625" style="1328"/>
    <col min="5377" max="5377" width="31" style="1328" customWidth="1"/>
    <col min="5378" max="5378" width="47.28515625" style="1328" bestFit="1" customWidth="1"/>
    <col min="5379" max="5379" width="8.7109375" style="1328" customWidth="1"/>
    <col min="5380" max="5632" width="9.140625" style="1328"/>
    <col min="5633" max="5633" width="31" style="1328" customWidth="1"/>
    <col min="5634" max="5634" width="47.28515625" style="1328" bestFit="1" customWidth="1"/>
    <col min="5635" max="5635" width="8.7109375" style="1328" customWidth="1"/>
    <col min="5636" max="5888" width="9.140625" style="1328"/>
    <col min="5889" max="5889" width="31" style="1328" customWidth="1"/>
    <col min="5890" max="5890" width="47.28515625" style="1328" bestFit="1" customWidth="1"/>
    <col min="5891" max="5891" width="8.7109375" style="1328" customWidth="1"/>
    <col min="5892" max="6144" width="9.140625" style="1328"/>
    <col min="6145" max="6145" width="31" style="1328" customWidth="1"/>
    <col min="6146" max="6146" width="47.28515625" style="1328" bestFit="1" customWidth="1"/>
    <col min="6147" max="6147" width="8.7109375" style="1328" customWidth="1"/>
    <col min="6148" max="6400" width="9.140625" style="1328"/>
    <col min="6401" max="6401" width="31" style="1328" customWidth="1"/>
    <col min="6402" max="6402" width="47.28515625" style="1328" bestFit="1" customWidth="1"/>
    <col min="6403" max="6403" width="8.7109375" style="1328" customWidth="1"/>
    <col min="6404" max="6656" width="9.140625" style="1328"/>
    <col min="6657" max="6657" width="31" style="1328" customWidth="1"/>
    <col min="6658" max="6658" width="47.28515625" style="1328" bestFit="1" customWidth="1"/>
    <col min="6659" max="6659" width="8.7109375" style="1328" customWidth="1"/>
    <col min="6660" max="6912" width="9.140625" style="1328"/>
    <col min="6913" max="6913" width="31" style="1328" customWidth="1"/>
    <col min="6914" max="6914" width="47.28515625" style="1328" bestFit="1" customWidth="1"/>
    <col min="6915" max="6915" width="8.7109375" style="1328" customWidth="1"/>
    <col min="6916" max="7168" width="9.140625" style="1328"/>
    <col min="7169" max="7169" width="31" style="1328" customWidth="1"/>
    <col min="7170" max="7170" width="47.28515625" style="1328" bestFit="1" customWidth="1"/>
    <col min="7171" max="7171" width="8.7109375" style="1328" customWidth="1"/>
    <col min="7172" max="7424" width="9.140625" style="1328"/>
    <col min="7425" max="7425" width="31" style="1328" customWidth="1"/>
    <col min="7426" max="7426" width="47.28515625" style="1328" bestFit="1" customWidth="1"/>
    <col min="7427" max="7427" width="8.7109375" style="1328" customWidth="1"/>
    <col min="7428" max="7680" width="9.140625" style="1328"/>
    <col min="7681" max="7681" width="31" style="1328" customWidth="1"/>
    <col min="7682" max="7682" width="47.28515625" style="1328" bestFit="1" customWidth="1"/>
    <col min="7683" max="7683" width="8.7109375" style="1328" customWidth="1"/>
    <col min="7684" max="7936" width="9.140625" style="1328"/>
    <col min="7937" max="7937" width="31" style="1328" customWidth="1"/>
    <col min="7938" max="7938" width="47.28515625" style="1328" bestFit="1" customWidth="1"/>
    <col min="7939" max="7939" width="8.7109375" style="1328" customWidth="1"/>
    <col min="7940" max="8192" width="9.140625" style="1328"/>
    <col min="8193" max="8193" width="31" style="1328" customWidth="1"/>
    <col min="8194" max="8194" width="47.28515625" style="1328" bestFit="1" customWidth="1"/>
    <col min="8195" max="8195" width="8.7109375" style="1328" customWidth="1"/>
    <col min="8196" max="8448" width="9.140625" style="1328"/>
    <col min="8449" max="8449" width="31" style="1328" customWidth="1"/>
    <col min="8450" max="8450" width="47.28515625" style="1328" bestFit="1" customWidth="1"/>
    <col min="8451" max="8451" width="8.7109375" style="1328" customWidth="1"/>
    <col min="8452" max="8704" width="9.140625" style="1328"/>
    <col min="8705" max="8705" width="31" style="1328" customWidth="1"/>
    <col min="8706" max="8706" width="47.28515625" style="1328" bestFit="1" customWidth="1"/>
    <col min="8707" max="8707" width="8.7109375" style="1328" customWidth="1"/>
    <col min="8708" max="8960" width="9.140625" style="1328"/>
    <col min="8961" max="8961" width="31" style="1328" customWidth="1"/>
    <col min="8962" max="8962" width="47.28515625" style="1328" bestFit="1" customWidth="1"/>
    <col min="8963" max="8963" width="8.7109375" style="1328" customWidth="1"/>
    <col min="8964" max="9216" width="9.140625" style="1328"/>
    <col min="9217" max="9217" width="31" style="1328" customWidth="1"/>
    <col min="9218" max="9218" width="47.28515625" style="1328" bestFit="1" customWidth="1"/>
    <col min="9219" max="9219" width="8.7109375" style="1328" customWidth="1"/>
    <col min="9220" max="9472" width="9.140625" style="1328"/>
    <col min="9473" max="9473" width="31" style="1328" customWidth="1"/>
    <col min="9474" max="9474" width="47.28515625" style="1328" bestFit="1" customWidth="1"/>
    <col min="9475" max="9475" width="8.7109375" style="1328" customWidth="1"/>
    <col min="9476" max="9728" width="9.140625" style="1328"/>
    <col min="9729" max="9729" width="31" style="1328" customWidth="1"/>
    <col min="9730" max="9730" width="47.28515625" style="1328" bestFit="1" customWidth="1"/>
    <col min="9731" max="9731" width="8.7109375" style="1328" customWidth="1"/>
    <col min="9732" max="9984" width="9.140625" style="1328"/>
    <col min="9985" max="9985" width="31" style="1328" customWidth="1"/>
    <col min="9986" max="9986" width="47.28515625" style="1328" bestFit="1" customWidth="1"/>
    <col min="9987" max="9987" width="8.7109375" style="1328" customWidth="1"/>
    <col min="9988" max="10240" width="9.140625" style="1328"/>
    <col min="10241" max="10241" width="31" style="1328" customWidth="1"/>
    <col min="10242" max="10242" width="47.28515625" style="1328" bestFit="1" customWidth="1"/>
    <col min="10243" max="10243" width="8.7109375" style="1328" customWidth="1"/>
    <col min="10244" max="10496" width="9.140625" style="1328"/>
    <col min="10497" max="10497" width="31" style="1328" customWidth="1"/>
    <col min="10498" max="10498" width="47.28515625" style="1328" bestFit="1" customWidth="1"/>
    <col min="10499" max="10499" width="8.7109375" style="1328" customWidth="1"/>
    <col min="10500" max="10752" width="9.140625" style="1328"/>
    <col min="10753" max="10753" width="31" style="1328" customWidth="1"/>
    <col min="10754" max="10754" width="47.28515625" style="1328" bestFit="1" customWidth="1"/>
    <col min="10755" max="10755" width="8.7109375" style="1328" customWidth="1"/>
    <col min="10756" max="11008" width="9.140625" style="1328"/>
    <col min="11009" max="11009" width="31" style="1328" customWidth="1"/>
    <col min="11010" max="11010" width="47.28515625" style="1328" bestFit="1" customWidth="1"/>
    <col min="11011" max="11011" width="8.7109375" style="1328" customWidth="1"/>
    <col min="11012" max="11264" width="9.140625" style="1328"/>
    <col min="11265" max="11265" width="31" style="1328" customWidth="1"/>
    <col min="11266" max="11266" width="47.28515625" style="1328" bestFit="1" customWidth="1"/>
    <col min="11267" max="11267" width="8.7109375" style="1328" customWidth="1"/>
    <col min="11268" max="11520" width="9.140625" style="1328"/>
    <col min="11521" max="11521" width="31" style="1328" customWidth="1"/>
    <col min="11522" max="11522" width="47.28515625" style="1328" bestFit="1" customWidth="1"/>
    <col min="11523" max="11523" width="8.7109375" style="1328" customWidth="1"/>
    <col min="11524" max="11776" width="9.140625" style="1328"/>
    <col min="11777" max="11777" width="31" style="1328" customWidth="1"/>
    <col min="11778" max="11778" width="47.28515625" style="1328" bestFit="1" customWidth="1"/>
    <col min="11779" max="11779" width="8.7109375" style="1328" customWidth="1"/>
    <col min="11780" max="12032" width="9.140625" style="1328"/>
    <col min="12033" max="12033" width="31" style="1328" customWidth="1"/>
    <col min="12034" max="12034" width="47.28515625" style="1328" bestFit="1" customWidth="1"/>
    <col min="12035" max="12035" width="8.7109375" style="1328" customWidth="1"/>
    <col min="12036" max="12288" width="9.140625" style="1328"/>
    <col min="12289" max="12289" width="31" style="1328" customWidth="1"/>
    <col min="12290" max="12290" width="47.28515625" style="1328" bestFit="1" customWidth="1"/>
    <col min="12291" max="12291" width="8.7109375" style="1328" customWidth="1"/>
    <col min="12292" max="12544" width="9.140625" style="1328"/>
    <col min="12545" max="12545" width="31" style="1328" customWidth="1"/>
    <col min="12546" max="12546" width="47.28515625" style="1328" bestFit="1" customWidth="1"/>
    <col min="12547" max="12547" width="8.7109375" style="1328" customWidth="1"/>
    <col min="12548" max="12800" width="9.140625" style="1328"/>
    <col min="12801" max="12801" width="31" style="1328" customWidth="1"/>
    <col min="12802" max="12802" width="47.28515625" style="1328" bestFit="1" customWidth="1"/>
    <col min="12803" max="12803" width="8.7109375" style="1328" customWidth="1"/>
    <col min="12804" max="13056" width="9.140625" style="1328"/>
    <col min="13057" max="13057" width="31" style="1328" customWidth="1"/>
    <col min="13058" max="13058" width="47.28515625" style="1328" bestFit="1" customWidth="1"/>
    <col min="13059" max="13059" width="8.7109375" style="1328" customWidth="1"/>
    <col min="13060" max="13312" width="9.140625" style="1328"/>
    <col min="13313" max="13313" width="31" style="1328" customWidth="1"/>
    <col min="13314" max="13314" width="47.28515625" style="1328" bestFit="1" customWidth="1"/>
    <col min="13315" max="13315" width="8.7109375" style="1328" customWidth="1"/>
    <col min="13316" max="13568" width="9.140625" style="1328"/>
    <col min="13569" max="13569" width="31" style="1328" customWidth="1"/>
    <col min="13570" max="13570" width="47.28515625" style="1328" bestFit="1" customWidth="1"/>
    <col min="13571" max="13571" width="8.7109375" style="1328" customWidth="1"/>
    <col min="13572" max="13824" width="9.140625" style="1328"/>
    <col min="13825" max="13825" width="31" style="1328" customWidth="1"/>
    <col min="13826" max="13826" width="47.28515625" style="1328" bestFit="1" customWidth="1"/>
    <col min="13827" max="13827" width="8.7109375" style="1328" customWidth="1"/>
    <col min="13828" max="14080" width="9.140625" style="1328"/>
    <col min="14081" max="14081" width="31" style="1328" customWidth="1"/>
    <col min="14082" max="14082" width="47.28515625" style="1328" bestFit="1" customWidth="1"/>
    <col min="14083" max="14083" width="8.7109375" style="1328" customWidth="1"/>
    <col min="14084" max="14336" width="9.140625" style="1328"/>
    <col min="14337" max="14337" width="31" style="1328" customWidth="1"/>
    <col min="14338" max="14338" width="47.28515625" style="1328" bestFit="1" customWidth="1"/>
    <col min="14339" max="14339" width="8.7109375" style="1328" customWidth="1"/>
    <col min="14340" max="14592" width="9.140625" style="1328"/>
    <col min="14593" max="14593" width="31" style="1328" customWidth="1"/>
    <col min="14594" max="14594" width="47.28515625" style="1328" bestFit="1" customWidth="1"/>
    <col min="14595" max="14595" width="8.7109375" style="1328" customWidth="1"/>
    <col min="14596" max="14848" width="9.140625" style="1328"/>
    <col min="14849" max="14849" width="31" style="1328" customWidth="1"/>
    <col min="14850" max="14850" width="47.28515625" style="1328" bestFit="1" customWidth="1"/>
    <col min="14851" max="14851" width="8.7109375" style="1328" customWidth="1"/>
    <col min="14852" max="15104" width="9.140625" style="1328"/>
    <col min="15105" max="15105" width="31" style="1328" customWidth="1"/>
    <col min="15106" max="15106" width="47.28515625" style="1328" bestFit="1" customWidth="1"/>
    <col min="15107" max="15107" width="8.7109375" style="1328" customWidth="1"/>
    <col min="15108" max="15360" width="9.140625" style="1328"/>
    <col min="15361" max="15361" width="31" style="1328" customWidth="1"/>
    <col min="15362" max="15362" width="47.28515625" style="1328" bestFit="1" customWidth="1"/>
    <col min="15363" max="15363" width="8.7109375" style="1328" customWidth="1"/>
    <col min="15364" max="15616" width="9.140625" style="1328"/>
    <col min="15617" max="15617" width="31" style="1328" customWidth="1"/>
    <col min="15618" max="15618" width="47.28515625" style="1328" bestFit="1" customWidth="1"/>
    <col min="15619" max="15619" width="8.7109375" style="1328" customWidth="1"/>
    <col min="15620" max="15872" width="9.140625" style="1328"/>
    <col min="15873" max="15873" width="31" style="1328" customWidth="1"/>
    <col min="15874" max="15874" width="47.28515625" style="1328" bestFit="1" customWidth="1"/>
    <col min="15875" max="15875" width="8.7109375" style="1328" customWidth="1"/>
    <col min="15876" max="16128" width="9.140625" style="1328"/>
    <col min="16129" max="16129" width="31" style="1328" customWidth="1"/>
    <col min="16130" max="16130" width="47.28515625" style="1328" bestFit="1" customWidth="1"/>
    <col min="16131" max="16131" width="8.7109375" style="1328" customWidth="1"/>
    <col min="16132" max="16384" width="9.140625" style="1328"/>
  </cols>
  <sheetData>
    <row r="1" spans="1:27" ht="18">
      <c r="B1" s="1329" t="s">
        <v>3381</v>
      </c>
      <c r="S1" s="1330" t="s">
        <v>3382</v>
      </c>
    </row>
    <row r="2" spans="1:27">
      <c r="B2" s="1329"/>
      <c r="S2" s="1331" t="s">
        <v>3162</v>
      </c>
      <c r="T2" s="1181"/>
      <c r="U2" s="1181"/>
      <c r="V2" s="1214"/>
      <c r="W2" s="1219"/>
      <c r="Y2" s="1214"/>
      <c r="Z2" s="1214"/>
    </row>
    <row r="3" spans="1:27">
      <c r="S3" s="1331" t="s">
        <v>3167</v>
      </c>
      <c r="T3" s="1181"/>
      <c r="U3" s="1181"/>
      <c r="V3" s="1214"/>
      <c r="W3" s="1219"/>
      <c r="Y3" s="1214"/>
      <c r="Z3" s="1214"/>
      <c r="AA3" s="1214"/>
    </row>
    <row r="4" spans="1:27">
      <c r="S4" s="1331" t="s">
        <v>3825</v>
      </c>
    </row>
    <row r="5" spans="1:27">
      <c r="A5" s="1332" t="s">
        <v>1105</v>
      </c>
      <c r="B5" s="1333" t="s">
        <v>1768</v>
      </c>
      <c r="C5" s="1333" t="s">
        <v>952</v>
      </c>
      <c r="D5" s="1333">
        <v>63</v>
      </c>
      <c r="E5" s="1333">
        <v>125</v>
      </c>
      <c r="F5" s="1333">
        <v>250</v>
      </c>
      <c r="G5" s="1333">
        <v>500</v>
      </c>
      <c r="H5" s="1333">
        <v>1000</v>
      </c>
      <c r="I5" s="1333">
        <v>2000</v>
      </c>
      <c r="J5" s="1333">
        <v>4000</v>
      </c>
      <c r="K5" s="1333">
        <v>8000</v>
      </c>
      <c r="L5" s="1333" t="s">
        <v>3383</v>
      </c>
      <c r="S5" s="1331" t="s">
        <v>3168</v>
      </c>
    </row>
    <row r="6" spans="1:27">
      <c r="B6" s="1333" t="s">
        <v>3374</v>
      </c>
      <c r="C6" s="1333">
        <v>1</v>
      </c>
      <c r="D6" s="1334">
        <f>(VLOOKUP(B6,A105:J239,2,FALSE))+10*LOG(C6)</f>
        <v>71.834738102217983</v>
      </c>
      <c r="E6" s="1334">
        <f>VLOOKUP(B6,A105:J239,3,FALSE)+10*LOG(C6)</f>
        <v>69.932177689568462</v>
      </c>
      <c r="F6" s="1334">
        <f>VLOOKUP(B6,A105:J239,4,FALSE)+10*LOG(C6)</f>
        <v>74.854238336508786</v>
      </c>
      <c r="G6" s="1334">
        <f>VLOOKUP(B6,A105:J239,5,FALSE)+10*LOG(C6)</f>
        <v>72.74332280518999</v>
      </c>
      <c r="H6" s="1334">
        <f>VLOOKUP(B6,A105:J239,6,FALSE)+10*LOG(C6)</f>
        <v>83.605459246891371</v>
      </c>
      <c r="I6" s="1334">
        <f>VLOOKUP(B6,A105:J239,7,FALSE)+10*LOG(C6)</f>
        <v>80.689660714347582</v>
      </c>
      <c r="J6" s="1334">
        <f>VLOOKUP(B6,A105:J239,8,FALSE)+10*LOG(C6)</f>
        <v>75.089965417618927</v>
      </c>
      <c r="K6" s="1334">
        <f>VLOOKUP(B6,A105:J239,9,FALSE)+10*LOG(C6)</f>
        <v>62.695843620736184</v>
      </c>
      <c r="L6" s="1335">
        <f>10*LOG(10^((D6-26)/10)+10^((E6-16)/10)+10^((F6-9)/10)+10^((G6-3)/10)+10^(H6/10)+10^((I6+1)/10)+10^((J6+1)/10)+10^((K6-1)/10))</f>
        <v>86.361037256077893</v>
      </c>
      <c r="S6" s="1331" t="s">
        <v>3826</v>
      </c>
    </row>
    <row r="7" spans="1:27">
      <c r="B7" s="1333" t="s">
        <v>3374</v>
      </c>
      <c r="C7" s="1333">
        <v>1</v>
      </c>
      <c r="D7" s="1334">
        <f>(VLOOKUP(B7,A105:J239,2,FALSE))+10*LOG(C7)</f>
        <v>71.834738102217983</v>
      </c>
      <c r="E7" s="1334">
        <f>VLOOKUP(B7,A106:J239,3,FALSE)+10*LOG(C7)</f>
        <v>69.932177689568462</v>
      </c>
      <c r="F7" s="1334">
        <f>VLOOKUP(B7,A106:J239,4,FALSE)+10*LOG(C7)</f>
        <v>74.854238336508786</v>
      </c>
      <c r="G7" s="1334">
        <f>VLOOKUP(B7,A106:J239,5,FALSE)+10*LOG(C7)</f>
        <v>72.74332280518999</v>
      </c>
      <c r="H7" s="1334">
        <f>VLOOKUP(B7,A106:J239,6,FALSE)+10*LOG(C7)</f>
        <v>83.605459246891371</v>
      </c>
      <c r="I7" s="1334">
        <f>VLOOKUP(B7,A106:J239,7,FALSE)+10*LOG(C7)</f>
        <v>80.689660714347582</v>
      </c>
      <c r="J7" s="1334">
        <f>VLOOKUP(B7,A105:J239,8,FALSE)+10*LOG(C7)</f>
        <v>75.089965417618927</v>
      </c>
      <c r="K7" s="1334">
        <f>VLOOKUP(B7,A106:J239,9,FALSE)+10*LOG(C7)</f>
        <v>62.695843620736184</v>
      </c>
      <c r="L7" s="1335">
        <f>10*LOG(10^((D7-26)/10)+10^((E7-16)/10)+10^((F7-9)/10)+10^((G7-3)/10)+10^(H7/10)+10^((I7+1)/10)+10^((J7+1)/10)+10^((K7-1)/10))</f>
        <v>86.361037256077893</v>
      </c>
    </row>
    <row r="8" spans="1:27">
      <c r="B8" s="1333" t="s">
        <v>3374</v>
      </c>
      <c r="C8" s="1333">
        <v>1</v>
      </c>
      <c r="D8" s="1334">
        <f>IFERROR((VLOOKUP(B8,A105:J239,2,FALSE))+10*LOG(C8),-7)</f>
        <v>71.834738102217983</v>
      </c>
      <c r="E8" s="1334">
        <f>IFERROR(VLOOKUP(B8,A105:J239,3,FALSE)+10*LOG(C8),-7)</f>
        <v>69.932177689568462</v>
      </c>
      <c r="F8" s="1334">
        <f>IFERROR(VLOOKUP(B8,A105:J239,4,FALSE)+10*LOG(C8),-7)</f>
        <v>74.854238336508786</v>
      </c>
      <c r="G8" s="1334">
        <f>IFERROR(VLOOKUP(B8,A105:J239,5,FALSE)+10*LOG(C8),-7)</f>
        <v>72.74332280518999</v>
      </c>
      <c r="H8" s="1334">
        <f>IFERROR(VLOOKUP(B8,A105:J239,6,FALSE)+10*LOG(C8),-7)</f>
        <v>83.605459246891371</v>
      </c>
      <c r="I8" s="1334">
        <f>IFERROR(VLOOKUP(B8,A105:J239,7,FALSE)+10*LOG(C8),-7)</f>
        <v>80.689660714347582</v>
      </c>
      <c r="J8" s="1334">
        <f>IFERROR(VLOOKUP(B8,A105:J131,8,FALSE)+10*LOG(C8),-7)</f>
        <v>75.089965417618927</v>
      </c>
      <c r="K8" s="1334">
        <f>IFERROR(VLOOKUP(B8,A106:J131,9,FALSE)+10*LOG(C8),-7)</f>
        <v>62.695843620736184</v>
      </c>
      <c r="L8" s="1335">
        <f>10*LOG(10^((D8-26)/10)+10^((E8-16)/10)+10^((F8-9)/10)+10^((G8-3)/10)+10^(H8/10)+10^((I8+1)/10)+10^((J8+1)/10)+10^((K8-1)/10))</f>
        <v>86.361037256077893</v>
      </c>
    </row>
    <row r="9" spans="1:27">
      <c r="B9" s="1333" t="s">
        <v>3384</v>
      </c>
      <c r="C9" s="1333">
        <v>1</v>
      </c>
      <c r="D9" s="1334">
        <f>(VLOOKUP(B9,A105:J240,2,FALSE))+10*LOG(C9)</f>
        <v>-7</v>
      </c>
      <c r="E9" s="1334">
        <f>VLOOKUP(B9,A105:J240,3,FALSE)+10*LOG(C9)</f>
        <v>-7</v>
      </c>
      <c r="F9" s="1334">
        <f>VLOOKUP(B9,A105:J240,4,FALSE)+10*LOG(C9)</f>
        <v>-7</v>
      </c>
      <c r="G9" s="1334">
        <f>VLOOKUP(B9,A105:J240,5,FALSE)+10*LOG(C9)</f>
        <v>-7</v>
      </c>
      <c r="H9" s="1334">
        <f>VLOOKUP(B9,A105:J240,6,FALSE)+10*LOG(C9)</f>
        <v>-7</v>
      </c>
      <c r="I9" s="1334">
        <f>VLOOKUP(B9,A105:J240,7,FALSE)+10*LOG(C9)</f>
        <v>-7</v>
      </c>
      <c r="J9" s="1334">
        <f>VLOOKUP(B9,A105:J239,8,FALSE)+10*LOG(C9)</f>
        <v>-7</v>
      </c>
      <c r="K9" s="1334">
        <f>VLOOKUP(B9,A105:J239,9,FALSE)+10*LOG(C9)</f>
        <v>-7</v>
      </c>
      <c r="L9" s="1335">
        <f>10*LOG(10^((D9-26)/10)+10^((E9-16)/10)+10^((F9-9)/10)+10^((G9-3)/10)+10^(H9/10)+10^((I9+1)/10)+10^((J9+1)/10)+10^((K9-1)/10))</f>
        <v>-3.9154944542942292E-2</v>
      </c>
    </row>
    <row r="10" spans="1:27">
      <c r="B10" s="1336" t="s">
        <v>3385</v>
      </c>
      <c r="C10" s="1333" t="s">
        <v>3386</v>
      </c>
      <c r="D10" s="1334">
        <f>10*LOG(10^(0.1*D6)+10^(0.1*D7)+10^(0.1*D8)+10^(0.1*D9))</f>
        <v>76.605950668346296</v>
      </c>
      <c r="E10" s="1334">
        <f t="shared" ref="E10:K10" si="0">10*LOG(10^(0.1*E6)+10^(0.1*E7)+10^(0.1*E8)+10^(0.1*E9))</f>
        <v>74.703390266104094</v>
      </c>
      <c r="F10" s="1334">
        <f t="shared" si="0"/>
        <v>79.625450893151225</v>
      </c>
      <c r="G10" s="1334">
        <f t="shared" si="0"/>
        <v>77.514535367744486</v>
      </c>
      <c r="H10" s="1334">
        <f t="shared" si="0"/>
        <v>88.376671795347278</v>
      </c>
      <c r="I10" s="1334">
        <f t="shared" si="0"/>
        <v>85.460873264008541</v>
      </c>
      <c r="J10" s="1334">
        <f t="shared" si="0"/>
        <v>79.861177973762324</v>
      </c>
      <c r="K10" s="1334">
        <f t="shared" si="0"/>
        <v>67.467056323199643</v>
      </c>
      <c r="L10" s="1335">
        <f>10*LOG(10^((D10-26)/10)+10^((E10-16)/10)+10^((F10-9)/10)+10^((G10-3)/10)+10^(H10/10)+10^((I10+1)/10)+10^((J10+1)/10)+10^((K10-1)/10))</f>
        <v>91.13224980659075</v>
      </c>
    </row>
    <row r="11" spans="1:27">
      <c r="B11" s="1337"/>
      <c r="C11" s="1337"/>
      <c r="D11" s="1337"/>
      <c r="E11" s="1337"/>
      <c r="F11" s="1337"/>
      <c r="G11" s="1337"/>
      <c r="H11" s="1337"/>
      <c r="I11" s="1337"/>
      <c r="J11" s="1337"/>
      <c r="K11" s="1337"/>
      <c r="L11" s="1337"/>
    </row>
    <row r="12" spans="1:27">
      <c r="B12" s="1332" t="s">
        <v>3387</v>
      </c>
      <c r="C12" s="1338"/>
      <c r="D12" s="1337"/>
      <c r="E12" s="1337"/>
      <c r="F12" s="1337"/>
      <c r="G12" s="1337"/>
      <c r="H12" s="1337"/>
      <c r="I12" s="1337"/>
      <c r="J12" s="1337"/>
      <c r="K12" s="1337"/>
      <c r="L12" s="1337"/>
    </row>
    <row r="13" spans="1:27">
      <c r="B13" s="1333" t="s">
        <v>3388</v>
      </c>
      <c r="C13" s="1339">
        <v>2.23</v>
      </c>
      <c r="D13" s="1337"/>
      <c r="E13" s="1337"/>
      <c r="F13" s="1337"/>
      <c r="G13" s="1337"/>
      <c r="H13" s="1337"/>
      <c r="I13" s="1337"/>
      <c r="J13" s="1337"/>
      <c r="K13" s="1337"/>
      <c r="L13" s="1337"/>
    </row>
    <row r="14" spans="1:27">
      <c r="B14" s="1333" t="s">
        <v>3389</v>
      </c>
      <c r="C14" s="1180">
        <v>2.77</v>
      </c>
      <c r="D14" s="1337"/>
      <c r="E14" s="1337"/>
      <c r="F14" s="1337"/>
      <c r="G14" s="1337"/>
      <c r="H14" s="1337"/>
      <c r="I14" s="1337"/>
      <c r="J14" s="1337"/>
      <c r="K14" s="1337"/>
      <c r="L14" s="1337"/>
    </row>
    <row r="15" spans="1:27">
      <c r="B15" s="1333" t="s">
        <v>3390</v>
      </c>
      <c r="C15" s="1339">
        <v>13.66</v>
      </c>
    </row>
    <row r="16" spans="1:27">
      <c r="B16" s="1333" t="s">
        <v>3391</v>
      </c>
      <c r="C16" s="1339">
        <v>1</v>
      </c>
    </row>
    <row r="17" spans="1:29">
      <c r="B17" s="1337"/>
      <c r="C17" s="1337"/>
    </row>
    <row r="18" spans="1:29">
      <c r="A18" s="1332" t="s">
        <v>3392</v>
      </c>
      <c r="B18" s="1333" t="s">
        <v>1768</v>
      </c>
      <c r="C18" s="1333" t="s">
        <v>952</v>
      </c>
      <c r="D18" s="1333">
        <v>63</v>
      </c>
      <c r="E18" s="1333">
        <v>125</v>
      </c>
      <c r="F18" s="1333">
        <v>250</v>
      </c>
      <c r="G18" s="1333">
        <v>500</v>
      </c>
      <c r="H18" s="1333">
        <v>1000</v>
      </c>
      <c r="I18" s="1333">
        <v>2000</v>
      </c>
      <c r="J18" s="1333">
        <v>4000</v>
      </c>
      <c r="K18" s="1333">
        <v>8000</v>
      </c>
      <c r="L18" s="1333" t="s">
        <v>3383</v>
      </c>
      <c r="S18" s="1181" t="s">
        <v>3393</v>
      </c>
    </row>
    <row r="19" spans="1:29">
      <c r="B19" s="1333" t="s">
        <v>3394</v>
      </c>
      <c r="C19" s="1333">
        <v>20</v>
      </c>
      <c r="D19" s="1334">
        <f>(VLOOKUP(B19,A268:J280,2,FALSE))+10*LOG(C19)</f>
        <v>102.01029995663981</v>
      </c>
      <c r="E19" s="1334">
        <f>VLOOKUP(B19,A268:J280,3,FALSE)+10*LOG(C19)</f>
        <v>98.010299956639813</v>
      </c>
      <c r="F19" s="1334">
        <f>VLOOKUP(B19,A268:J280,4,FALSE)+10*LOG(C19)</f>
        <v>97.010299956639813</v>
      </c>
      <c r="G19" s="1334">
        <f>VLOOKUP(B19,A268:J280,5,FALSE)+10*LOG(C19)</f>
        <v>96.010299956639813</v>
      </c>
      <c r="H19" s="1334">
        <f>VLOOKUP(B19,A268:J280,6,FALSE)+10*LOG(C19)</f>
        <v>97.010299956639813</v>
      </c>
      <c r="I19" s="1334">
        <f>VLOOKUP(B19,A268:J280,7,FALSE)+10*LOG(C19)</f>
        <v>96.010299956639813</v>
      </c>
      <c r="J19" s="1334">
        <f>VLOOKUP(B19,A268:J280,8,FALSE)+10*LOG(C19)</f>
        <v>91.010299956639813</v>
      </c>
      <c r="K19" s="1334">
        <f>VLOOKUP(B19,A268:J280,9,FALSE)+10*LOG(C19)</f>
        <v>84.010299956639813</v>
      </c>
      <c r="L19" s="1335">
        <f>10*LOG(10^((D19-26)/10)+10^((E19-16)/10)+10^((F19-9)/10)+10^((G19-3)/10)+10^(H19/10)+10^((I19+1)/10)+10^((J19+1)/10)+10^((K19-1)/10))</f>
        <v>101.66353983393678</v>
      </c>
    </row>
    <row r="21" spans="1:29" ht="16.5" thickBot="1">
      <c r="A21" s="1332" t="s">
        <v>406</v>
      </c>
      <c r="B21" s="1333" t="s">
        <v>3384</v>
      </c>
      <c r="C21" s="1333" t="s">
        <v>3386</v>
      </c>
      <c r="D21" s="1334">
        <f>(VLOOKUP(B21,A283:I287,2,FALSE))</f>
        <v>0</v>
      </c>
      <c r="E21" s="1334">
        <f>(VLOOKUP(B21,A283:I287,3,FALSE))</f>
        <v>0</v>
      </c>
      <c r="F21" s="1334">
        <f>(VLOOKUP(B21,A283:I287,4,FALSE))</f>
        <v>0</v>
      </c>
      <c r="G21" s="1334">
        <f>(VLOOKUP(B21,A283:I287,5,FALSE))</f>
        <v>0</v>
      </c>
      <c r="H21" s="1334">
        <f>(VLOOKUP(B21,A283:I287,6,FALSE))</f>
        <v>0</v>
      </c>
      <c r="I21" s="1334">
        <f>(VLOOKUP(B21,A283:I287,7,FALSE))</f>
        <v>0</v>
      </c>
      <c r="J21" s="1334">
        <f>(VLOOKUP(B21,A283:I287,8,FALSE))</f>
        <v>0</v>
      </c>
      <c r="K21" s="1334">
        <f>(VLOOKUP(B21,A283:I287,9,FALSE))</f>
        <v>0</v>
      </c>
      <c r="L21" s="1340" t="s">
        <v>2509</v>
      </c>
    </row>
    <row r="22" spans="1:29" ht="19.5" thickBot="1">
      <c r="S22" s="1772" t="s">
        <v>3207</v>
      </c>
      <c r="T22" s="1773"/>
      <c r="U22" s="1773"/>
      <c r="V22" s="1773"/>
      <c r="W22" s="1773"/>
      <c r="X22" s="1773"/>
      <c r="Y22" s="1773"/>
      <c r="Z22" s="1773"/>
      <c r="AA22" s="1773"/>
      <c r="AB22" s="1773"/>
      <c r="AC22" s="1774"/>
    </row>
    <row r="23" spans="1:29">
      <c r="S23" s="1341" t="s">
        <v>3395</v>
      </c>
      <c r="T23" s="1342" t="str">
        <f>IFERROR(INDEX('Schneider Data'!$A$74:$B$88,MATCH('Input Data'!B15,'Schneider Data'!$A$74:$A$88,0),2),0)</f>
        <v>RC2-580</v>
      </c>
      <c r="U23" s="1343">
        <f>IFERROR(INDEX('Schneider Data'!$A$74:$B$88,MATCH('Input Data'!C15,'Schneider Data'!$A$74:$A$88,0),2),0)</f>
        <v>0</v>
      </c>
      <c r="V23" s="1343">
        <f>IFERROR(INDEX('Schneider Data'!$A$74:$B$88,MATCH('Input Data'!D15,'Schneider Data'!$A$74:$A$88,0),2),0)</f>
        <v>0</v>
      </c>
      <c r="W23" s="1343">
        <f>IFERROR(INDEX('Schneider Data'!$A$74:$B$88,MATCH('Input Data'!E15,'Schneider Data'!$A$74:$A$88,0),2),0)</f>
        <v>0</v>
      </c>
      <c r="X23" s="1343">
        <f>IFERROR(INDEX('Schneider Data'!$A$74:$B$88,MATCH('Input Data'!F15,'Schneider Data'!$A$74:$A$88,0),2),0)</f>
        <v>0</v>
      </c>
      <c r="Y23" s="1343">
        <f>IFERROR(INDEX('Schneider Data'!$A$74:$B$88,MATCH('Input Data'!G15,'Schneider Data'!$A$74:$A$88,0),2),0)</f>
        <v>0</v>
      </c>
      <c r="Z23" s="1343">
        <f>IFERROR(INDEX('Schneider Data'!$A$74:$B$88,MATCH('Input Data'!H15,'Schneider Data'!$A$74:$A$88,0),2),0)</f>
        <v>0</v>
      </c>
      <c r="AA23" s="1343">
        <f>IFERROR(INDEX('Schneider Data'!$A$74:$B$88,MATCH('Input Data'!I15,'Schneider Data'!$A$74:$A$88,0),2),0)</f>
        <v>0</v>
      </c>
      <c r="AB23" s="1343">
        <f>IFERROR(INDEX('Schneider Data'!$A$74:$B$88,MATCH('Input Data'!J15,'Schneider Data'!$A$74:$A$88,0),2),0)</f>
        <v>0</v>
      </c>
      <c r="AC23" s="1344">
        <f>IFERROR(INDEX('Schneider Data'!$A$74:$B$88,MATCH('Input Data'!K15,'Schneider Data'!$A$74:$A$88,0),2),0)</f>
        <v>0</v>
      </c>
    </row>
    <row r="24" spans="1:29">
      <c r="S24" s="1345" t="s">
        <v>3396</v>
      </c>
      <c r="T24" s="1346" t="str">
        <f>IFERROR(INDEX('Schneider Data'!$A$74:$B$88,MATCH('Input Data'!B16,'Schneider Data'!$A$74:$A$88,0),2),0)</f>
        <v>RC2-580</v>
      </c>
      <c r="U24" s="555">
        <f>IFERROR(INDEX('Schneider Data'!$A$74:$B$88,MATCH('Input Data'!C16,'Schneider Data'!$A$74:$A$88,0),2),0)</f>
        <v>0</v>
      </c>
      <c r="V24" s="555">
        <f>IFERROR(INDEX('Schneider Data'!$A$74:$B$88,MATCH('Input Data'!D16,'Schneider Data'!$A$74:$A$88,0),2),0)</f>
        <v>0</v>
      </c>
      <c r="W24" s="555">
        <f>IFERROR(INDEX('Schneider Data'!$A$74:$B$88,MATCH('Input Data'!E16,'Schneider Data'!$A$74:$A$88,0),2),0)</f>
        <v>0</v>
      </c>
      <c r="X24" s="555">
        <f>IFERROR(INDEX('Schneider Data'!$A$74:$B$88,MATCH('Input Data'!F16,'Schneider Data'!$A$74:$A$88,0),2),0)</f>
        <v>0</v>
      </c>
      <c r="Y24" s="555">
        <f>IFERROR(INDEX('Schneider Data'!$A$74:$B$88,MATCH('Input Data'!G16,'Schneider Data'!$A$74:$A$88,0),2),0)</f>
        <v>0</v>
      </c>
      <c r="Z24" s="555">
        <f>IFERROR(INDEX('Schneider Data'!$A$74:$B$88,MATCH('Input Data'!H16,'Schneider Data'!$A$74:$A$88,0),2),0)</f>
        <v>0</v>
      </c>
      <c r="AA24" s="555">
        <f>IFERROR(INDEX('Schneider Data'!$A$74:$B$88,MATCH('Input Data'!I16,'Schneider Data'!$A$74:$A$88,0),2),0)</f>
        <v>0</v>
      </c>
      <c r="AB24" s="555">
        <f>IFERROR(INDEX('Schneider Data'!$A$74:$B$88,MATCH('Input Data'!J16,'Schneider Data'!$A$74:$A$88,0),2),0)</f>
        <v>0</v>
      </c>
      <c r="AC24" s="1347">
        <f>IFERROR(INDEX('Schneider Data'!$A$74:$B$88,MATCH('Input Data'!K16,'Schneider Data'!$A$74:$A$88,0),2),0)</f>
        <v>0</v>
      </c>
    </row>
    <row r="25" spans="1:29" ht="16.5" thickBot="1">
      <c r="S25" s="1348" t="s">
        <v>3397</v>
      </c>
      <c r="T25" s="1349" t="str">
        <f>IFERROR(INDEX('Schneider Data'!$A$74:$B$88,MATCH('Input Data'!B17,'Schneider Data'!$A$74:$A$88,0),2),0)</f>
        <v>RC2-580</v>
      </c>
      <c r="U25" s="1350">
        <f>IFERROR(INDEX('Schneider Data'!$A$74:$B$88,MATCH('Input Data'!C17,'Schneider Data'!$A$74:$A$88,0),2),0)</f>
        <v>0</v>
      </c>
      <c r="V25" s="1350">
        <f>IFERROR(INDEX('Schneider Data'!$A$74:$B$88,MATCH('Input Data'!D17,'Schneider Data'!$A$74:$A$88,0),2),0)</f>
        <v>0</v>
      </c>
      <c r="W25" s="1350">
        <f>IFERROR(INDEX('Schneider Data'!$A$74:$B$88,MATCH('Input Data'!E17,'Schneider Data'!$A$74:$A$88,0),2),0)</f>
        <v>0</v>
      </c>
      <c r="X25" s="1350">
        <f>IFERROR(INDEX('Schneider Data'!$A$74:$B$88,MATCH('Input Data'!F17,'Schneider Data'!$A$74:$A$88,0),2),0)</f>
        <v>0</v>
      </c>
      <c r="Y25" s="1350">
        <f>IFERROR(INDEX('Schneider Data'!$A$74:$B$88,MATCH('Input Data'!G17,'Schneider Data'!$A$74:$A$88,0),2),0)</f>
        <v>0</v>
      </c>
      <c r="Z25" s="1350">
        <f>IFERROR(INDEX('Schneider Data'!$A$74:$B$88,MATCH('Input Data'!H17,'Schneider Data'!$A$74:$A$88,0),2),0)</f>
        <v>0</v>
      </c>
      <c r="AA25" s="1350">
        <f>IFERROR(INDEX('Schneider Data'!$A$74:$B$88,MATCH('Input Data'!I17,'Schneider Data'!$A$74:$A$88,0),2),0)</f>
        <v>0</v>
      </c>
      <c r="AB25" s="1350">
        <f>IFERROR(INDEX('Schneider Data'!$A$74:$B$88,MATCH('Input Data'!J17,'Schneider Data'!$A$74:$A$88,0),2),0)</f>
        <v>0</v>
      </c>
      <c r="AC25" s="1351">
        <f>IFERROR(INDEX('Schneider Data'!$A$74:$B$88,MATCH('Input Data'!K17,'Schneider Data'!$A$74:$A$88,0),2),0)</f>
        <v>0</v>
      </c>
    </row>
    <row r="26" spans="1:29" ht="16.5" thickBot="1">
      <c r="B26" s="1333" t="s">
        <v>1768</v>
      </c>
      <c r="C26" s="1333" t="s">
        <v>952</v>
      </c>
      <c r="D26" s="1333">
        <v>63</v>
      </c>
      <c r="E26" s="1775">
        <v>125</v>
      </c>
      <c r="F26" s="1775"/>
      <c r="G26" s="1775">
        <v>250</v>
      </c>
      <c r="H26" s="1775"/>
      <c r="I26" s="1352">
        <v>500</v>
      </c>
      <c r="J26" s="1333">
        <v>1000</v>
      </c>
      <c r="K26" s="1333">
        <v>2000</v>
      </c>
      <c r="L26" s="1333">
        <v>4000</v>
      </c>
      <c r="M26" s="1333">
        <v>8000</v>
      </c>
      <c r="N26" s="1775" t="s">
        <v>3383</v>
      </c>
      <c r="O26" s="1775"/>
      <c r="S26" s="1341" t="s">
        <v>3663</v>
      </c>
      <c r="T26" s="1353">
        <f>IFERROR(T93/(1.732*VALUE(LEFT(T30,3))*IF('Input Data'!B61="Yes",0.95,'Sound Data'!T96)),0)</f>
        <v>154.2906226333543</v>
      </c>
      <c r="U26" s="1354">
        <f>IFERROR(U93/(1.732*VALUE(LEFT(U30,3))*IF('Input Data'!C61="Yes",0.95,'Sound Data'!U96)),0)</f>
        <v>0</v>
      </c>
      <c r="V26" s="1354">
        <f>IFERROR(V93/(1.732*VALUE(LEFT(V30,3))*IF('Input Data'!D61="Yes",0.95,'Sound Data'!V96)),0)</f>
        <v>0</v>
      </c>
      <c r="W26" s="1354">
        <f>IFERROR(W93/(1.732*VALUE(LEFT(W30,3))*IF('Input Data'!E61="Yes",0.95,'Sound Data'!W96)),0)</f>
        <v>0</v>
      </c>
      <c r="X26" s="1354">
        <f>IFERROR(X93/(1.732*VALUE(LEFT(X30,3))*IF('Input Data'!F61="Yes",0.95,'Sound Data'!X96)),0)</f>
        <v>0</v>
      </c>
      <c r="Y26" s="1354">
        <f>IFERROR(Y93/(1.732*VALUE(LEFT(Y30,3))*IF('Input Data'!G61="Yes",0.95,'Sound Data'!Y96)),0)</f>
        <v>0</v>
      </c>
      <c r="Z26" s="1354">
        <f>IFERROR(Z93/(1.732*VALUE(LEFT(Z30,3))*IF('Input Data'!H61="Yes",0.95,'Sound Data'!Z96)),0)</f>
        <v>0</v>
      </c>
      <c r="AA26" s="1354">
        <f>IFERROR(AA93/(1.732*VALUE(LEFT(AA30,3))*IF('Input Data'!I61="Yes",0.95,'Sound Data'!AA96)),0)</f>
        <v>0</v>
      </c>
      <c r="AB26" s="1354">
        <f>IFERROR(AB93/(1.732*VALUE(LEFT(AB30,3))*IF('Input Data'!J61="Yes",0.95,'Sound Data'!AB96)),0)</f>
        <v>0</v>
      </c>
      <c r="AC26" s="1355">
        <f>IFERROR(AC93/(1.732*VALUE(LEFT(AC30,3))*IF('Input Data'!K61="Yes",0.95,'Sound Data'!AC96)),0)</f>
        <v>0</v>
      </c>
    </row>
    <row r="27" spans="1:29" ht="16.5" thickBot="1">
      <c r="B27" s="1352" t="s">
        <v>3398</v>
      </c>
      <c r="C27" s="1333" t="s">
        <v>3386</v>
      </c>
      <c r="D27" s="1238">
        <f>10*LOG(10^(0.1*(D10+D21))+10^(0.1*D19))</f>
        <v>102.02279461827524</v>
      </c>
      <c r="E27" s="1745">
        <f t="shared" ref="E27" si="1">10*LOG(10^(0.1*(E10+E21))+10^(0.1*E19))</f>
        <v>98.030533933575043</v>
      </c>
      <c r="F27" s="1746"/>
      <c r="G27" s="1745">
        <f>10*LOG(10^(0.1*(F10+F21))+10^(0.1*F19))</f>
        <v>97.088889363141163</v>
      </c>
      <c r="H27" s="1746"/>
      <c r="I27" s="1238">
        <f>10*LOG(10^(0.1*(G10+G21))+10^(0.1*G19))</f>
        <v>96.071275476172076</v>
      </c>
      <c r="J27" s="1238">
        <f>10*LOG(10^(0.1*(H10+H21))+10^(0.1*H19))</f>
        <v>97.567804141374012</v>
      </c>
      <c r="K27" s="1238">
        <f>10*LOG(10^(0.1*(I10+I21))+10^(0.1*I19))</f>
        <v>96.377053990390152</v>
      </c>
      <c r="L27" s="1238">
        <f>10*LOG(10^(0.1*(J10+J21))+10^(0.1*J19))</f>
        <v>91.331455473827987</v>
      </c>
      <c r="M27" s="1238">
        <f>10*LOG(10^(0.1*(K10+K21))+10^(0.1*K19))</f>
        <v>84.105511731700886</v>
      </c>
      <c r="N27" s="1745">
        <f>10*LOG(10^((D27-26)/10)+10^((E27-16)/10)+10^((G27-9)/10)+10^((I27-3)/10)+10^(J27/10)+10^((K27+1)/10)+10^((L27+1)/10)+10^((M27-1)/10))</f>
        <v>102.03176541061238</v>
      </c>
      <c r="O27" s="1746"/>
      <c r="S27" s="1345" t="s">
        <v>3664</v>
      </c>
      <c r="T27" s="1356">
        <f>IFERROR(T94/(1.732*VALUE(LEFT(T$30,3))*IF('Input Data'!B$61="Yes",0.95,'Sound Data'!T$96)),0)</f>
        <v>154.2906226333543</v>
      </c>
      <c r="U27" s="1357">
        <f>IFERROR(U94/(1.732*VALUE(LEFT(U$30,3))*IF('Input Data'!C$61="Yes",0.95,'Sound Data'!U$96)),0)</f>
        <v>0</v>
      </c>
      <c r="V27" s="1357">
        <f>IFERROR(V94/(1.732*VALUE(LEFT(V$30,3))*IF('Input Data'!D$61="Yes",0.95,'Sound Data'!V$96)),0)</f>
        <v>0</v>
      </c>
      <c r="W27" s="1357">
        <f>IFERROR(W94/(1.732*VALUE(LEFT(W$30,3))*IF('Input Data'!E$61="Yes",0.95,'Sound Data'!W$96)),0)</f>
        <v>0</v>
      </c>
      <c r="X27" s="1357">
        <f>IFERROR(X94/(1.732*VALUE(LEFT(X$30,3))*IF('Input Data'!F$61="Yes",0.95,'Sound Data'!X$96)),0)</f>
        <v>0</v>
      </c>
      <c r="Y27" s="1357">
        <f>IFERROR(Y94/(1.732*VALUE(LEFT(Y$30,3))*IF('Input Data'!G$61="Yes",0.95,'Sound Data'!Y$96)),0)</f>
        <v>0</v>
      </c>
      <c r="Z27" s="1357">
        <f>IFERROR(Z94/(1.732*VALUE(LEFT(Z$30,3))*IF('Input Data'!H$61="Yes",0.95,'Sound Data'!Z$96)),0)</f>
        <v>0</v>
      </c>
      <c r="AA27" s="1357">
        <f>IFERROR(AA94/(1.732*VALUE(LEFT(AA$30,3))*IF('Input Data'!I$61="Yes",0.95,'Sound Data'!AA$96)),0)</f>
        <v>0</v>
      </c>
      <c r="AB27" s="1357">
        <f>IFERROR(AB94/(1.732*VALUE(LEFT(AB$30,3))*IF('Input Data'!J$61="Yes",0.95,'Sound Data'!AB$96)),0)</f>
        <v>0</v>
      </c>
      <c r="AC27" s="1358">
        <f>IFERROR(AC94/(1.732*VALUE(LEFT(AC$30,3))*IF('Input Data'!K$61="Yes",0.95,'Sound Data'!AC$96)),0)</f>
        <v>0</v>
      </c>
    </row>
    <row r="28" spans="1:29" ht="16.5" thickBot="1">
      <c r="B28" s="1352" t="s">
        <v>3399</v>
      </c>
      <c r="C28" s="1333" t="s">
        <v>3386</v>
      </c>
      <c r="D28" s="1238">
        <f>D27-10*LOG(((C15+2*C16)*(C13+2*C16)+2*(C15+2*C16)*(C14+C16)+2*(C13+2*C16)*(C14+C16)))+3</f>
        <v>81.673988642678282</v>
      </c>
      <c r="E28" s="1745">
        <f>E27-10*LOG(((C15+2*C16)*(C13+2*C16)+2*(C15+2*C16)*(C14+C16)+2*(C13+2*C16)*(C14+C16)))+3</f>
        <v>77.681727957978083</v>
      </c>
      <c r="F28" s="1746"/>
      <c r="G28" s="1745">
        <f>G27-10*LOG(((C15+2*C16)*(C13+2*C16)+2*(C15+2*C16)*(C14+C16)+2*(C13+2*C16)*(C14+C16)))+3</f>
        <v>76.740083387544203</v>
      </c>
      <c r="H28" s="1746"/>
      <c r="I28" s="1238">
        <f>I27-10*LOG(((C15+2*C16)*(C13+2*C16)+2*(C15+2*C16)*(C14+C16)+2*(C13+2*C16)*(C14+C16)))+3</f>
        <v>75.722469500575116</v>
      </c>
      <c r="J28" s="1238">
        <f>J27-10*LOG(((C15+2*C16)*(C13+2*C16)+2*(C15+2*C16)*(C14+C16)+2*(C13+2*C16)*(C14+C16)))+3</f>
        <v>77.218998165777052</v>
      </c>
      <c r="K28" s="1238">
        <f>K27-10*LOG(((C15+2*C16)*(C13+2*C16)+2*(C15+2*C16)*(C14+C16)+2*(C13+2*C16)*(C14+C16)))+3</f>
        <v>76.028248014793192</v>
      </c>
      <c r="L28" s="1238">
        <f>L27-10*LOG(((C15+2*C16)*(C13+2*C16)+2*(C15+2*C16)*(C14+C16)+2*(C13+2*C16)*(C14+C16)))+3</f>
        <v>70.982649498231027</v>
      </c>
      <c r="M28" s="1238">
        <f>M27-10*LOG(((C15+2*C16)*(C13+2*C16)+2*(C15+2*C16)*(C14+C16)+2*(C13+2*C16)*(C14+C16)))+3</f>
        <v>63.756705756103926</v>
      </c>
      <c r="N28" s="1745">
        <f>10*LOG(10^((D28-26)/10)+10^((E28-16)/10)+10^((G28-9)/10)+10^((I28-3)/10)+10^(J28/10)+10^((K28+1)/10)+10^((L28+1)/10)+10^((M28-1)/10))</f>
        <v>81.68295943501542</v>
      </c>
      <c r="O28" s="1746"/>
      <c r="S28" s="1359" t="s">
        <v>3665</v>
      </c>
      <c r="T28" s="1360">
        <f>IFERROR(T95/(1.732*VALUE(LEFT(T$30,3))*IF('Input Data'!B$61="Yes",0.95,'Sound Data'!T$96)),0)</f>
        <v>154.2906226333543</v>
      </c>
      <c r="U28" s="1361">
        <f>IFERROR(U95/(1.732*VALUE(LEFT(U$30,3))*IF('Input Data'!C$61="Yes",0.95,'Sound Data'!U$96)),0)</f>
        <v>0</v>
      </c>
      <c r="V28" s="1361">
        <f>IFERROR(V95/(1.732*VALUE(LEFT(V$30,3))*IF('Input Data'!D$61="Yes",0.95,'Sound Data'!V$96)),0)</f>
        <v>0</v>
      </c>
      <c r="W28" s="1361">
        <f>IFERROR(W95/(1.732*VALUE(LEFT(W$30,3))*IF('Input Data'!E$61="Yes",0.95,'Sound Data'!W$96)),0)</f>
        <v>0</v>
      </c>
      <c r="X28" s="1361">
        <f>IFERROR(X95/(1.732*VALUE(LEFT(X$30,3))*IF('Input Data'!F$61="Yes",0.95,'Sound Data'!X$96)),0)</f>
        <v>0</v>
      </c>
      <c r="Y28" s="1361">
        <f>IFERROR(Y95/(1.732*VALUE(LEFT(Y$30,3))*IF('Input Data'!G$61="Yes",0.95,'Sound Data'!Y$96)),0)</f>
        <v>0</v>
      </c>
      <c r="Z28" s="1361">
        <f>IFERROR(Z95/(1.732*VALUE(LEFT(Z$30,3))*IF('Input Data'!H$61="Yes",0.95,'Sound Data'!Z$96)),0)</f>
        <v>0</v>
      </c>
      <c r="AA28" s="1361">
        <f>IFERROR(AA95/(1.732*VALUE(LEFT(AA$30,3))*IF('Input Data'!I$61="Yes",0.95,'Sound Data'!AA$96)),0)</f>
        <v>0</v>
      </c>
      <c r="AB28" s="1361">
        <f>IFERROR(AB95/(1.732*VALUE(LEFT(AB$30,3))*IF('Input Data'!J$61="Yes",0.95,'Sound Data'!AB$96)),0)</f>
        <v>0</v>
      </c>
      <c r="AC28" s="1362">
        <f>IFERROR(AC95/(1.732*VALUE(LEFT(AC$30,3))*IF('Input Data'!K$61="Yes",0.95,'Sound Data'!AC$96)),0)</f>
        <v>0</v>
      </c>
    </row>
    <row r="29" spans="1:29">
      <c r="S29" s="1363" t="s">
        <v>3400</v>
      </c>
      <c r="T29" s="1364">
        <f>IFERROR(INDEX('Schneider Data'!$A$90:$B$96,MATCH('Input Data'!B5,'Schneider Data'!$A$90:$A$96,0),2),0)</f>
        <v>6</v>
      </c>
      <c r="U29" s="1365">
        <f>IFERROR(INDEX('Schneider Data'!$A$90:$B$96,MATCH('Input Data'!C5,'Schneider Data'!$A$90:$A$96,0),2),0)</f>
        <v>0</v>
      </c>
      <c r="V29" s="1365">
        <f>IFERROR(INDEX('Schneider Data'!$A$90:$B$96,MATCH('Input Data'!D5,'Schneider Data'!$A$90:$A$96,0),2),0)</f>
        <v>0</v>
      </c>
      <c r="W29" s="1365">
        <f>IFERROR(INDEX('Schneider Data'!$A$90:$B$96,MATCH('Input Data'!E5,'Schneider Data'!$A$90:$A$96,0),2),0)</f>
        <v>0</v>
      </c>
      <c r="X29" s="1365">
        <f>IFERROR(INDEX('Schneider Data'!$A$90:$B$96,MATCH('Input Data'!F5,'Schneider Data'!$A$90:$A$96,0),2),0)</f>
        <v>0</v>
      </c>
      <c r="Y29" s="1365">
        <f>IFERROR(INDEX('Schneider Data'!$A$90:$B$96,MATCH('Input Data'!G5,'Schneider Data'!$A$90:$A$96,0),2),0)</f>
        <v>0</v>
      </c>
      <c r="Z29" s="1365">
        <f>IFERROR(INDEX('Schneider Data'!$A$90:$B$96,MATCH('Input Data'!H5,'Schneider Data'!$A$90:$A$96,0),2),0)</f>
        <v>0</v>
      </c>
      <c r="AA29" s="1365">
        <f>IFERROR(INDEX('Schneider Data'!$A$90:$B$96,MATCH('Input Data'!I5,'Schneider Data'!$A$90:$A$96,0),2),0)</f>
        <v>0</v>
      </c>
      <c r="AB29" s="1365">
        <f>IFERROR(INDEX('Schneider Data'!$A$90:$B$96,MATCH('Input Data'!J5,'Schneider Data'!$A$90:$A$96,0),2),0)</f>
        <v>0</v>
      </c>
      <c r="AC29" s="1366">
        <f>IFERROR(INDEX('Schneider Data'!$A$90:$B$96,MATCH('Input Data'!K5,'Schneider Data'!$A$90:$A$96,0),2),0)</f>
        <v>0</v>
      </c>
    </row>
    <row r="30" spans="1:29" ht="16.5" thickBot="1">
      <c r="B30" s="1367"/>
      <c r="C30" s="1367"/>
      <c r="S30" s="1368" t="s">
        <v>3087</v>
      </c>
      <c r="T30" s="1349" t="str">
        <f>'Input Data'!B5</f>
        <v>380-3-60</v>
      </c>
      <c r="U30" s="1350">
        <f>'Input Data'!C5</f>
        <v>0</v>
      </c>
      <c r="V30" s="1350">
        <f>'Input Data'!D5</f>
        <v>0</v>
      </c>
      <c r="W30" s="1350">
        <f>'Input Data'!E5</f>
        <v>0</v>
      </c>
      <c r="X30" s="1350">
        <f>'Input Data'!F5</f>
        <v>0</v>
      </c>
      <c r="Y30" s="1350">
        <f>'Input Data'!G5</f>
        <v>0</v>
      </c>
      <c r="Z30" s="1350">
        <f>'Input Data'!H5</f>
        <v>0</v>
      </c>
      <c r="AA30" s="1350">
        <f>'Input Data'!I5</f>
        <v>0</v>
      </c>
      <c r="AB30" s="1350">
        <f>'Input Data'!J5</f>
        <v>0</v>
      </c>
      <c r="AC30" s="1351">
        <f>'Input Data'!K5</f>
        <v>0</v>
      </c>
    </row>
    <row r="31" spans="1:29" ht="16.5" thickBot="1">
      <c r="B31" s="1332"/>
      <c r="C31" s="1367"/>
      <c r="S31" s="1369" t="s">
        <v>3401</v>
      </c>
      <c r="T31" s="1370">
        <f>MAX(T90:T92)</f>
        <v>309.2</v>
      </c>
      <c r="U31" s="1371">
        <f t="shared" ref="U31:AC31" si="2">MAX(U90:U92)</f>
        <v>0</v>
      </c>
      <c r="V31" s="1371">
        <f t="shared" si="2"/>
        <v>0</v>
      </c>
      <c r="W31" s="1371">
        <f t="shared" si="2"/>
        <v>0</v>
      </c>
      <c r="X31" s="1371">
        <f t="shared" si="2"/>
        <v>0</v>
      </c>
      <c r="Y31" s="1371">
        <f t="shared" si="2"/>
        <v>0</v>
      </c>
      <c r="Z31" s="1371">
        <f t="shared" si="2"/>
        <v>0</v>
      </c>
      <c r="AA31" s="1371">
        <f t="shared" si="2"/>
        <v>0</v>
      </c>
      <c r="AB31" s="1371">
        <f t="shared" si="2"/>
        <v>0</v>
      </c>
      <c r="AC31" s="1372">
        <f t="shared" si="2"/>
        <v>0</v>
      </c>
    </row>
    <row r="32" spans="1:29">
      <c r="B32" s="1332"/>
      <c r="C32" s="1367"/>
      <c r="S32" s="1341" t="s">
        <v>3402</v>
      </c>
      <c r="T32" s="1364">
        <f>IFERROR(IF('Input Data'!B59="Yes",3.9,INDEX('Schneider Data'!$A$3:$H$4,2,MATCH(T30,'Schneider Data'!$A$3:$H$3,0))),0)</f>
        <v>3.9</v>
      </c>
      <c r="U32" s="1373">
        <f>IFERROR(IF('Input Data'!C59="Yes",3.9,INDEX('Schneider Data'!$A$3:$H$4,2,MATCH(U30,'Schneider Data'!$A$3:$H$3,0))),0)</f>
        <v>0</v>
      </c>
      <c r="V32" s="1373">
        <f>IFERROR(IF('Input Data'!D59="Yes",3.9,INDEX('Schneider Data'!$A$3:$H$4,2,MATCH(V30,'Schneider Data'!$A$3:$H$3,0))),0)</f>
        <v>0</v>
      </c>
      <c r="W32" s="1373">
        <f>IFERROR(IF('Input Data'!E59="Yes",3.9,INDEX('Schneider Data'!$A$3:$H$4,2,MATCH(W30,'Schneider Data'!$A$3:$H$3,0))),0)</f>
        <v>0</v>
      </c>
      <c r="X32" s="1373">
        <f>IFERROR(IF('Input Data'!F59="Yes",3.9,INDEX('Schneider Data'!$A$3:$H$4,2,MATCH(X30,'Schneider Data'!$A$3:$H$3,0))),0)</f>
        <v>0</v>
      </c>
      <c r="Y32" s="1373">
        <f>IFERROR(IF('Input Data'!G59="Yes",3.9,INDEX('Schneider Data'!$A$3:$H$4,2,MATCH(Y30,'Schneider Data'!$A$3:$H$3,0))),0)</f>
        <v>0</v>
      </c>
      <c r="Z32" s="1373">
        <f>IFERROR(IF('Input Data'!H59="Yes",3.9,INDEX('Schneider Data'!$A$3:$H$4,2,MATCH(Z30,'Schneider Data'!$A$3:$H$3,0))),0)</f>
        <v>0</v>
      </c>
      <c r="AA32" s="1373">
        <f>IFERROR(IF('Input Data'!I59="Yes",3.9,INDEX('Schneider Data'!$A$3:$H$4,2,MATCH(AA30,'Schneider Data'!$A$3:$H$3,0))),0)</f>
        <v>0</v>
      </c>
      <c r="AB32" s="1373">
        <f>IFERROR(IF('Input Data'!J59="Yes",3.9,INDEX('Schneider Data'!$A$3:$H$4,2,MATCH(AB30,'Schneider Data'!$A$3:$H$3,0))),0)</f>
        <v>0</v>
      </c>
      <c r="AC32" s="1374">
        <f>IFERROR(IF('Input Data'!K59="Yes",3.9,INDEX('Schneider Data'!$A$3:$H$4,2,MATCH(AC30,'Schneider Data'!$A$3:$H$3,0))),0)</f>
        <v>0</v>
      </c>
    </row>
    <row r="33" spans="19:29">
      <c r="S33" s="1345" t="s">
        <v>3403</v>
      </c>
      <c r="T33" s="1346">
        <f>IFERROR(IF('Input Data'!B59="Yes",IF('Input Data'!B30="Yes",2.25,1.95),INDEX('Schneider Data'!$A$11:$H$12,2,MATCH(T30,'Schneider Data'!$A$3:$H$3,0))),0)</f>
        <v>2.25</v>
      </c>
      <c r="U33" s="555">
        <f>IFERROR(IF('Input Data'!C59="Yes",IF('Input Data'!C30="Yes",2.25,1.95),INDEX('Schneider Data'!$A$11:$H$12,2,MATCH(U30,'Schneider Data'!$A$3:$H$3,0))),0)</f>
        <v>0</v>
      </c>
      <c r="V33" s="555">
        <f>IFERROR(IF('Input Data'!D59="Yes",IF('Input Data'!D30="Yes",2.25,1.95),INDEX('Schneider Data'!$A$11:$H$12,2,MATCH(V30,'Schneider Data'!$A$3:$H$3,0))),0)</f>
        <v>0</v>
      </c>
      <c r="W33" s="555">
        <f>IFERROR(IF('Input Data'!E59="Yes",IF('Input Data'!E30="Yes",2.25,1.95),INDEX('Schneider Data'!$A$11:$H$12,2,MATCH(W30,'Schneider Data'!$A$3:$H$3,0))),0)</f>
        <v>0</v>
      </c>
      <c r="X33" s="555">
        <f>IFERROR(IF('Input Data'!F59="Yes",IF('Input Data'!F30="Yes",2.25,1.95),INDEX('Schneider Data'!$A$11:$H$12,2,MATCH(X30,'Schneider Data'!$A$3:$H$3,0))),0)</f>
        <v>0</v>
      </c>
      <c r="Y33" s="555">
        <f>IFERROR(IF('Input Data'!G59="Yes",IF('Input Data'!G30="Yes",2.25,1.95),INDEX('Schneider Data'!$A$11:$H$12,2,MATCH(Y30,'Schneider Data'!$A$3:$H$3,0))),0)</f>
        <v>0</v>
      </c>
      <c r="Z33" s="555">
        <f>IFERROR(IF('Input Data'!H59="Yes",IF('Input Data'!H30="Yes",2.25,1.95),INDEX('Schneider Data'!$A$11:$H$12,2,MATCH(Z30,'Schneider Data'!$A$3:$H$3,0))),0)</f>
        <v>0</v>
      </c>
      <c r="AA33" s="555">
        <f>IFERROR(IF('Input Data'!I59="Yes",IF('Input Data'!I30="Yes",2.25,1.95),INDEX('Schneider Data'!$A$11:$H$12,2,MATCH(AA30,'Schneider Data'!$A$3:$H$3,0))),0)</f>
        <v>0</v>
      </c>
      <c r="AB33" s="555">
        <f>IFERROR(IF('Input Data'!J59="Yes",IF('Input Data'!J30="Yes",2.25,1.95),INDEX('Schneider Data'!$A$11:$H$12,2,MATCH(AB30,'Schneider Data'!$A$3:$H$3,0))),0)</f>
        <v>0</v>
      </c>
      <c r="AC33" s="1347">
        <f>IFERROR(IF('Input Data'!K59="Yes",IF('Input Data'!K30="Yes",2.25,1.95),INDEX('Schneider Data'!$A$11:$H$12,2,MATCH(AC30,'Schneider Data'!$A$3:$H$3,0))),0)</f>
        <v>0</v>
      </c>
    </row>
    <row r="34" spans="19:29" ht="16.5" thickBot="1">
      <c r="S34" s="1348" t="s">
        <v>3404</v>
      </c>
      <c r="T34" s="1349">
        <f>'Input Data'!B21</f>
        <v>18</v>
      </c>
      <c r="U34" s="1350">
        <f>'Input Data'!C21</f>
        <v>0</v>
      </c>
      <c r="V34" s="1350">
        <f>'Input Data'!D21</f>
        <v>0</v>
      </c>
      <c r="W34" s="1350">
        <f>'Input Data'!E21</f>
        <v>0</v>
      </c>
      <c r="X34" s="1350">
        <f>'Input Data'!F21</f>
        <v>0</v>
      </c>
      <c r="Y34" s="1350">
        <f>'Input Data'!G21</f>
        <v>0</v>
      </c>
      <c r="Z34" s="1350">
        <f>'Input Data'!H21</f>
        <v>0</v>
      </c>
      <c r="AA34" s="1350">
        <f>'Input Data'!I21</f>
        <v>0</v>
      </c>
      <c r="AB34" s="1350">
        <f>'Input Data'!J21</f>
        <v>0</v>
      </c>
      <c r="AC34" s="1351">
        <f>'Input Data'!K21</f>
        <v>0</v>
      </c>
    </row>
    <row r="35" spans="19:29">
      <c r="S35" s="1375" t="s">
        <v>645</v>
      </c>
      <c r="T35" s="1353">
        <f>T90+T91+T92+T32*T34</f>
        <v>688.6</v>
      </c>
      <c r="U35" s="1354">
        <f t="shared" ref="U35:AC35" si="3">U90+U91+U92+U32*U34</f>
        <v>0</v>
      </c>
      <c r="V35" s="1354">
        <f t="shared" si="3"/>
        <v>0</v>
      </c>
      <c r="W35" s="1354">
        <f t="shared" si="3"/>
        <v>0</v>
      </c>
      <c r="X35" s="1354">
        <f t="shared" si="3"/>
        <v>0</v>
      </c>
      <c r="Y35" s="1354">
        <f t="shared" si="3"/>
        <v>0</v>
      </c>
      <c r="Z35" s="1354">
        <f t="shared" si="3"/>
        <v>0</v>
      </c>
      <c r="AA35" s="1354">
        <f t="shared" si="3"/>
        <v>0</v>
      </c>
      <c r="AB35" s="1354">
        <f t="shared" si="3"/>
        <v>0</v>
      </c>
      <c r="AC35" s="1355">
        <f t="shared" si="3"/>
        <v>0</v>
      </c>
    </row>
    <row r="36" spans="19:29">
      <c r="S36" s="1345" t="s">
        <v>39</v>
      </c>
      <c r="T36" s="1356">
        <f>0.25*T31+T90+T91+T92+T32*T34</f>
        <v>765.90000000000009</v>
      </c>
      <c r="U36" s="1357">
        <f t="shared" ref="U36:AC36" si="4">0.25*U31+U90+U91+U92+U32*U34</f>
        <v>0</v>
      </c>
      <c r="V36" s="1357">
        <f t="shared" si="4"/>
        <v>0</v>
      </c>
      <c r="W36" s="1357">
        <f t="shared" si="4"/>
        <v>0</v>
      </c>
      <c r="X36" s="1357">
        <f t="shared" si="4"/>
        <v>0</v>
      </c>
      <c r="Y36" s="1357">
        <f t="shared" si="4"/>
        <v>0</v>
      </c>
      <c r="Z36" s="1357">
        <f t="shared" si="4"/>
        <v>0</v>
      </c>
      <c r="AA36" s="1357">
        <f t="shared" si="4"/>
        <v>0</v>
      </c>
      <c r="AB36" s="1357">
        <f t="shared" si="4"/>
        <v>0</v>
      </c>
      <c r="AC36" s="1358">
        <f t="shared" si="4"/>
        <v>0</v>
      </c>
    </row>
    <row r="37" spans="19:29">
      <c r="S37" s="1345" t="s">
        <v>3405</v>
      </c>
      <c r="T37" s="1356">
        <f>1.25*T31+T90+T92+T91+T32*T34</f>
        <v>1075.1000000000001</v>
      </c>
      <c r="U37" s="1357">
        <f t="shared" ref="U37:AC37" si="5">1.25*U31+U90+U92+U91+U32*U34</f>
        <v>0</v>
      </c>
      <c r="V37" s="1357">
        <f t="shared" si="5"/>
        <v>0</v>
      </c>
      <c r="W37" s="1357">
        <f t="shared" si="5"/>
        <v>0</v>
      </c>
      <c r="X37" s="1357">
        <f t="shared" si="5"/>
        <v>0</v>
      </c>
      <c r="Y37" s="1357">
        <f t="shared" si="5"/>
        <v>0</v>
      </c>
      <c r="Z37" s="1357">
        <f t="shared" si="5"/>
        <v>0</v>
      </c>
      <c r="AA37" s="1357">
        <f t="shared" si="5"/>
        <v>0</v>
      </c>
      <c r="AB37" s="1357">
        <f t="shared" si="5"/>
        <v>0</v>
      </c>
      <c r="AC37" s="1358">
        <f t="shared" si="5"/>
        <v>0</v>
      </c>
    </row>
    <row r="38" spans="19:29" ht="16.5" thickBot="1">
      <c r="S38" s="1348" t="s">
        <v>3406</v>
      </c>
      <c r="T38" s="1376">
        <f>IFERROR(LOOKUP(T37, 'Schneider Data'!$A$19:$A$55),0)</f>
        <v>1000</v>
      </c>
      <c r="U38" s="1377">
        <f>IFERROR(LOOKUP(U37, 'Schneider Data'!$A$19:$A$55),0)</f>
        <v>0</v>
      </c>
      <c r="V38" s="1377">
        <f>IFERROR(LOOKUP(V37, 'Schneider Data'!$A$19:$A$55),0)</f>
        <v>0</v>
      </c>
      <c r="W38" s="1377">
        <f>IFERROR(LOOKUP(W37, 'Schneider Data'!$A$19:$A$55),0)</f>
        <v>0</v>
      </c>
      <c r="X38" s="1377">
        <f>IFERROR(LOOKUP(X37, 'Schneider Data'!$A$19:$A$55),0)</f>
        <v>0</v>
      </c>
      <c r="Y38" s="1377">
        <f>IFERROR(LOOKUP(Y37, 'Schneider Data'!$A$19:$A$55),0)</f>
        <v>0</v>
      </c>
      <c r="Z38" s="1377">
        <f>IFERROR(LOOKUP(Z37, 'Schneider Data'!$A$19:$A$55),0)</f>
        <v>0</v>
      </c>
      <c r="AA38" s="1377">
        <f>IFERROR(LOOKUP(AA37, 'Schneider Data'!$A$19:$A$55),0)</f>
        <v>0</v>
      </c>
      <c r="AB38" s="1377">
        <f>IFERROR(LOOKUP(AB37, 'Schneider Data'!$A$19:$A$55),0)</f>
        <v>0</v>
      </c>
      <c r="AC38" s="1378">
        <f>IFERROR(LOOKUP(AC37, 'Schneider Data'!$A$19:$A$55),0)</f>
        <v>0</v>
      </c>
    </row>
    <row r="39" spans="19:29">
      <c r="S39" s="1379" t="s">
        <v>3222</v>
      </c>
      <c r="T39" s="1364" t="str">
        <f>'Input Data'!B36</f>
        <v>SSE 41.209.2900</v>
      </c>
      <c r="U39" s="1365">
        <f>'Input Data'!C36</f>
        <v>0</v>
      </c>
      <c r="V39" s="1365">
        <f>'Input Data'!D36</f>
        <v>0</v>
      </c>
      <c r="W39" s="1365">
        <f>'Input Data'!E36</f>
        <v>0</v>
      </c>
      <c r="X39" s="1365">
        <f>'Input Data'!F36</f>
        <v>0</v>
      </c>
      <c r="Y39" s="1365">
        <f>'Input Data'!G36</f>
        <v>0</v>
      </c>
      <c r="Z39" s="1365">
        <f>'Input Data'!H36</f>
        <v>0</v>
      </c>
      <c r="AA39" s="1365">
        <f>'Input Data'!I36</f>
        <v>0</v>
      </c>
      <c r="AB39" s="1365">
        <f>'Input Data'!J36</f>
        <v>0</v>
      </c>
      <c r="AC39" s="1366">
        <f>'Input Data'!K36</f>
        <v>0</v>
      </c>
    </row>
    <row r="40" spans="19:29" ht="16.5" thickBot="1">
      <c r="S40" s="1380" t="s">
        <v>3407</v>
      </c>
      <c r="T40" s="1349" t="str">
        <f>'Input Data'!B22</f>
        <v>MicroChannel</v>
      </c>
      <c r="U40" s="1381">
        <f>'Input Data'!C22</f>
        <v>0</v>
      </c>
      <c r="V40" s="1381">
        <f>'Input Data'!D22</f>
        <v>0</v>
      </c>
      <c r="W40" s="1381">
        <f>'Input Data'!E22</f>
        <v>0</v>
      </c>
      <c r="X40" s="1381">
        <f>'Input Data'!F22</f>
        <v>0</v>
      </c>
      <c r="Y40" s="1381">
        <f>'Input Data'!G22</f>
        <v>0</v>
      </c>
      <c r="Z40" s="1381">
        <f>'Input Data'!H22</f>
        <v>0</v>
      </c>
      <c r="AA40" s="1381">
        <f>'Input Data'!I22</f>
        <v>0</v>
      </c>
      <c r="AB40" s="1381">
        <f>'Input Data'!J22</f>
        <v>0</v>
      </c>
      <c r="AC40" s="1382">
        <f>'Input Data'!K22</f>
        <v>0</v>
      </c>
    </row>
    <row r="41" spans="19:29" ht="16.5" thickBot="1">
      <c r="S41" s="1383" t="s">
        <v>3408</v>
      </c>
      <c r="T41" s="1384" t="str">
        <f>IF('Input Data'!B30="Yes",IF(T40="MicroChannel","Copper Tube Aluminum Fins","MicroChannel"),0)</f>
        <v>Copper Tube Aluminum Fins</v>
      </c>
      <c r="U41" s="1384">
        <f>IF('Input Data'!C30="Yes",IF(U40="MicroChannel","Copper Tube Aluminum Fins","MicroChannel"),0)</f>
        <v>0</v>
      </c>
      <c r="V41" s="1384">
        <f>IF('Input Data'!D30="Yes",IF(V40="MicroChannel","Copper Tube Aluminum Fins","MicroChannel"),0)</f>
        <v>0</v>
      </c>
      <c r="W41" s="1384">
        <f>IF('Input Data'!E30="Yes",IF(W40="MicroChannel","Copper Tube Aluminum Fins","MicroChannel"),0)</f>
        <v>0</v>
      </c>
      <c r="X41" s="1384">
        <f>IF('Input Data'!F30="Yes",IF(X40="MicroChannel","Copper Tube Aluminum Fins","MicroChannel"),0)</f>
        <v>0</v>
      </c>
      <c r="Y41" s="1384">
        <f>IF('Input Data'!G30="Yes",IF(Y40="MicroChannel","Copper Tube Aluminum Fins","MicroChannel"),0)</f>
        <v>0</v>
      </c>
      <c r="Z41" s="1384">
        <f>IF('Input Data'!H30="Yes",IF(Z40="MicroChannel","Copper Tube Aluminum Fins","MicroChannel"),0)</f>
        <v>0</v>
      </c>
      <c r="AA41" s="1384">
        <f>IF('Input Data'!I30="Yes",IF(AA40="MicroChannel","Copper Tube Aluminum Fins","MicroChannel"),0)</f>
        <v>0</v>
      </c>
      <c r="AB41" s="1384">
        <f>IF('Input Data'!J30="Yes",IF(AB40="MicroChannel","Copper Tube Aluminum Fins","MicroChannel"),0)</f>
        <v>0</v>
      </c>
      <c r="AC41" s="1385">
        <f>IF('Input Data'!K30="Yes",IF(AC40="MicroChannel","Copper Tube Aluminum Fins","MicroChannel"),0)</f>
        <v>0</v>
      </c>
    </row>
    <row r="42" spans="19:29">
      <c r="S42" s="1386" t="s">
        <v>3409</v>
      </c>
      <c r="T42" s="1342">
        <f>IFERROR(INDEX('Schneider Data'!$B$74:$K$88,MATCH('Sound Data'!T23,'Schneider Data'!$B$74:$B$88,0),10),0)</f>
        <v>805</v>
      </c>
      <c r="U42" s="1343">
        <f>IFERROR(INDEX('Schneider Data'!$B$74:$K$88,MATCH('Sound Data'!U23,'Schneider Data'!$B$74:$B$88,0),10),0)</f>
        <v>0</v>
      </c>
      <c r="V42" s="1343">
        <f>IFERROR(INDEX('Schneider Data'!$B$74:$K$88,MATCH('Sound Data'!V23,'Schneider Data'!$B$74:$B$88,0),10),0)</f>
        <v>0</v>
      </c>
      <c r="W42" s="1343">
        <f>IFERROR(INDEX('Schneider Data'!$B$74:$K$88,MATCH('Sound Data'!W23,'Schneider Data'!$B$74:$B$88,0),10),0)</f>
        <v>0</v>
      </c>
      <c r="X42" s="1343">
        <f>IFERROR(INDEX('Schneider Data'!$B$74:$K$88,MATCH('Sound Data'!X23,'Schneider Data'!$B$74:$B$88,0),10),0)</f>
        <v>0</v>
      </c>
      <c r="Y42" s="1343">
        <f>IFERROR(INDEX('Schneider Data'!$B$74:$K$88,MATCH('Sound Data'!Y23,'Schneider Data'!$B$74:$B$88,0),10),0)</f>
        <v>0</v>
      </c>
      <c r="Z42" s="1343">
        <f>IFERROR(INDEX('Schneider Data'!$B$74:$K$88,MATCH('Sound Data'!Z23,'Schneider Data'!$B$74:$B$88,0),10),0)</f>
        <v>0</v>
      </c>
      <c r="AA42" s="1343">
        <f>IFERROR(INDEX('Schneider Data'!$B$74:$K$88,MATCH('Sound Data'!AA23,'Schneider Data'!$B$74:$B$88,0),10),0)</f>
        <v>0</v>
      </c>
      <c r="AB42" s="1343">
        <f>IFERROR(INDEX('Schneider Data'!$B$74:$K$88,MATCH('Sound Data'!AB23,'Schneider Data'!$B$74:$B$88,0),10),0)</f>
        <v>0</v>
      </c>
      <c r="AC42" s="1344">
        <f>IFERROR(INDEX('Schneider Data'!$B$74:$K$88,MATCH('Sound Data'!AC23,'Schneider Data'!$B$74:$B$88,0),10),0)</f>
        <v>0</v>
      </c>
    </row>
    <row r="43" spans="19:29">
      <c r="S43" s="1387" t="s">
        <v>3410</v>
      </c>
      <c r="T43" s="1346">
        <f>IFERROR(INDEX('Schneider Data'!$B$74:$K$88,MATCH('Sound Data'!T24,'Schneider Data'!$B$74:$B$88,0),10),)</f>
        <v>805</v>
      </c>
      <c r="U43" s="555">
        <f>IFERROR(INDEX('Schneider Data'!$B$74:$K$88,MATCH('Sound Data'!U24,'Schneider Data'!$B$74:$B$88,0),10),)</f>
        <v>0</v>
      </c>
      <c r="V43" s="555">
        <f>IFERROR(INDEX('Schneider Data'!$B$74:$K$88,MATCH('Sound Data'!V24,'Schneider Data'!$B$74:$B$88,0),10),)</f>
        <v>0</v>
      </c>
      <c r="W43" s="555">
        <f>IFERROR(INDEX('Schneider Data'!$B$74:$K$88,MATCH('Sound Data'!W24,'Schneider Data'!$B$74:$B$88,0),10),)</f>
        <v>0</v>
      </c>
      <c r="X43" s="555">
        <f>IFERROR(INDEX('Schneider Data'!$B$74:$K$88,MATCH('Sound Data'!X24,'Schneider Data'!$B$74:$B$88,0),10),)</f>
        <v>0</v>
      </c>
      <c r="Y43" s="555">
        <f>IFERROR(INDEX('Schneider Data'!$B$74:$K$88,MATCH('Sound Data'!Y24,'Schneider Data'!$B$74:$B$88,0),10),)</f>
        <v>0</v>
      </c>
      <c r="Z43" s="555">
        <f>IFERROR(INDEX('Schneider Data'!$B$74:$K$88,MATCH('Sound Data'!Z24,'Schneider Data'!$B$74:$B$88,0),10),)</f>
        <v>0</v>
      </c>
      <c r="AA43" s="555">
        <f>IFERROR(INDEX('Schneider Data'!$B$74:$K$88,MATCH('Sound Data'!AA24,'Schneider Data'!$B$74:$B$88,0),10),)</f>
        <v>0</v>
      </c>
      <c r="AB43" s="555">
        <f>IFERROR(INDEX('Schneider Data'!$B$74:$K$88,MATCH('Sound Data'!AB24,'Schneider Data'!$B$74:$B$88,0),10),)</f>
        <v>0</v>
      </c>
      <c r="AC43" s="1347">
        <f>IFERROR(INDEX('Schneider Data'!$B$74:$K$88,MATCH('Sound Data'!AC24,'Schneider Data'!$B$74:$B$88,0),10),)</f>
        <v>0</v>
      </c>
    </row>
    <row r="44" spans="19:29">
      <c r="S44" s="1387" t="s">
        <v>3411</v>
      </c>
      <c r="T44" s="1346">
        <f>IFERROR(INDEX('Schneider Data'!$B$74:$K$88,MATCH('Sound Data'!T25,'Schneider Data'!$B$74:$B$88,0),10),0)</f>
        <v>805</v>
      </c>
      <c r="U44" s="555">
        <f>IFERROR(INDEX('Schneider Data'!$B$74:$K$88,MATCH('Sound Data'!U25,'Schneider Data'!$B$74:$B$88,0),10),0)</f>
        <v>0</v>
      </c>
      <c r="V44" s="555">
        <f>IFERROR(INDEX('Schneider Data'!$B$74:$K$88,MATCH('Sound Data'!V25,'Schneider Data'!$B$74:$B$88,0),10),0)</f>
        <v>0</v>
      </c>
      <c r="W44" s="555">
        <f>IFERROR(INDEX('Schneider Data'!$B$74:$K$88,MATCH('Sound Data'!W25,'Schneider Data'!$B$74:$B$88,0),10),0)</f>
        <v>0</v>
      </c>
      <c r="X44" s="555">
        <f>IFERROR(INDEX('Schneider Data'!$B$74:$K$88,MATCH('Sound Data'!X25,'Schneider Data'!$B$74:$B$88,0),10),0)</f>
        <v>0</v>
      </c>
      <c r="Y44" s="555">
        <f>IFERROR(INDEX('Schneider Data'!$B$74:$K$88,MATCH('Sound Data'!Y25,'Schneider Data'!$B$74:$B$88,0),10),0)</f>
        <v>0</v>
      </c>
      <c r="Z44" s="555">
        <f>IFERROR(INDEX('Schneider Data'!$B$74:$K$88,MATCH('Sound Data'!Z25,'Schneider Data'!$B$74:$B$88,0),10),0)</f>
        <v>0</v>
      </c>
      <c r="AA44" s="555">
        <f>IFERROR(INDEX('Schneider Data'!$B$74:$K$88,MATCH('Sound Data'!AA25,'Schneider Data'!$B$74:$B$88,0),10),0)</f>
        <v>0</v>
      </c>
      <c r="AB44" s="555">
        <f>IFERROR(INDEX('Schneider Data'!$B$74:$K$88,MATCH('Sound Data'!AB25,'Schneider Data'!$B$74:$B$88,0),10),0)</f>
        <v>0</v>
      </c>
      <c r="AC44" s="1347">
        <f>IFERROR(INDEX('Schneider Data'!$B$74:$K$88,MATCH('Sound Data'!AC25,'Schneider Data'!$B$74:$B$88,0),10),0)</f>
        <v>0</v>
      </c>
    </row>
    <row r="45" spans="19:29">
      <c r="S45" s="1387" t="s">
        <v>3412</v>
      </c>
      <c r="T45" s="1346">
        <f>IF('Input Data'!B59="Yes",45,50)*T34</f>
        <v>810</v>
      </c>
      <c r="U45" s="555">
        <f>IF('Input Data'!C59="Yes",45,50)*U34</f>
        <v>0</v>
      </c>
      <c r="V45" s="555">
        <f>IF('Input Data'!D59="Yes",33,50)*V34</f>
        <v>0</v>
      </c>
      <c r="W45" s="555">
        <f>IF('Input Data'!E59="Yes",33,50)*W34</f>
        <v>0</v>
      </c>
      <c r="X45" s="555">
        <f>IF('Input Data'!F59="Yes",33,50)*X34</f>
        <v>0</v>
      </c>
      <c r="Y45" s="555">
        <f>IF('Input Data'!G59="Yes",33,50)*Y34</f>
        <v>0</v>
      </c>
      <c r="Z45" s="555">
        <f>IF('Input Data'!H59="Yes",33,50)*Z34</f>
        <v>0</v>
      </c>
      <c r="AA45" s="555">
        <f>IF('Input Data'!I59="Yes",33,50)*AA34</f>
        <v>0</v>
      </c>
      <c r="AB45" s="555">
        <f>IF('Input Data'!J59="Yes",33,50)*AB34</f>
        <v>0</v>
      </c>
      <c r="AC45" s="1347">
        <f>IF('Input Data'!K59="Yes",33,50)*AC34</f>
        <v>0</v>
      </c>
    </row>
    <row r="46" spans="19:29">
      <c r="S46" s="1387" t="s">
        <v>3413</v>
      </c>
      <c r="T46" s="1346">
        <f>IFERROR(INDEX('Schneider Data'!$N$22:$O$33,MATCH('Sound Data'!T39,'Schneider Data'!$N$22:$N$33,0),2),0)</f>
        <v>614</v>
      </c>
      <c r="U46" s="555">
        <f>IFERROR(INDEX('Schneider Data'!$N$22:$O$33,MATCH('Sound Data'!U39,'Schneider Data'!$N$22:$N$33,0),2),0)</f>
        <v>0</v>
      </c>
      <c r="V46" s="555">
        <f>IFERROR(INDEX('Schneider Data'!$N$22:$O$33,MATCH('Sound Data'!V39,'Schneider Data'!$N$22:$N$33,0),2),0)</f>
        <v>0</v>
      </c>
      <c r="W46" s="555">
        <f>IFERROR(INDEX('Schneider Data'!$N$22:$O$33,MATCH('Sound Data'!W39,'Schneider Data'!$N$22:$N$33,0),2),0)</f>
        <v>0</v>
      </c>
      <c r="X46" s="555">
        <f>IFERROR(INDEX('Schneider Data'!$N$22:$O$33,MATCH('Sound Data'!X39,'Schneider Data'!$N$22:$N$33,0),2),0)</f>
        <v>0</v>
      </c>
      <c r="Y46" s="555">
        <f>IFERROR(INDEX('Schneider Data'!$N$22:$O$33,MATCH('Sound Data'!Y39,'Schneider Data'!$N$22:$N$33,0),2),0)</f>
        <v>0</v>
      </c>
      <c r="Z46" s="555">
        <f>IFERROR(INDEX('Schneider Data'!$N$22:$O$33,MATCH('Sound Data'!Z39,'Schneider Data'!$N$22:$N$33,0),2),0)</f>
        <v>0</v>
      </c>
      <c r="AA46" s="555">
        <f>IFERROR(INDEX('Schneider Data'!$N$22:$O$33,MATCH('Sound Data'!AA39,'Schneider Data'!$N$22:$N$33,0),2),0)</f>
        <v>0</v>
      </c>
      <c r="AB46" s="555">
        <f>IFERROR(INDEX('Schneider Data'!$N$22:$O$33,MATCH('Sound Data'!AB39,'Schneider Data'!$N$22:$N$33,0),2),0)</f>
        <v>0</v>
      </c>
      <c r="AC46" s="1347">
        <f>IFERROR(INDEX('Schneider Data'!$N$22:$O$33,MATCH('Sound Data'!AC39,'Schneider Data'!$N$22:$N$33,0),2),0)</f>
        <v>0</v>
      </c>
    </row>
    <row r="47" spans="19:29">
      <c r="S47" s="1387" t="s">
        <v>3414</v>
      </c>
      <c r="T47" s="1346">
        <f>T34/2*(IF(T40="MicroChannel",'Schneider Data'!$S$22,'Schneider Data'!$S$23))</f>
        <v>1719</v>
      </c>
      <c r="U47" s="555">
        <f>U34/2*(IF(U40="MicroChannel",'Schneider Data'!$S$22,'Schneider Data'!$S$23))</f>
        <v>0</v>
      </c>
      <c r="V47" s="555">
        <f>V34/2*(IF(V40="MicroChannel",'Schneider Data'!$S$22,'Schneider Data'!$S$23))</f>
        <v>0</v>
      </c>
      <c r="W47" s="555">
        <f>W34/2*(IF(W40="MicroChannel",'Schneider Data'!$S$22,'Schneider Data'!$S$23))</f>
        <v>0</v>
      </c>
      <c r="X47" s="555">
        <f>X34/2*(IF(X40="MicroChannel",'Schneider Data'!$S$22,'Schneider Data'!$S$23))</f>
        <v>0</v>
      </c>
      <c r="Y47" s="555">
        <f>Y34/2*(IF(Y40="MicroChannel",'Schneider Data'!$S$22,'Schneider Data'!$S$23))</f>
        <v>0</v>
      </c>
      <c r="Z47" s="555">
        <f>Z34/2*(IF(Z40="MicroChannel",'Schneider Data'!$S$22,'Schneider Data'!$S$23))</f>
        <v>0</v>
      </c>
      <c r="AA47" s="555">
        <f>AA34/2*(IF(AA40="MicroChannel",'Schneider Data'!$S$22,'Schneider Data'!$S$23))</f>
        <v>0</v>
      </c>
      <c r="AB47" s="555">
        <f>AB34/2*(IF(AB40="MicroChannel",'Schneider Data'!$S$22,'Schneider Data'!$S$23))</f>
        <v>0</v>
      </c>
      <c r="AC47" s="1347">
        <f>AC34/2*(IF(AC40="MicroChannel",'Schneider Data'!$S$22,'Schneider Data'!$S$23))</f>
        <v>0</v>
      </c>
    </row>
    <row r="48" spans="19:29">
      <c r="S48" s="1387" t="s">
        <v>3415</v>
      </c>
      <c r="T48" s="1346">
        <f>IF('Input Data'!B30="Yes",T34/2*(IF(T41="MicroChannel",'Schneider Data'!S22,'Schneider Data'!S23))/2,0)</f>
        <v>1665</v>
      </c>
      <c r="U48" s="555">
        <f>IF('Input Data'!C30="Yes",U34/2*(IF(U41="MicroChannel",'Schneider Data'!T22,'Schneider Data'!T23))/2,0)</f>
        <v>0</v>
      </c>
      <c r="V48" s="555">
        <f>IF('Input Data'!D30="Yes",V34/2*(IF(V41="MicroChannel",'Schneider Data'!U22,'Schneider Data'!U23))/2,0)</f>
        <v>0</v>
      </c>
      <c r="W48" s="555">
        <f>IF('Input Data'!E30="Yes",W34/2*(IF(W41="MicroChannel",'Schneider Data'!V22,'Schneider Data'!V23))/2,0)</f>
        <v>0</v>
      </c>
      <c r="X48" s="555">
        <f>IF('Input Data'!F30="Yes",X34/2*(IF(X41="MicroChannel",'Schneider Data'!W22,'Schneider Data'!W23))/2,0)</f>
        <v>0</v>
      </c>
      <c r="Y48" s="555">
        <f>IF('Input Data'!G30="Yes",Y34/2*(IF(Y41="MicroChannel",'Schneider Data'!X22,'Schneider Data'!X23))/2,0)</f>
        <v>0</v>
      </c>
      <c r="Z48" s="555">
        <f>IF('Input Data'!H30="Yes",Z34/2*(IF(Z41="MicroChannel",'Schneider Data'!Y22,'Schneider Data'!Y23))/2,0)</f>
        <v>0</v>
      </c>
      <c r="AA48" s="555">
        <f>IF('Input Data'!I30="Yes",AA34/2*(IF(AA41="MicroChannel",'Schneider Data'!Z22,'Schneider Data'!Z23))/2,0)</f>
        <v>0</v>
      </c>
      <c r="AB48" s="555">
        <f>IF('Input Data'!J30="Yes",AB34/2*(IF(AB41="MicroChannel",'Schneider Data'!AA22,'Schneider Data'!AA23))/2,0)</f>
        <v>0</v>
      </c>
      <c r="AC48" s="1347">
        <f>IF('Input Data'!K30="Yes",AC34/2*(IF(AC41="MicroChannel",'Schneider Data'!AB22,'Schneider Data'!AB23))/2,0)</f>
        <v>0</v>
      </c>
    </row>
    <row r="49" spans="19:29">
      <c r="S49" s="1387" t="s">
        <v>3416</v>
      </c>
      <c r="T49" s="1346">
        <f t="shared" ref="T49:AC49" si="6">IF(T42&lt;&gt;0,150)+IF(T43&lt;&gt;0,150)+IF(T44&lt;&gt;0,150)</f>
        <v>450</v>
      </c>
      <c r="U49" s="555">
        <f t="shared" si="6"/>
        <v>0</v>
      </c>
      <c r="V49" s="555">
        <f t="shared" si="6"/>
        <v>0</v>
      </c>
      <c r="W49" s="555">
        <f t="shared" si="6"/>
        <v>0</v>
      </c>
      <c r="X49" s="555">
        <f t="shared" si="6"/>
        <v>0</v>
      </c>
      <c r="Y49" s="555">
        <f t="shared" si="6"/>
        <v>0</v>
      </c>
      <c r="Z49" s="555">
        <f t="shared" si="6"/>
        <v>0</v>
      </c>
      <c r="AA49" s="555">
        <f t="shared" si="6"/>
        <v>0</v>
      </c>
      <c r="AB49" s="555">
        <f t="shared" si="6"/>
        <v>0</v>
      </c>
      <c r="AC49" s="1347">
        <f t="shared" si="6"/>
        <v>0</v>
      </c>
    </row>
    <row r="50" spans="19:29">
      <c r="S50" s="1387" t="s">
        <v>3417</v>
      </c>
      <c r="T50" s="1346">
        <f>580*T34/2</f>
        <v>5220</v>
      </c>
      <c r="U50" s="555">
        <f t="shared" ref="U50:AC50" si="7">580*U34/2</f>
        <v>0</v>
      </c>
      <c r="V50" s="555">
        <f t="shared" si="7"/>
        <v>0</v>
      </c>
      <c r="W50" s="555">
        <f t="shared" si="7"/>
        <v>0</v>
      </c>
      <c r="X50" s="555">
        <f t="shared" si="7"/>
        <v>0</v>
      </c>
      <c r="Y50" s="555">
        <f t="shared" si="7"/>
        <v>0</v>
      </c>
      <c r="Z50" s="555">
        <f t="shared" si="7"/>
        <v>0</v>
      </c>
      <c r="AA50" s="555">
        <f t="shared" si="7"/>
        <v>0</v>
      </c>
      <c r="AB50" s="555">
        <f t="shared" si="7"/>
        <v>0</v>
      </c>
      <c r="AC50" s="1347">
        <f t="shared" si="7"/>
        <v>0</v>
      </c>
    </row>
    <row r="51" spans="19:29">
      <c r="S51" s="1387" t="s">
        <v>3418</v>
      </c>
      <c r="T51" s="1346">
        <f>IF(T42&lt;&gt;0,150)+IF(T43&lt;&gt;0,150)+IF(T44&lt;&gt;0,150)</f>
        <v>450</v>
      </c>
      <c r="U51" s="555">
        <f t="shared" ref="U51:AC51" si="8">IF(U42&lt;&gt;0,150)+IF(U43&lt;&gt;0,150)+IF(U44&lt;&gt;0,150)</f>
        <v>0</v>
      </c>
      <c r="V51" s="555">
        <f t="shared" si="8"/>
        <v>0</v>
      </c>
      <c r="W51" s="555">
        <f t="shared" si="8"/>
        <v>0</v>
      </c>
      <c r="X51" s="555">
        <f t="shared" si="8"/>
        <v>0</v>
      </c>
      <c r="Y51" s="555">
        <f t="shared" si="8"/>
        <v>0</v>
      </c>
      <c r="Z51" s="555">
        <f t="shared" si="8"/>
        <v>0</v>
      </c>
      <c r="AA51" s="555">
        <f t="shared" si="8"/>
        <v>0</v>
      </c>
      <c r="AB51" s="555">
        <f t="shared" si="8"/>
        <v>0</v>
      </c>
      <c r="AC51" s="1347">
        <f t="shared" si="8"/>
        <v>0</v>
      </c>
    </row>
    <row r="52" spans="19:29">
      <c r="S52" s="1387" t="s">
        <v>3419</v>
      </c>
      <c r="T52" s="1346">
        <f>IFERROR(INDEX('Schneider Data'!$P$52:$U$58,MATCH('Sound Data'!T84,'Schneider Data'!$P$52:$P$58,0),6),0)</f>
        <v>295</v>
      </c>
      <c r="U52" s="1388">
        <f>IFERROR(INDEX('Schneider Data'!$P$52:$U$58,MATCH('Sound Data'!U84,'Schneider Data'!$P$52:$P$58,0),6),0)</f>
        <v>0</v>
      </c>
      <c r="V52" s="1388">
        <f>IFERROR(INDEX('Schneider Data'!$P$52:$U$58,MATCH('Sound Data'!V84,'Schneider Data'!$P$52:$P$58,0),6),0)</f>
        <v>0</v>
      </c>
      <c r="W52" s="1388">
        <f>IFERROR(INDEX('Schneider Data'!$P$52:$U$58,MATCH('Sound Data'!W84,'Schneider Data'!$P$52:$P$58,0),6),0)</f>
        <v>0</v>
      </c>
      <c r="X52" s="1388">
        <f>IFERROR(INDEX('Schneider Data'!$P$52:$U$58,MATCH('Sound Data'!X84,'Schneider Data'!$P$52:$P$58,0),6),0)</f>
        <v>0</v>
      </c>
      <c r="Y52" s="1388">
        <f>IFERROR(INDEX('Schneider Data'!$P$52:$U$58,MATCH('Sound Data'!Y84,'Schneider Data'!$P$52:$P$58,0),6),0)</f>
        <v>0</v>
      </c>
      <c r="Z52" s="1388">
        <f>IFERROR(INDEX('Schneider Data'!$P$52:$U$58,MATCH('Sound Data'!Z84,'Schneider Data'!$P$52:$P$58,0),6),0)</f>
        <v>0</v>
      </c>
      <c r="AA52" s="1388">
        <f>IFERROR(INDEX('Schneider Data'!$P$52:$U$58,MATCH('Sound Data'!AA84,'Schneider Data'!$P$52:$P$58,0),6),0)</f>
        <v>0</v>
      </c>
      <c r="AB52" s="1388">
        <f>IFERROR(INDEX('Schneider Data'!$P$52:$U$58,MATCH('Sound Data'!AB84,'Schneider Data'!$P$52:$P$58,0),6),0)</f>
        <v>0</v>
      </c>
      <c r="AC52" s="1389">
        <f>IFERROR(INDEX('Schneider Data'!$P$52:$U$58,MATCH('Sound Data'!AC84,'Schneider Data'!$P$52:$P$58,0),6),0)</f>
        <v>0</v>
      </c>
    </row>
    <row r="53" spans="19:29">
      <c r="S53" s="1387" t="s">
        <v>3420</v>
      </c>
      <c r="T53" s="1346">
        <f>IFERROR(INDEX('Schneider Data'!$N$22:$P$33,MATCH('Sound Data'!T39,'Schneider Data'!$N$22:$N$33,0),3),0)</f>
        <v>240</v>
      </c>
      <c r="U53" s="1388">
        <f>IFERROR(INDEX('Schneider Data'!$N$22:$P$33,MATCH('Sound Data'!U39,'Schneider Data'!$N$22:$N$33,0),3),0)</f>
        <v>0</v>
      </c>
      <c r="V53" s="1388">
        <f>IFERROR(INDEX('Schneider Data'!$N$22:$P$33,MATCH('Sound Data'!V39,'Schneider Data'!$N$22:$N$33,0),3),0)</f>
        <v>0</v>
      </c>
      <c r="W53" s="1388">
        <f>IFERROR(INDEX('Schneider Data'!$N$22:$P$33,MATCH('Sound Data'!W39,'Schneider Data'!$N$22:$N$33,0),3),0)</f>
        <v>0</v>
      </c>
      <c r="X53" s="1388">
        <f>IFERROR(INDEX('Schneider Data'!$N$22:$P$33,MATCH('Sound Data'!X39,'Schneider Data'!$N$22:$N$33,0),3),0)</f>
        <v>0</v>
      </c>
      <c r="Y53" s="1388">
        <f>IFERROR(INDEX('Schneider Data'!$N$22:$P$33,MATCH('Sound Data'!Y39,'Schneider Data'!$N$22:$N$33,0),3),0)</f>
        <v>0</v>
      </c>
      <c r="Z53" s="1388">
        <f>IFERROR(INDEX('Schneider Data'!$N$22:$P$33,MATCH('Sound Data'!Z39,'Schneider Data'!$N$22:$N$33,0),3),0)</f>
        <v>0</v>
      </c>
      <c r="AA53" s="1388">
        <f>IFERROR(INDEX('Schneider Data'!$N$22:$P$33,MATCH('Sound Data'!AA39,'Schneider Data'!$N$22:$N$33,0),3),0)</f>
        <v>0</v>
      </c>
      <c r="AB53" s="1388">
        <f>IFERROR(INDEX('Schneider Data'!$N$22:$P$33,MATCH('Sound Data'!AB39,'Schneider Data'!$N$22:$N$33,0),3),0)</f>
        <v>0</v>
      </c>
      <c r="AC53" s="1389">
        <f>IFERROR(INDEX('Schneider Data'!$N$22:$P$33,MATCH('Sound Data'!AC39,'Schneider Data'!$N$22:$N$33,0),3),0)</f>
        <v>0</v>
      </c>
    </row>
    <row r="54" spans="19:29">
      <c r="S54" s="1387" t="s">
        <v>3382</v>
      </c>
      <c r="T54" s="1346">
        <f>IF('Input Data'!B29="Yes",165,0)</f>
        <v>165</v>
      </c>
      <c r="U54" s="1388">
        <f>IF('Input Data'!C29="Yes",165,0)</f>
        <v>0</v>
      </c>
      <c r="V54" s="1388">
        <f>IF('Input Data'!D29="Yes",165,0)</f>
        <v>0</v>
      </c>
      <c r="W54" s="1388">
        <f>IF('Input Data'!E29="Yes",165,0)</f>
        <v>0</v>
      </c>
      <c r="X54" s="1388">
        <f>IF('Input Data'!F29="Yes",165,0)</f>
        <v>0</v>
      </c>
      <c r="Y54" s="1388">
        <f>IF('Input Data'!G29="Yes",165,0)</f>
        <v>0</v>
      </c>
      <c r="Z54" s="1388">
        <f>IF('Input Data'!H29="Yes",165,0)</f>
        <v>0</v>
      </c>
      <c r="AA54" s="1388">
        <f>IF('Input Data'!I29="Yes",165,0)</f>
        <v>0</v>
      </c>
      <c r="AB54" s="1388">
        <f>IF('Input Data'!J29="Yes",165,0)</f>
        <v>0</v>
      </c>
      <c r="AC54" s="1389">
        <f>IF('Input Data'!K29="Yes",165,0)</f>
        <v>0</v>
      </c>
    </row>
    <row r="55" spans="19:29">
      <c r="S55" s="1387" t="s">
        <v>3421</v>
      </c>
      <c r="T55" s="1346">
        <f>IF('Input Data'!B29="Yes",120,0)</f>
        <v>120</v>
      </c>
      <c r="U55" s="555">
        <f>IF('Input Data'!C29="Yes",120,0)</f>
        <v>0</v>
      </c>
      <c r="V55" s="555">
        <f>IF('Input Data'!D29="Yes",120,0)</f>
        <v>0</v>
      </c>
      <c r="W55" s="555">
        <f>IF('Input Data'!E29="Yes",120,0)</f>
        <v>0</v>
      </c>
      <c r="X55" s="555">
        <f>IF('Input Data'!F29="Yes",120,0)</f>
        <v>0</v>
      </c>
      <c r="Y55" s="555">
        <f>IF('Input Data'!G29="Yes",120,0)</f>
        <v>0</v>
      </c>
      <c r="Z55" s="555">
        <f>IF('Input Data'!H29="Yes",120,0)</f>
        <v>0</v>
      </c>
      <c r="AA55" s="555">
        <f>IF('Input Data'!I29="Yes",120,0)</f>
        <v>0</v>
      </c>
      <c r="AB55" s="555">
        <f>IF('Input Data'!J29="Yes",120,0)</f>
        <v>0</v>
      </c>
      <c r="AC55" s="1389">
        <f>IF('Input Data'!K29="Yes",120,0)</f>
        <v>0</v>
      </c>
    </row>
    <row r="56" spans="19:29">
      <c r="S56" s="1387" t="s">
        <v>3422</v>
      </c>
      <c r="T56" s="1346">
        <f>IF('Input Data'!B58="Yes",580,0)</f>
        <v>580</v>
      </c>
      <c r="U56" s="555">
        <f>IF('Input Data'!C58="Yes",580,0)</f>
        <v>0</v>
      </c>
      <c r="V56" s="555">
        <f>IF('Input Data'!D58="Yes",580,0)</f>
        <v>0</v>
      </c>
      <c r="W56" s="555">
        <f>IF('Input Data'!E58="Yes",580,0)</f>
        <v>0</v>
      </c>
      <c r="X56" s="555">
        <f>IF('Input Data'!F58="Yes",580,0)</f>
        <v>0</v>
      </c>
      <c r="Y56" s="555">
        <f>IF('Input Data'!G58="Yes",580,0)</f>
        <v>0</v>
      </c>
      <c r="Z56" s="555">
        <f>IF('Input Data'!H58="Yes",580,0)</f>
        <v>0</v>
      </c>
      <c r="AA56" s="555">
        <f>IF('Input Data'!I58="Yes",580,0)</f>
        <v>0</v>
      </c>
      <c r="AB56" s="555">
        <f>IF('Input Data'!J58="Yes",580,0)</f>
        <v>0</v>
      </c>
      <c r="AC56" s="1347">
        <f>IF('Input Data'!K58="Yes",580,0)</f>
        <v>0</v>
      </c>
    </row>
    <row r="57" spans="19:29">
      <c r="S57" s="1387" t="s">
        <v>3423</v>
      </c>
      <c r="T57" s="1390">
        <f>'Input Data'!B13/3.517*0.8</f>
        <v>289.22377025874329</v>
      </c>
      <c r="U57" s="1391">
        <f>'Input Data'!C13/3.517*0.8</f>
        <v>0</v>
      </c>
      <c r="V57" s="1391">
        <f>'Input Data'!D13/3.517*0.8</f>
        <v>0</v>
      </c>
      <c r="W57" s="1391">
        <f>'Input Data'!E13/3.517*0.8</f>
        <v>0</v>
      </c>
      <c r="X57" s="1391">
        <f>'Input Data'!F13/3.517*0.8</f>
        <v>0</v>
      </c>
      <c r="Y57" s="1391">
        <f>'Input Data'!G13/3.517*0.8</f>
        <v>0</v>
      </c>
      <c r="Z57" s="1391">
        <f>'Input Data'!H13/3.517*0.8</f>
        <v>0</v>
      </c>
      <c r="AA57" s="1391">
        <f>'Input Data'!I13/3.517*0.8</f>
        <v>0</v>
      </c>
      <c r="AB57" s="1391">
        <f>'Input Data'!J13/3.517*0.8</f>
        <v>0</v>
      </c>
      <c r="AC57" s="1392">
        <f>'Input Data'!K13/3.517*0.8</f>
        <v>0</v>
      </c>
    </row>
    <row r="58" spans="19:29">
      <c r="S58" s="1517" t="s">
        <v>3424</v>
      </c>
      <c r="T58" s="1394"/>
      <c r="U58" s="1395"/>
      <c r="V58" s="1395"/>
      <c r="W58" s="1395"/>
      <c r="X58" s="1395"/>
      <c r="Y58" s="1395"/>
      <c r="Z58" s="1395"/>
      <c r="AA58" s="1395"/>
      <c r="AB58" s="1395"/>
      <c r="AC58" s="1396"/>
    </row>
    <row r="59" spans="19:29">
      <c r="S59" s="1393"/>
      <c r="T59" s="1394"/>
      <c r="U59" s="1395"/>
      <c r="V59" s="1395"/>
      <c r="W59" s="1395"/>
      <c r="X59" s="1395"/>
      <c r="Y59" s="1395"/>
      <c r="Z59" s="1395"/>
      <c r="AA59" s="1395"/>
      <c r="AB59" s="1395"/>
      <c r="AC59" s="1396"/>
    </row>
    <row r="60" spans="19:29">
      <c r="S60" s="1393"/>
      <c r="T60" s="1394"/>
      <c r="U60" s="1395"/>
      <c r="V60" s="1395"/>
      <c r="W60" s="1395"/>
      <c r="X60" s="1395"/>
      <c r="Y60" s="1395"/>
      <c r="Z60" s="1395"/>
      <c r="AA60" s="1395"/>
      <c r="AB60" s="1395"/>
      <c r="AC60" s="1396"/>
    </row>
    <row r="61" spans="19:29">
      <c r="S61" s="1393"/>
      <c r="T61" s="1394"/>
      <c r="U61" s="1395"/>
      <c r="V61" s="1395"/>
      <c r="W61" s="1395"/>
      <c r="X61" s="1395"/>
      <c r="Y61" s="1395"/>
      <c r="Z61" s="1395"/>
      <c r="AA61" s="1395"/>
      <c r="AB61" s="1395"/>
      <c r="AC61" s="1396"/>
    </row>
    <row r="62" spans="19:29">
      <c r="S62" s="1393"/>
      <c r="T62" s="1394"/>
      <c r="U62" s="1395"/>
      <c r="V62" s="1395"/>
      <c r="W62" s="1395"/>
      <c r="X62" s="1395"/>
      <c r="Y62" s="1395"/>
      <c r="Z62" s="1395"/>
      <c r="AA62" s="1395"/>
      <c r="AB62" s="1395"/>
      <c r="AC62" s="1396"/>
    </row>
    <row r="63" spans="19:29">
      <c r="S63" s="1393"/>
      <c r="T63" s="1394"/>
      <c r="U63" s="1395"/>
      <c r="V63" s="1395"/>
      <c r="W63" s="1395"/>
      <c r="X63" s="1395"/>
      <c r="Y63" s="1395"/>
      <c r="Z63" s="1395"/>
      <c r="AA63" s="1395"/>
      <c r="AB63" s="1395"/>
      <c r="AC63" s="1396"/>
    </row>
    <row r="64" spans="19:29">
      <c r="S64" s="1393"/>
      <c r="T64" s="1394"/>
      <c r="U64" s="1395"/>
      <c r="V64" s="1395"/>
      <c r="W64" s="1395"/>
      <c r="X64" s="1395"/>
      <c r="Y64" s="1395"/>
      <c r="Z64" s="1395"/>
      <c r="AA64" s="1395"/>
      <c r="AB64" s="1395"/>
      <c r="AC64" s="1396"/>
    </row>
    <row r="65" spans="19:29">
      <c r="S65" s="1393"/>
      <c r="T65" s="1394"/>
      <c r="U65" s="1395"/>
      <c r="V65" s="1395"/>
      <c r="W65" s="1395"/>
      <c r="X65" s="1395"/>
      <c r="Y65" s="1395"/>
      <c r="Z65" s="1395"/>
      <c r="AA65" s="1395"/>
      <c r="AB65" s="1395"/>
      <c r="AC65" s="1396"/>
    </row>
    <row r="66" spans="19:29">
      <c r="S66" s="1393"/>
      <c r="T66" s="1394"/>
      <c r="U66" s="1395"/>
      <c r="V66" s="1395"/>
      <c r="W66" s="1395"/>
      <c r="X66" s="1395"/>
      <c r="Y66" s="1395"/>
      <c r="Z66" s="1395"/>
      <c r="AA66" s="1395"/>
      <c r="AB66" s="1395"/>
      <c r="AC66" s="1396"/>
    </row>
    <row r="67" spans="19:29">
      <c r="S67" s="1393"/>
      <c r="T67" s="1394"/>
      <c r="U67" s="1395"/>
      <c r="V67" s="1395"/>
      <c r="W67" s="1395"/>
      <c r="X67" s="1395"/>
      <c r="Y67" s="1395"/>
      <c r="Z67" s="1395"/>
      <c r="AA67" s="1395"/>
      <c r="AB67" s="1395"/>
      <c r="AC67" s="1396"/>
    </row>
    <row r="68" spans="19:29" ht="16.5" thickBot="1">
      <c r="S68" s="1397"/>
      <c r="T68" s="1398"/>
      <c r="U68" s="1399"/>
      <c r="V68" s="1399"/>
      <c r="W68" s="1399"/>
      <c r="X68" s="1399"/>
      <c r="Y68" s="1399"/>
      <c r="Z68" s="1399"/>
      <c r="AA68" s="1399"/>
      <c r="AB68" s="1399"/>
      <c r="AC68" s="1400"/>
    </row>
    <row r="69" spans="19:29" ht="16.5" thickBot="1">
      <c r="S69" s="1401" t="s">
        <v>3425</v>
      </c>
      <c r="T69" s="1402">
        <f>CEILING(SUM(T42:T68),5)</f>
        <v>15035</v>
      </c>
      <c r="U69" s="1403">
        <f t="shared" ref="U69:AC69" si="9">CEILING(SUM(U42:U68),5)</f>
        <v>0</v>
      </c>
      <c r="V69" s="1403">
        <f t="shared" si="9"/>
        <v>0</v>
      </c>
      <c r="W69" s="1403">
        <f t="shared" si="9"/>
        <v>0</v>
      </c>
      <c r="X69" s="1403">
        <f t="shared" si="9"/>
        <v>0</v>
      </c>
      <c r="Y69" s="1403">
        <f t="shared" si="9"/>
        <v>0</v>
      </c>
      <c r="Z69" s="1403">
        <f t="shared" si="9"/>
        <v>0</v>
      </c>
      <c r="AA69" s="1403">
        <f t="shared" si="9"/>
        <v>0</v>
      </c>
      <c r="AB69" s="1403">
        <f t="shared" si="9"/>
        <v>0</v>
      </c>
      <c r="AC69" s="1404">
        <f t="shared" si="9"/>
        <v>0</v>
      </c>
    </row>
    <row r="70" spans="19:29">
      <c r="S70" s="1405" t="s">
        <v>3426</v>
      </c>
      <c r="T70" s="1406">
        <f>IF('Input Data'!B30="Yes",1380,IF(T40="MicroChannel",1160,1280))*(T34/2-1)</f>
        <v>11040</v>
      </c>
      <c r="U70" s="1407">
        <f>IF('Input Data'!C30="Yes",1380,IF(U40="MicroChannel",1160,1280))*(U34/2-1)</f>
        <v>-1280</v>
      </c>
      <c r="V70" s="1407">
        <f>IF('Input Data'!D30="Yes",1380,IF(V40="MicroChannel",1160,1280))*(V34/2-1)</f>
        <v>-1280</v>
      </c>
      <c r="W70" s="1407">
        <f>IF('Input Data'!E30="Yes",1380,IF(W40="MicroChannel",1160,1280))*(W34/2-1)</f>
        <v>-1280</v>
      </c>
      <c r="X70" s="1407">
        <f>IF('Input Data'!F30="Yes",1380,IF(X40="MicroChannel",1160,1280))*(X34/2-1)</f>
        <v>-1280</v>
      </c>
      <c r="Y70" s="1407">
        <f>IF('Input Data'!G30="Yes",1380,IF(Y40="MicroChannel",1160,1280))*(Y34/2-1)</f>
        <v>-1280</v>
      </c>
      <c r="Z70" s="1407">
        <f>IF('Input Data'!H30="Yes",1380,IF(Z40="MicroChannel",1160,1280))*(Z34/2-1)</f>
        <v>-1280</v>
      </c>
      <c r="AA70" s="1407">
        <f>IF('Input Data'!I30="Yes",1380,IF(AA40="MicroChannel",1160,1280))*(AA34/2-1)</f>
        <v>-1280</v>
      </c>
      <c r="AB70" s="1407">
        <f>IF('Input Data'!J30="Yes",1380,IF(AB40="MicroChannel",1160,1280))*(AB34/2-1)</f>
        <v>-1280</v>
      </c>
      <c r="AC70" s="1408">
        <f>IF('Input Data'!K30="Yes",1380,IF(AC40="MicroChannel",1160,1280))*(AC34/2-1)</f>
        <v>-1280</v>
      </c>
    </row>
    <row r="71" spans="19:29">
      <c r="S71" s="1409" t="s">
        <v>3427</v>
      </c>
      <c r="T71" s="1410">
        <f>IFERROR((2)*IF('Input Data'!B30="Yes",790,IF(T40="MicroChannel",680,740)),0)</f>
        <v>1580</v>
      </c>
      <c r="U71" s="1411">
        <f>IFERROR((2)*IF('Input Data'!C30="Yes",790,IF(U40="MicroChannel",680,740)),0)</f>
        <v>1480</v>
      </c>
      <c r="V71" s="1411">
        <f>IFERROR((2)*IF('Input Data'!D30="Yes",790,IF(V40="MicroChannel",680,740)),0)</f>
        <v>1480</v>
      </c>
      <c r="W71" s="1411">
        <f>IFERROR((2)*IF('Input Data'!E30="Yes",790,IF(W40="MicroChannel",680,740)),0)</f>
        <v>1480</v>
      </c>
      <c r="X71" s="1411">
        <f>IFERROR((2)*IF('Input Data'!F30="Yes",790,IF(X40="MicroChannel",680,740)),0)</f>
        <v>1480</v>
      </c>
      <c r="Y71" s="1411">
        <f>IFERROR((2)*IF('Input Data'!G30="Yes",790,IF(Y40="MicroChannel",680,740)),0)</f>
        <v>1480</v>
      </c>
      <c r="Z71" s="1411">
        <f>IFERROR((2)*IF('Input Data'!H30="Yes",790,IF(Z40="MicroChannel",680,740)),0)</f>
        <v>1480</v>
      </c>
      <c r="AA71" s="1411">
        <f>IFERROR((2)*IF('Input Data'!I30="Yes",790,IF(AA40="MicroChannel",680,740)),0)</f>
        <v>1480</v>
      </c>
      <c r="AB71" s="1411">
        <f>IFERROR((2)*IF('Input Data'!J30="Yes",790,IF(AB40="MicroChannel",680,740)),0)</f>
        <v>1480</v>
      </c>
      <c r="AC71" s="1412">
        <f>IFERROR((2)*IF('Input Data'!K30="Yes",790,IF(AC40="MicroChannel",680,740)),0)</f>
        <v>1480</v>
      </c>
    </row>
    <row r="72" spans="19:29">
      <c r="S72" s="1409" t="s">
        <v>3305</v>
      </c>
      <c r="T72" s="1410">
        <v>400</v>
      </c>
      <c r="U72" s="1411">
        <v>400</v>
      </c>
      <c r="V72" s="1411">
        <v>400</v>
      </c>
      <c r="W72" s="1411">
        <v>400</v>
      </c>
      <c r="X72" s="1411">
        <v>400</v>
      </c>
      <c r="Y72" s="1411">
        <v>400</v>
      </c>
      <c r="Z72" s="1411">
        <v>400</v>
      </c>
      <c r="AA72" s="1411">
        <v>400</v>
      </c>
      <c r="AB72" s="1411">
        <v>400</v>
      </c>
      <c r="AC72" s="1412">
        <v>400</v>
      </c>
    </row>
    <row r="73" spans="19:29">
      <c r="S73" s="1409" t="s">
        <v>3428</v>
      </c>
      <c r="T73" s="1410">
        <f>IFERROR(IF('Input Data'!B30="Yes",0,IF('Input Data'!B27="Yes",IF('Sound Data'!T40="MicroChannel",800,1000),0)),0)</f>
        <v>0</v>
      </c>
      <c r="U73" s="1410">
        <f>IFERROR(IF('Input Data'!C30="Yes",0,IF('Input Data'!C27="Yes",IF('Sound Data'!U40="MicroChannel",800,1000),0)),0)</f>
        <v>0</v>
      </c>
      <c r="V73" s="1410">
        <f>IFERROR(IF('Input Data'!D30="Yes",0,IF('Input Data'!D27="Yes",IF('Sound Data'!V40="MicroChannel",800,1000),0)),0)</f>
        <v>0</v>
      </c>
      <c r="W73" s="1410">
        <f>IFERROR(IF('Input Data'!E30="Yes",0,IF('Input Data'!E27="Yes",IF('Sound Data'!W40="MicroChannel",800,1000),0)),0)</f>
        <v>0</v>
      </c>
      <c r="X73" s="1410">
        <f>IFERROR(IF('Input Data'!F30="Yes",0,IF('Input Data'!F27="Yes",IF('Sound Data'!X40="MicroChannel",800,1000),0)),0)</f>
        <v>0</v>
      </c>
      <c r="Y73" s="1410">
        <f>IFERROR(IF('Input Data'!G30="Yes",0,IF('Input Data'!G27="Yes",IF('Sound Data'!Y40="MicroChannel",800,1000),0)),0)</f>
        <v>0</v>
      </c>
      <c r="Z73" s="1410">
        <f>IFERROR(IF('Input Data'!H30="Yes",0,IF('Input Data'!H27="Yes",IF('Sound Data'!Z40="MicroChannel",800,1000),0)),0)</f>
        <v>0</v>
      </c>
      <c r="AA73" s="1410">
        <f>IFERROR(IF('Input Data'!I30="Yes",0,IF('Input Data'!I27="Yes",IF('Sound Data'!AA40="MicroChannel",800,1000),0)),0)</f>
        <v>0</v>
      </c>
      <c r="AB73" s="1410">
        <f>IFERROR(IF('Input Data'!J30="Yes",0,IF('Input Data'!J27="Yes",IF('Sound Data'!AB40="MicroChannel",800,1000),0)),0)</f>
        <v>0</v>
      </c>
      <c r="AC73" s="1412">
        <f>IFERROR(IF('Input Data'!K30="Yes",0,IF('Input Data'!K27="Yes",IF('Sound Data'!AC40="MicroChannel",800,1000),0)),0)</f>
        <v>0</v>
      </c>
    </row>
    <row r="74" spans="19:29">
      <c r="S74" s="1409" t="s">
        <v>2221</v>
      </c>
      <c r="T74" s="1410"/>
      <c r="U74" s="1411"/>
      <c r="V74" s="1411"/>
      <c r="W74" s="1411"/>
      <c r="X74" s="1411"/>
      <c r="Y74" s="1411"/>
      <c r="Z74" s="1411"/>
      <c r="AA74" s="1411"/>
      <c r="AB74" s="1411"/>
      <c r="AC74" s="1412"/>
    </row>
    <row r="75" spans="19:29">
      <c r="S75" s="1409" t="s">
        <v>3429</v>
      </c>
      <c r="T75" s="1410">
        <f>IFERROR(IF('Input Data'!B30="Yes",0,IF(T34&lt;&gt;20,IF(T40="MicroChannel",IF(VALUE(RIGHT(T23,3))&gt;700,200,0),IF(VALUE(RIGHT(T23,3))&gt;700,300,0)),0)),0)</f>
        <v>0</v>
      </c>
      <c r="U75" s="1411">
        <f>IFERROR(IF('Input Data'!C30="Yes",0,IF(U34&lt;&gt;20,IF(U40="MicroChannel",IF(VALUE(RIGHT(U23,3))&gt;700,200,0),IF(VALUE(RIGHT(U23,3))&gt;700,300,0)),0)),0)</f>
        <v>0</v>
      </c>
      <c r="V75" s="1411">
        <f>IFERROR(IF('Input Data'!D30="Yes",0,IF(V34&lt;&gt;20,IF(V40="MicroChannel",IF(VALUE(RIGHT(V23,3))&gt;700,200,0),IF(VALUE(RIGHT(V23,3))&gt;700,300,0)),0)),0)</f>
        <v>0</v>
      </c>
      <c r="W75" s="1411">
        <f>IFERROR(IF('Input Data'!E30="Yes",0,IF(W34&lt;&gt;20,IF(W40="MicroChannel",IF(VALUE(RIGHT(W23,3))&gt;700,200,0),IF(VALUE(RIGHT(W23,3))&gt;700,300,0)),0)),0)</f>
        <v>0</v>
      </c>
      <c r="X75" s="1411">
        <f>IFERROR(IF('Input Data'!F30="Yes",0,IF(X34&lt;&gt;20,IF(X40="MicroChannel",IF(VALUE(RIGHT(X23,3))&gt;700,200,0),IF(VALUE(RIGHT(X23,3))&gt;700,300,0)),0)),0)</f>
        <v>0</v>
      </c>
      <c r="Y75" s="1411">
        <f>IFERROR(IF('Input Data'!G30="Yes",0,IF(Y34&lt;&gt;20,IF(Y40="MicroChannel",IF(VALUE(RIGHT(Y23,3))&gt;700,200,0),IF(VALUE(RIGHT(Y23,3))&gt;700,300,0)),0)),0)</f>
        <v>0</v>
      </c>
      <c r="Z75" s="1411">
        <f>IFERROR(IF('Input Data'!H30="Yes",0,IF(Z34&lt;&gt;20,IF(Z40="MicroChannel",IF(VALUE(RIGHT(Z23,3))&gt;700,200,0),IF(VALUE(RIGHT(Z23,3))&gt;700,300,0)),0)),0)</f>
        <v>0</v>
      </c>
      <c r="AA75" s="1411">
        <f>IFERROR(IF('Input Data'!I30="Yes",0,IF(AA34&lt;&gt;20,IF(AA40="MicroChannel",IF(VALUE(RIGHT(AA23,3))&gt;700,200,0),IF(VALUE(RIGHT(AA23,3))&gt;700,300,0)),0)),0)</f>
        <v>0</v>
      </c>
      <c r="AB75" s="1411">
        <f>IFERROR(IF('Input Data'!J30="Yes",0,IF(AB34&lt;&gt;20,IF(AB40="MicroChannel",IF(VALUE(RIGHT(AB23,3))&gt;700,200,0),IF(VALUE(RIGHT(AB23,3))&gt;700,300,0)),0)),0)</f>
        <v>0</v>
      </c>
      <c r="AC75" s="1412">
        <f>IFERROR(IF('Input Data'!K30="Yes",0,IF(AC34&lt;&gt;20,IF(AC40="MicroChannel",IF(VALUE(RIGHT(AC23,3))&gt;700,200,0),IF(VALUE(RIGHT(AC23,3))&gt;700,300,0)),0)),0)</f>
        <v>0</v>
      </c>
    </row>
    <row r="76" spans="19:29">
      <c r="S76" s="1409" t="s">
        <v>3430</v>
      </c>
      <c r="T76" s="1410">
        <f>IFERROR(IF('Input Data'!B30="Yes",0,IF(T34&lt;&gt;20,IF(T40="MicroChannel",IF(VALUE(RIGHT(T24,3))&gt;700,200,0),IF(VALUE(RIGHT(T24,3))&gt;700,300,0)),0)),0)</f>
        <v>0</v>
      </c>
      <c r="U76" s="1411">
        <f>IFERROR(IF('Input Data'!C30="Yes",0,IF(U34&lt;&gt;20,IF(U40="MicroChannel",IF(VALUE(RIGHT(U24,3))&gt;700,200,0),IF(VALUE(RIGHT(U24,3))&gt;700,300,0)),0)),0)</f>
        <v>0</v>
      </c>
      <c r="V76" s="1411">
        <f>IFERROR(IF('Input Data'!D30="Yes",0,IF(V34&lt;&gt;20,IF(V40="MicroChannel",IF(VALUE(RIGHT(V24,3))&gt;700,200,0),IF(VALUE(RIGHT(V24,3))&gt;700,300,0)),0)),0)</f>
        <v>0</v>
      </c>
      <c r="W76" s="1411">
        <f>IFERROR(IF('Input Data'!E30="Yes",0,IF(W34&lt;&gt;20,IF(W40="MicroChannel",IF(VALUE(RIGHT(W24,3))&gt;700,200,0),IF(VALUE(RIGHT(W24,3))&gt;700,300,0)),0)),0)</f>
        <v>0</v>
      </c>
      <c r="X76" s="1411">
        <f>IFERROR(IF('Input Data'!F30="Yes",0,IF(X34&lt;&gt;20,IF(X40="MicroChannel",IF(VALUE(RIGHT(X24,3))&gt;700,200,0),IF(VALUE(RIGHT(X24,3))&gt;700,300,0)),0)),0)</f>
        <v>0</v>
      </c>
      <c r="Y76" s="1411">
        <f>IFERROR(IF('Input Data'!G30="Yes",0,IF(Y34&lt;&gt;20,IF(Y40="MicroChannel",IF(VALUE(RIGHT(Y24,3))&gt;700,200,0),IF(VALUE(RIGHT(Y24,3))&gt;700,300,0)),0)),0)</f>
        <v>0</v>
      </c>
      <c r="Z76" s="1411">
        <f>IFERROR(IF('Input Data'!H30="Yes",0,IF(Z34&lt;&gt;20,IF(Z40="MicroChannel",IF(VALUE(RIGHT(Z24,3))&gt;700,200,0),IF(VALUE(RIGHT(Z24,3))&gt;700,300,0)),0)),0)</f>
        <v>0</v>
      </c>
      <c r="AA76" s="1411">
        <f>IFERROR(IF('Input Data'!I30="Yes",0,IF(AA34&lt;&gt;20,IF(AA40="MicroChannel",IF(VALUE(RIGHT(AA24,3))&gt;700,200,0),IF(VALUE(RIGHT(AA24,3))&gt;700,300,0)),0)),0)</f>
        <v>0</v>
      </c>
      <c r="AB76" s="1411">
        <f>IFERROR(IF('Input Data'!J30="Yes",0,IF(AB34&lt;&gt;20,IF(AB40="MicroChannel",IF(VALUE(RIGHT(AB24,3))&gt;700,200,0),IF(VALUE(RIGHT(AB24,3))&gt;700,300,0)),0)),0)</f>
        <v>0</v>
      </c>
      <c r="AC76" s="1412">
        <f>IFERROR(IF('Input Data'!K30="Yes",0,IF(AC34&lt;&gt;20,IF(AC40="MicroChannel",IF(VALUE(RIGHT(AC24,3))&gt;700,200,0),IF(VALUE(RIGHT(AC24,3))&gt;700,300,0)),0)),0)</f>
        <v>0</v>
      </c>
    </row>
    <row r="77" spans="19:29">
      <c r="S77" s="1409" t="s">
        <v>3431</v>
      </c>
      <c r="T77" s="1410">
        <f>IFERROR(IF('Input Data'!B30="Yes",0,IF(T34&lt;&gt;20,IF(T40="MicroChannel",IF(VALUE(RIGHT(T25,3))&gt;700,200,0),IF(VALUE(RIGHT(T25,3))&gt;700,300,0)),0)),0)</f>
        <v>0</v>
      </c>
      <c r="U77" s="1411">
        <f>IFERROR(IF('Input Data'!C30="Yes",0,IF(U34&lt;&gt;20,IF(U40="MicroChannel",IF(VALUE(RIGHT(U25,3))&gt;700,200,0),IF(VALUE(RIGHT(U25,3))&gt;700,300,0)),0)),0)</f>
        <v>0</v>
      </c>
      <c r="V77" s="1411">
        <f>IFERROR(IF('Input Data'!D30="Yes",0,IF(V34&lt;&gt;20,IF(V40="MicroChannel",IF(VALUE(RIGHT(V25,3))&gt;700,200,0),IF(VALUE(RIGHT(V25,3))&gt;700,300,0)),0)),0)</f>
        <v>0</v>
      </c>
      <c r="W77" s="1411">
        <f>IFERROR(IF('Input Data'!E30="Yes",0,IF(W34&lt;&gt;20,IF(W40="MicroChannel",IF(VALUE(RIGHT(W25,3))&gt;700,200,0),IF(VALUE(RIGHT(W25,3))&gt;700,300,0)),0)),0)</f>
        <v>0</v>
      </c>
      <c r="X77" s="1411">
        <f>IFERROR(IF('Input Data'!F30="Yes",0,IF(X34&lt;&gt;20,IF(X40="MicroChannel",IF(VALUE(RIGHT(X25,3))&gt;700,200,0),IF(VALUE(RIGHT(X25,3))&gt;700,300,0)),0)),0)</f>
        <v>0</v>
      </c>
      <c r="Y77" s="1411">
        <f>IFERROR(IF('Input Data'!G30="Yes",0,IF(Y34&lt;&gt;20,IF(Y40="MicroChannel",IF(VALUE(RIGHT(Y25,3))&gt;700,200,0),IF(VALUE(RIGHT(Y25,3))&gt;700,300,0)),0)),0)</f>
        <v>0</v>
      </c>
      <c r="Z77" s="1411">
        <f>IFERROR(IF('Input Data'!H30="Yes",0,IF(Z34&lt;&gt;20,IF(Z40="MicroChannel",IF(VALUE(RIGHT(Z25,3))&gt;700,200,0),IF(VALUE(RIGHT(Z25,3))&gt;700,300,0)),0)),0)</f>
        <v>0</v>
      </c>
      <c r="AA77" s="1411">
        <f>IFERROR(IF('Input Data'!I30="Yes",0,IF(AA34&lt;&gt;20,IF(AA40="MicroChannel",IF(VALUE(RIGHT(AA25,3))&gt;700,200,0),IF(VALUE(RIGHT(AA25,3))&gt;700,300,0)),0)),0)</f>
        <v>0</v>
      </c>
      <c r="AB77" s="1411">
        <f>IFERROR(IF('Input Data'!J30="Yes",0,IF(AB34&lt;&gt;20,IF(AB40="MicroChannel",IF(VALUE(RIGHT(AB25,3))&gt;700,200,0),IF(VALUE(RIGHT(AB25,3))&gt;700,300,0)),0)),0)</f>
        <v>0</v>
      </c>
      <c r="AC77" s="1412">
        <f>IFERROR(IF('Input Data'!K30="Yes",0,IF(AC34&lt;&gt;20,IF(AC40="MicroChannel",IF(VALUE(RIGHT(AC25,3))&gt;700,200,0),IF(VALUE(RIGHT(AC25,3))&gt;700,300,0)),0)),0)</f>
        <v>0</v>
      </c>
    </row>
    <row r="78" spans="19:29">
      <c r="S78" s="1409" t="s">
        <v>3432</v>
      </c>
      <c r="T78" s="1410">
        <f>IF('Input Data'!B58="Yes",640,0)</f>
        <v>640</v>
      </c>
      <c r="U78" s="1410">
        <f>IF('Input Data'!C58="Yes",640,0)</f>
        <v>0</v>
      </c>
      <c r="V78" s="1410">
        <f>IF('Input Data'!D58="Yes",640,0)</f>
        <v>0</v>
      </c>
      <c r="W78" s="1410">
        <f>IF('Input Data'!E58="Yes",640,0)</f>
        <v>0</v>
      </c>
      <c r="X78" s="1410">
        <f>IF('Input Data'!F58="Yes",640,0)</f>
        <v>0</v>
      </c>
      <c r="Y78" s="1410">
        <f>IF('Input Data'!G58="Yes",640,0)</f>
        <v>0</v>
      </c>
      <c r="Z78" s="1410">
        <f>IF('Input Data'!H58="Yes",640,0)</f>
        <v>0</v>
      </c>
      <c r="AA78" s="1410">
        <f>IF('Input Data'!I58="Yes",640,0)</f>
        <v>0</v>
      </c>
      <c r="AB78" s="1410">
        <f>IF('Input Data'!J58="Yes",640,0)</f>
        <v>0</v>
      </c>
      <c r="AC78" s="1413">
        <f>IF('Input Data'!K58="Yes",640,0)</f>
        <v>0</v>
      </c>
    </row>
    <row r="79" spans="19:29">
      <c r="S79" s="1409"/>
      <c r="T79" s="1410"/>
      <c r="U79" s="1411"/>
      <c r="V79" s="1411"/>
      <c r="W79" s="1411"/>
      <c r="X79" s="1411"/>
      <c r="Y79" s="1411"/>
      <c r="Z79" s="1411"/>
      <c r="AA79" s="1411"/>
      <c r="AB79" s="1411"/>
      <c r="AC79" s="1412"/>
    </row>
    <row r="80" spans="19:29">
      <c r="S80" s="1409"/>
      <c r="T80" s="1410"/>
      <c r="U80" s="1411"/>
      <c r="V80" s="1411"/>
      <c r="W80" s="1411"/>
      <c r="X80" s="1411"/>
      <c r="Y80" s="1411"/>
      <c r="Z80" s="1411"/>
      <c r="AA80" s="1411"/>
      <c r="AB80" s="1411"/>
      <c r="AC80" s="1412"/>
    </row>
    <row r="81" spans="19:29" ht="16.5" thickBot="1">
      <c r="S81" s="1414" t="s">
        <v>3433</v>
      </c>
      <c r="T81" s="1415">
        <f>SUM(T70:T80)</f>
        <v>13660</v>
      </c>
      <c r="U81" s="1416">
        <f t="shared" ref="U81:AC81" si="10">SUM(U70:U80)</f>
        <v>600</v>
      </c>
      <c r="V81" s="1416">
        <f t="shared" si="10"/>
        <v>600</v>
      </c>
      <c r="W81" s="1416">
        <f t="shared" si="10"/>
        <v>600</v>
      </c>
      <c r="X81" s="1416">
        <f t="shared" si="10"/>
        <v>600</v>
      </c>
      <c r="Y81" s="1416">
        <f t="shared" si="10"/>
        <v>600</v>
      </c>
      <c r="Z81" s="1416">
        <f t="shared" si="10"/>
        <v>600</v>
      </c>
      <c r="AA81" s="1416">
        <f t="shared" si="10"/>
        <v>600</v>
      </c>
      <c r="AB81" s="1416">
        <f t="shared" si="10"/>
        <v>600</v>
      </c>
      <c r="AC81" s="1417">
        <f t="shared" si="10"/>
        <v>600</v>
      </c>
    </row>
    <row r="82" spans="19:29">
      <c r="S82" s="1405" t="s">
        <v>982</v>
      </c>
      <c r="T82" s="1418">
        <f>IF('Input Data'!B30="Yes",IF(T40="MicroChannel",2400,2700),IF(T34&lt;&gt;20,2200,IF(T40="MicroChannel",2400,2600)))+180+190</f>
        <v>2770</v>
      </c>
      <c r="U82" s="1418">
        <f>IF('Input Data'!C30="Yes",IF(U40="MicroChannel",2400,2700),IF(U34&lt;&gt;20,2200,IF(U40="MicroChannel",2400,2600)))+180+190</f>
        <v>2570</v>
      </c>
      <c r="V82" s="1418">
        <f>IF('Input Data'!D30="Yes",IF(V40="MicroChannel",2400,2700),IF(V34&lt;&gt;20,2200,IF(V40="MicroChannel",2400,2600)))+180+190</f>
        <v>2570</v>
      </c>
      <c r="W82" s="1418">
        <f>IF('Input Data'!E30="Yes",IF(W40="MicroChannel",2400,2700),IF(W34&lt;&gt;20,2200,IF(W40="MicroChannel",2400,2600)))+180+190</f>
        <v>2570</v>
      </c>
      <c r="X82" s="1418">
        <f>IF('Input Data'!F30="Yes",IF(X40="MicroChannel",2400,2700),IF(X34&lt;&gt;20,2200,IF(X40="MicroChannel",2400,2600)))+180+190</f>
        <v>2570</v>
      </c>
      <c r="Y82" s="1418">
        <f>IF('Input Data'!G30="Yes",IF(Y40="MicroChannel",2400,2700),IF(Y34&lt;&gt;20,2200,IF(Y40="MicroChannel",2400,2600)))+180+190</f>
        <v>2570</v>
      </c>
      <c r="Z82" s="1418">
        <f>IF('Input Data'!H30="Yes",IF(Z40="MicroChannel",2400,2700),IF(Z34&lt;&gt;20,2200,IF(Z40="MicroChannel",2400,2600)))+180+190</f>
        <v>2570</v>
      </c>
      <c r="AA82" s="1418">
        <f>IF('Input Data'!I30="Yes",IF(AA40="MicroChannel",2400,2700),IF(AA34&lt;&gt;20,2200,IF(AA40="MicroChannel",2400,2600)))+180+190</f>
        <v>2570</v>
      </c>
      <c r="AB82" s="1418">
        <f>IF('Input Data'!J30="Yes",IF(AB40="MicroChannel",2400,2700),IF(AB34&lt;&gt;20,2200,IF(AB40="MicroChannel",2400,2600)))+180+190</f>
        <v>2570</v>
      </c>
      <c r="AC82" s="1419">
        <f>IF('Input Data'!K30="Yes",IF(AC40="MicroChannel",2400,2700),IF(AC34&lt;&gt;20,2200,IF(AC40="MicroChannel",2400,2600)))+180+190</f>
        <v>2570</v>
      </c>
    </row>
    <row r="83" spans="19:29" ht="16.5" thickBot="1">
      <c r="S83" s="1414" t="s">
        <v>3304</v>
      </c>
      <c r="T83" s="1415">
        <v>2230</v>
      </c>
      <c r="U83" s="1416">
        <v>2230</v>
      </c>
      <c r="V83" s="1416">
        <v>2230</v>
      </c>
      <c r="W83" s="1416">
        <v>2230</v>
      </c>
      <c r="X83" s="1416">
        <v>2230</v>
      </c>
      <c r="Y83" s="1416">
        <v>2230</v>
      </c>
      <c r="Z83" s="1416">
        <v>2230</v>
      </c>
      <c r="AA83" s="1416">
        <v>2230</v>
      </c>
      <c r="AB83" s="1416">
        <v>2230</v>
      </c>
      <c r="AC83" s="1417">
        <v>2230</v>
      </c>
    </row>
    <row r="84" spans="19:29">
      <c r="S84" s="1420" t="s">
        <v>3346</v>
      </c>
      <c r="T84" s="1421" t="str">
        <f>IFERROR(IF('Input Data'!B$27="Yes",INDEX('Schneider Data'!$O$52:$V$59,MATCH('Input Data'!B25,'Schneider Data'!$O$52:$O$59,1),8),0),0)</f>
        <v>ETCL100-080-200</v>
      </c>
      <c r="U84" s="1422">
        <f>IFERROR(IF('Input Data'!C$27="Yes",INDEX('Schneider Data'!$O$52:$V$59,MATCH('Input Data'!C25,'Schneider Data'!$O$52:$O$59,1),8),0),0)</f>
        <v>0</v>
      </c>
      <c r="V84" s="1422">
        <f>IFERROR(IF('Input Data'!D$27="Yes",INDEX('Schneider Data'!$O$52:$V$59,MATCH('Input Data'!D25,'Schneider Data'!$O$52:$O$59,1),8),0),0)</f>
        <v>0</v>
      </c>
      <c r="W84" s="1422">
        <f>IFERROR(IF('Input Data'!E$27="Yes",INDEX('Schneider Data'!$O$52:$V$59,MATCH('Input Data'!E25,'Schneider Data'!$O$52:$O$59,1),8),0),0)</f>
        <v>0</v>
      </c>
      <c r="X84" s="1422">
        <f>IFERROR(IF('Input Data'!F$27="Yes",INDEX('Schneider Data'!$O$52:$V$59,MATCH('Input Data'!F25,'Schneider Data'!$O$52:$O$59,1),8),0),0)</f>
        <v>0</v>
      </c>
      <c r="Y84" s="1422">
        <f>IFERROR(IF('Input Data'!G$27="Yes",INDEX('Schneider Data'!$O$52:$V$59,MATCH('Input Data'!G25,'Schneider Data'!$O$52:$O$59,1),8),0),0)</f>
        <v>0</v>
      </c>
      <c r="Z84" s="1422">
        <f>IFERROR(IF('Input Data'!H$27="Yes",INDEX('Schneider Data'!$O$52:$V$59,MATCH('Input Data'!H25,'Schneider Data'!$O$52:$O$59,1),8),0),0)</f>
        <v>0</v>
      </c>
      <c r="AA84" s="1422">
        <f>IFERROR(IF('Input Data'!I$27="Yes",INDEX('Schneider Data'!$O$52:$V$59,MATCH('Input Data'!I25,'Schneider Data'!$O$52:$O$59,1),8),0),0)</f>
        <v>0</v>
      </c>
      <c r="AB84" s="1422">
        <f>IFERROR(IF('Input Data'!J$27="Yes",INDEX('Schneider Data'!$O$52:$V$59,MATCH('Input Data'!J25,'Schneider Data'!$O$52:$O$59,1),8),0),0)</f>
        <v>0</v>
      </c>
      <c r="AC84" s="1423">
        <f>IFERROR(IF('Input Data'!K$27="Yes",INDEX('Schneider Data'!$O$52:$V$59,MATCH('Input Data'!K25,'Schneider Data'!$O$52:$O$59,1),8),0),0)</f>
        <v>0</v>
      </c>
    </row>
    <row r="85" spans="19:29">
      <c r="S85" s="1424" t="s">
        <v>3349</v>
      </c>
      <c r="T85" s="1425">
        <f>IFERROR(IF('Input Data'!B27="Yes",INDEX('Schneider Data'!$P$52:$U$58,MATCH('Sound Data'!T84,'Schneider Data'!$P$52:$P$58,0),4),0),0)</f>
        <v>30</v>
      </c>
      <c r="U85" s="1411">
        <f>IFERROR(IF('Input Data'!C27="Yes",INDEX('Schneider Data'!$P$52:$U$58,MATCH('Sound Data'!U84,'Schneider Data'!$P$52:$P$58,0),4),0),0)</f>
        <v>0</v>
      </c>
      <c r="V85" s="1411">
        <f>IFERROR(IF('Input Data'!D27="Yes",INDEX('Schneider Data'!$P$52:$U$58,MATCH('Sound Data'!V84,'Schneider Data'!$P$52:$P$58,0),4),0),0)</f>
        <v>0</v>
      </c>
      <c r="W85" s="1411">
        <f>IFERROR(IF('Input Data'!E27="Yes",INDEX('Schneider Data'!$P$52:$U$58,MATCH('Sound Data'!W84,'Schneider Data'!$P$52:$P$58,0),4),0),0)</f>
        <v>0</v>
      </c>
      <c r="X85" s="1411">
        <f>IFERROR(IF('Input Data'!F27="Yes",INDEX('Schneider Data'!$P$52:$U$58,MATCH('Sound Data'!X84,'Schneider Data'!$P$52:$P$58,0),4),0),0)</f>
        <v>0</v>
      </c>
      <c r="Y85" s="1411">
        <f>IFERROR(IF('Input Data'!G27="Yes",INDEX('Schneider Data'!$P$52:$U$58,MATCH('Sound Data'!Y84,'Schneider Data'!$P$52:$P$58,0),4),0),0)</f>
        <v>0</v>
      </c>
      <c r="Z85" s="1411">
        <f>IFERROR(IF('Input Data'!H27="Yes",INDEX('Schneider Data'!$P$52:$U$58,MATCH('Sound Data'!Z84,'Schneider Data'!$P$52:$P$58,0),4),0),0)</f>
        <v>0</v>
      </c>
      <c r="AA85" s="1411">
        <f>IFERROR(IF('Input Data'!I27="Yes",INDEX('Schneider Data'!$P$52:$U$58,MATCH('Sound Data'!AA84,'Schneider Data'!$P$52:$P$58,0),4),0),0)</f>
        <v>0</v>
      </c>
      <c r="AB85" s="1411">
        <f>IFERROR(IF('Input Data'!J27="Yes",INDEX('Schneider Data'!$P$52:$U$58,MATCH('Sound Data'!AB84,'Schneider Data'!$P$52:$P$58,0),4),0),0)</f>
        <v>0</v>
      </c>
      <c r="AC85" s="1412">
        <f>IFERROR(IF('Input Data'!K27="Yes",INDEX('Schneider Data'!$P$52:$U$58,MATCH('Sound Data'!AC84,'Schneider Data'!$P$52:$P$58,0),4),0),0)</f>
        <v>0</v>
      </c>
    </row>
    <row r="86" spans="19:29">
      <c r="S86" s="1424" t="s">
        <v>3434</v>
      </c>
      <c r="T86" s="1425">
        <f>IFERROR(IF('Input Data'!B27="Yes",INDEX('Schneider Data'!$P$52:$U$58,MATCH('Sound Data'!T84,'Schneider Data'!$P$52:$P$58,0),3),0),0)</f>
        <v>21.6</v>
      </c>
      <c r="U86" s="1411">
        <f>IFERROR(IF('Input Data'!C27="Yes",INDEX('Schneider Data'!$P$52:$U$58,MATCH('Sound Data'!U84,'Schneider Data'!$P$52:$P$58,0),3),0),0)</f>
        <v>0</v>
      </c>
      <c r="V86" s="1411">
        <f>IFERROR(IF('Input Data'!D27="Yes",INDEX('Schneider Data'!$P$52:$U$58,MATCH('Sound Data'!V84,'Schneider Data'!$P$52:$P$58,0),3),0),0)</f>
        <v>0</v>
      </c>
      <c r="W86" s="1411">
        <f>IFERROR(IF('Input Data'!E27="Yes",INDEX('Schneider Data'!$P$52:$U$58,MATCH('Sound Data'!W84,'Schneider Data'!$P$52:$P$58,0),3),0),0)</f>
        <v>0</v>
      </c>
      <c r="X86" s="1411">
        <f>IFERROR(IF('Input Data'!F27="Yes",INDEX('Schneider Data'!$P$52:$U$58,MATCH('Sound Data'!X84,'Schneider Data'!$P$52:$P$58,0),3),0),0)</f>
        <v>0</v>
      </c>
      <c r="Y86" s="1411">
        <f>IFERROR(IF('Input Data'!G27="Yes",INDEX('Schneider Data'!$P$52:$U$58,MATCH('Sound Data'!Y84,'Schneider Data'!$P$52:$P$58,0),3),0),0)</f>
        <v>0</v>
      </c>
      <c r="Z86" s="1411">
        <f>IFERROR(IF('Input Data'!H27="Yes",INDEX('Schneider Data'!$P$52:$U$58,MATCH('Sound Data'!Z84,'Schneider Data'!$P$52:$P$58,0),3),0),0)</f>
        <v>0</v>
      </c>
      <c r="AA86" s="1411">
        <f>IFERROR(IF('Input Data'!I27="Yes",INDEX('Schneider Data'!$P$52:$U$58,MATCH('Sound Data'!AA84,'Schneider Data'!$P$52:$P$58,0),3),0),0)</f>
        <v>0</v>
      </c>
      <c r="AB86" s="1411">
        <f>IFERROR(IF('Input Data'!J27="Yes",INDEX('Schneider Data'!$P$52:$U$58,MATCH('Sound Data'!AB84,'Schneider Data'!$P$52:$P$58,0),3),0),0)</f>
        <v>0</v>
      </c>
      <c r="AC86" s="1412">
        <f>IFERROR(IF('Input Data'!K27="Yes",INDEX('Schneider Data'!$P$52:$U$58,MATCH('Sound Data'!AC84,'Schneider Data'!$P$52:$P$58,0),3),0),0)</f>
        <v>0</v>
      </c>
    </row>
    <row r="87" spans="19:29">
      <c r="S87" s="1424" t="s">
        <v>645</v>
      </c>
      <c r="T87" s="1425">
        <f>IFERROR(INDEX('Schneider Data'!$P$79:$X$97,MATCH('Sound Data'!T85,'Schneider Data'!$P$79:$P$97,0),MATCH('Input Data'!B5,'Schneider Data'!$P$78:$X$78,0)),0)</f>
        <v>57</v>
      </c>
      <c r="U87" s="1411">
        <f>IFERROR(INDEX('Schneider Data'!$P$79:$X$97,MATCH('Sound Data'!U85,'Schneider Data'!$P$79:$P$97,0),MATCH('Input Data'!C5,'Schneider Data'!$P$78:$X$78,0)),0)</f>
        <v>0</v>
      </c>
      <c r="V87" s="1411">
        <f>IFERROR(INDEX('Schneider Data'!$P$79:$X$97,MATCH('Sound Data'!V85,'Schneider Data'!$P$79:$P$97,0),MATCH('Input Data'!D5,'Schneider Data'!$P$78:$X$78,0)),0)</f>
        <v>0</v>
      </c>
      <c r="W87" s="1411">
        <f>IFERROR(INDEX('Schneider Data'!$P$79:$X$97,MATCH('Sound Data'!W85,'Schneider Data'!$P$79:$P$97,0),MATCH('Input Data'!E5,'Schneider Data'!$P$78:$X$78,0)),0)</f>
        <v>0</v>
      </c>
      <c r="X87" s="1411">
        <f>IFERROR(INDEX('Schneider Data'!$P$79:$X$97,MATCH('Sound Data'!X85,'Schneider Data'!$P$79:$P$97,0),MATCH('Input Data'!F5,'Schneider Data'!$P$78:$X$78,0)),0)</f>
        <v>0</v>
      </c>
      <c r="Y87" s="1411">
        <f>IFERROR(INDEX('Schneider Data'!$P$79:$X$97,MATCH('Sound Data'!Y85,'Schneider Data'!$P$79:$P$97,0),MATCH('Input Data'!G5,'Schneider Data'!$P$78:$X$78,0)),0)</f>
        <v>0</v>
      </c>
      <c r="Z87" s="1411">
        <f>IFERROR(INDEX('Schneider Data'!$P$79:$X$97,MATCH('Sound Data'!Z85,'Schneider Data'!$P$79:$P$97,0),MATCH('Input Data'!H5,'Schneider Data'!$P$78:$X$78,0)),0)</f>
        <v>0</v>
      </c>
      <c r="AA87" s="1411">
        <f>IFERROR(INDEX('Schneider Data'!$P$79:$X$97,MATCH('Sound Data'!AA85,'Schneider Data'!$P$79:$P$97,0),MATCH('Input Data'!I5,'Schneider Data'!$P$78:$X$78,0)),0)</f>
        <v>0</v>
      </c>
      <c r="AB87" s="1411">
        <f>IFERROR(INDEX('Schneider Data'!$P$79:$X$97,MATCH('Sound Data'!AB85,'Schneider Data'!$P$79:$P$97,0),MATCH('Input Data'!J5,'Schneider Data'!$P$78:$X$78,0)),0)</f>
        <v>0</v>
      </c>
      <c r="AC87" s="1412">
        <f>IFERROR(INDEX('Schneider Data'!$P$79:$X$97,MATCH('Sound Data'!AC85,'Schneider Data'!$P$79:$P$97,0),MATCH('Input Data'!K5,'Schneider Data'!$P$78:$X$78,0)),0)</f>
        <v>0</v>
      </c>
    </row>
    <row r="88" spans="19:29">
      <c r="S88" s="1424" t="s">
        <v>3405</v>
      </c>
      <c r="T88" s="1425">
        <f>T87*2.25</f>
        <v>128.25</v>
      </c>
      <c r="U88" s="1411">
        <f t="shared" ref="U88:AC88" si="11">U87*2.25</f>
        <v>0</v>
      </c>
      <c r="V88" s="1411">
        <f t="shared" si="11"/>
        <v>0</v>
      </c>
      <c r="W88" s="1411">
        <f t="shared" si="11"/>
        <v>0</v>
      </c>
      <c r="X88" s="1411">
        <f t="shared" si="11"/>
        <v>0</v>
      </c>
      <c r="Y88" s="1411">
        <f t="shared" si="11"/>
        <v>0</v>
      </c>
      <c r="Z88" s="1411">
        <f t="shared" si="11"/>
        <v>0</v>
      </c>
      <c r="AA88" s="1411">
        <f t="shared" si="11"/>
        <v>0</v>
      </c>
      <c r="AB88" s="1411">
        <f t="shared" si="11"/>
        <v>0</v>
      </c>
      <c r="AC88" s="1412">
        <f t="shared" si="11"/>
        <v>0</v>
      </c>
    </row>
    <row r="89" spans="19:29" ht="16.5" thickBot="1">
      <c r="S89" s="1426" t="s">
        <v>3406</v>
      </c>
      <c r="T89" s="1427">
        <f>IFERROR(LOOKUP(T88, 'Schneider Data'!$A$19:$A$55),0)</f>
        <v>125</v>
      </c>
      <c r="U89" s="1416">
        <f>IFERROR(LOOKUP(U88, 'Schneider Data'!$A$19:$A$55),0)</f>
        <v>0</v>
      </c>
      <c r="V89" s="1416">
        <f>IFERROR(LOOKUP(V88, 'Schneider Data'!$A$19:$A$55),0)</f>
        <v>0</v>
      </c>
      <c r="W89" s="1416">
        <f>IFERROR(LOOKUP(W88, 'Schneider Data'!$A$19:$A$55),0)</f>
        <v>0</v>
      </c>
      <c r="X89" s="1416">
        <f>IFERROR(LOOKUP(X88, 'Schneider Data'!$A$19:$A$55),0)</f>
        <v>0</v>
      </c>
      <c r="Y89" s="1416">
        <f>IFERROR(LOOKUP(Y88, 'Schneider Data'!$A$19:$A$55),0)</f>
        <v>0</v>
      </c>
      <c r="Z89" s="1416">
        <f>IFERROR(LOOKUP(Z88, 'Schneider Data'!$A$19:$A$55),0)</f>
        <v>0</v>
      </c>
      <c r="AA89" s="1416">
        <f>IFERROR(LOOKUP(AA88, 'Schneider Data'!$A$19:$A$55),0)</f>
        <v>0</v>
      </c>
      <c r="AB89" s="1416">
        <f>IFERROR(LOOKUP(AB88, 'Schneider Data'!$A$19:$A$55),0)</f>
        <v>0</v>
      </c>
      <c r="AC89" s="1417">
        <f>IFERROR(LOOKUP(AC88, 'Schneider Data'!$A$19:$A$55),0)</f>
        <v>0</v>
      </c>
    </row>
    <row r="90" spans="19:29">
      <c r="S90" s="1613" t="s">
        <v>3660</v>
      </c>
      <c r="T90" s="1421">
        <f>'Input Data'!B71</f>
        <v>309.2</v>
      </c>
      <c r="U90" s="1418">
        <f>'Input Data'!C71</f>
        <v>0</v>
      </c>
      <c r="V90" s="1418">
        <f>'Input Data'!D71</f>
        <v>0</v>
      </c>
      <c r="W90" s="1418">
        <f>'Input Data'!E71</f>
        <v>0</v>
      </c>
      <c r="X90" s="1418">
        <f>'Input Data'!F71</f>
        <v>0</v>
      </c>
      <c r="Y90" s="1418">
        <f>'Input Data'!G71</f>
        <v>0</v>
      </c>
      <c r="Z90" s="1418">
        <f>'Input Data'!H71</f>
        <v>0</v>
      </c>
      <c r="AA90" s="1418">
        <f>'Input Data'!I71</f>
        <v>0</v>
      </c>
      <c r="AB90" s="1418">
        <f>'Input Data'!J71</f>
        <v>0</v>
      </c>
      <c r="AC90" s="1419">
        <f>'Input Data'!K71</f>
        <v>0</v>
      </c>
    </row>
    <row r="91" spans="19:29">
      <c r="S91" s="1614" t="s">
        <v>3661</v>
      </c>
      <c r="T91" s="1425">
        <f>'Input Data'!B72</f>
        <v>309.2</v>
      </c>
      <c r="U91" s="1410">
        <f>'Input Data'!C72</f>
        <v>0</v>
      </c>
      <c r="V91" s="1410">
        <f>'Input Data'!D72</f>
        <v>0</v>
      </c>
      <c r="W91" s="1410">
        <f>'Input Data'!E72</f>
        <v>0</v>
      </c>
      <c r="X91" s="1410">
        <f>'Input Data'!F72</f>
        <v>0</v>
      </c>
      <c r="Y91" s="1410">
        <f>'Input Data'!G72</f>
        <v>0</v>
      </c>
      <c r="Z91" s="1410">
        <f>'Input Data'!H72</f>
        <v>0</v>
      </c>
      <c r="AA91" s="1410">
        <f>'Input Data'!I72</f>
        <v>0</v>
      </c>
      <c r="AB91" s="1410">
        <f>'Input Data'!J72</f>
        <v>0</v>
      </c>
      <c r="AC91" s="1413">
        <f>'Input Data'!K72</f>
        <v>0</v>
      </c>
    </row>
    <row r="92" spans="19:29" ht="16.5" thickBot="1">
      <c r="S92" s="1615" t="s">
        <v>3662</v>
      </c>
      <c r="T92" s="1427">
        <f>'Input Data'!B73</f>
        <v>0</v>
      </c>
      <c r="U92" s="1415">
        <f>'Input Data'!C73</f>
        <v>0</v>
      </c>
      <c r="V92" s="1415">
        <f>'Input Data'!D73</f>
        <v>0</v>
      </c>
      <c r="W92" s="1415">
        <f>'Input Data'!E73</f>
        <v>0</v>
      </c>
      <c r="X92" s="1415">
        <f>'Input Data'!F73</f>
        <v>0</v>
      </c>
      <c r="Y92" s="1415">
        <f>'Input Data'!G73</f>
        <v>0</v>
      </c>
      <c r="Z92" s="1415">
        <f>'Input Data'!H73</f>
        <v>0</v>
      </c>
      <c r="AA92" s="1415">
        <f>'Input Data'!I73</f>
        <v>0</v>
      </c>
      <c r="AB92" s="1415">
        <f>'Input Data'!J73</f>
        <v>0</v>
      </c>
      <c r="AC92" s="1619">
        <f>'Input Data'!K73</f>
        <v>0</v>
      </c>
    </row>
    <row r="93" spans="19:29">
      <c r="S93" s="1428" t="s">
        <v>3435</v>
      </c>
      <c r="T93" s="1616">
        <f>IFERROR('Input Data'!B37*1000*'Input Data'!B15/('Input Data'!B15+'Input Data'!B16+'Input Data'!B17),0)</f>
        <v>96470.520382750037</v>
      </c>
      <c r="U93" s="1617">
        <f>IFERROR('Input Data'!C37*1000*'Input Data'!C15/('Input Data'!C15+'Input Data'!C16+'Input Data'!C17),0)</f>
        <v>0</v>
      </c>
      <c r="V93" s="1617">
        <f>IFERROR('Input Data'!D37*1000*'Input Data'!D15/('Input Data'!D15+'Input Data'!D16+'Input Data'!D17),0)</f>
        <v>0</v>
      </c>
      <c r="W93" s="1617">
        <f>IFERROR('Input Data'!E37*1000*'Input Data'!E15/('Input Data'!E15+'Input Data'!E16+'Input Data'!E17),0)</f>
        <v>0</v>
      </c>
      <c r="X93" s="1617">
        <f>IFERROR('Input Data'!F37*1000*'Input Data'!F15/('Input Data'!F15+'Input Data'!F16+'Input Data'!F17),0)</f>
        <v>0</v>
      </c>
      <c r="Y93" s="1617">
        <f>IFERROR('Input Data'!G37*1000*'Input Data'!G15/('Input Data'!G15+'Input Data'!G16+'Input Data'!G17),0)</f>
        <v>0</v>
      </c>
      <c r="Z93" s="1617">
        <f>IFERROR('Input Data'!H37*1000*'Input Data'!H15/('Input Data'!H15+'Input Data'!H16+'Input Data'!H17),0)</f>
        <v>0</v>
      </c>
      <c r="AA93" s="1617">
        <f>IFERROR('Input Data'!I37*1000*'Input Data'!I15/('Input Data'!I15+'Input Data'!I16+'Input Data'!I17),0)</f>
        <v>0</v>
      </c>
      <c r="AB93" s="1617">
        <f>IFERROR('Input Data'!J37*1000*'Input Data'!J15/('Input Data'!J15+'Input Data'!J16+'Input Data'!J17),0)</f>
        <v>0</v>
      </c>
      <c r="AC93" s="1618">
        <f>IFERROR('Input Data'!K37*1000*'Input Data'!K15/('Input Data'!K15+'Input Data'!K16+'Input Data'!K17),0)</f>
        <v>0</v>
      </c>
    </row>
    <row r="94" spans="19:29">
      <c r="S94" s="1432" t="s">
        <v>3436</v>
      </c>
      <c r="T94" s="1429">
        <f>IFERROR('Input Data'!B37*1000*'Input Data'!B16/('Input Data'!B15+'Input Data'!B16+'Input Data'!B17),0)</f>
        <v>96470.520382750037</v>
      </c>
      <c r="U94" s="1430">
        <f>IFERROR('Input Data'!C37*1000*'Input Data'!C16/('Input Data'!C15+'Input Data'!C16+'Input Data'!C17),0)</f>
        <v>0</v>
      </c>
      <c r="V94" s="1430">
        <f>IFERROR('Input Data'!D37*1000*'Input Data'!D16/('Input Data'!D15+'Input Data'!D16+'Input Data'!D17),0)</f>
        <v>0</v>
      </c>
      <c r="W94" s="1430">
        <f>IFERROR('Input Data'!E37*1000*'Input Data'!E16/('Input Data'!E15+'Input Data'!E16+'Input Data'!E17),0)</f>
        <v>0</v>
      </c>
      <c r="X94" s="1430">
        <f>IFERROR('Input Data'!F37*1000*'Input Data'!F16/('Input Data'!F15+'Input Data'!F16+'Input Data'!F17),0)</f>
        <v>0</v>
      </c>
      <c r="Y94" s="1430">
        <f>IFERROR('Input Data'!G37*1000*'Input Data'!G16/('Input Data'!G15+'Input Data'!G16+'Input Data'!G17),0)</f>
        <v>0</v>
      </c>
      <c r="Z94" s="1430">
        <f>IFERROR('Input Data'!H37*1000*'Input Data'!H16/('Input Data'!H15+'Input Data'!H16+'Input Data'!H17),0)</f>
        <v>0</v>
      </c>
      <c r="AA94" s="1430">
        <f>IFERROR('Input Data'!I37*1000*'Input Data'!I16/('Input Data'!I15+'Input Data'!I16+'Input Data'!I17),0)</f>
        <v>0</v>
      </c>
      <c r="AB94" s="1430">
        <f>IFERROR('Input Data'!J37*1000*'Input Data'!J16/('Input Data'!J15+'Input Data'!J16+'Input Data'!J17),0)</f>
        <v>0</v>
      </c>
      <c r="AC94" s="1431">
        <f>IFERROR('Input Data'!K37*1000*'Input Data'!K16/('Input Data'!K15+'Input Data'!K16+'Input Data'!K17),0)</f>
        <v>0</v>
      </c>
    </row>
    <row r="95" spans="19:29" ht="16.5" thickBot="1">
      <c r="S95" s="1433" t="s">
        <v>3437</v>
      </c>
      <c r="T95" s="1434">
        <f>IFERROR('Input Data'!B37*1000*'Input Data'!B17/('Input Data'!B15+'Input Data'!B16+'Input Data'!B17),0)</f>
        <v>96470.520382750037</v>
      </c>
      <c r="U95" s="1435">
        <f>IFERROR('Input Data'!C37*1000*'Input Data'!C17/('Input Data'!C15+'Input Data'!C16+'Input Data'!C17),0)</f>
        <v>0</v>
      </c>
      <c r="V95" s="1435">
        <f>IFERROR('Input Data'!D37*1000*'Input Data'!D17/('Input Data'!D15+'Input Data'!D16+'Input Data'!D17),0)</f>
        <v>0</v>
      </c>
      <c r="W95" s="1435">
        <f>IFERROR('Input Data'!E37*1000*'Input Data'!E17/('Input Data'!E15+'Input Data'!E16+'Input Data'!E17),0)</f>
        <v>0</v>
      </c>
      <c r="X95" s="1435">
        <f>IFERROR('Input Data'!F37*1000*'Input Data'!F17/('Input Data'!F15+'Input Data'!F16+'Input Data'!F17),0)</f>
        <v>0</v>
      </c>
      <c r="Y95" s="1435">
        <f>IFERROR('Input Data'!G37*1000*'Input Data'!G17/('Input Data'!G15+'Input Data'!G16+'Input Data'!G17),0)</f>
        <v>0</v>
      </c>
      <c r="Z95" s="1435">
        <f>IFERROR('Input Data'!H37*1000*'Input Data'!H17/('Input Data'!H15+'Input Data'!H16+'Input Data'!H17),0)</f>
        <v>0</v>
      </c>
      <c r="AA95" s="1435">
        <f>IFERROR('Input Data'!I37*1000*'Input Data'!I17/('Input Data'!I15+'Input Data'!I16+'Input Data'!I17),0)</f>
        <v>0</v>
      </c>
      <c r="AB95" s="1435">
        <f>IFERROR('Input Data'!J37*1000*'Input Data'!J17/('Input Data'!J15+'Input Data'!J16+'Input Data'!J17),0)</f>
        <v>0</v>
      </c>
      <c r="AC95" s="1436">
        <f>IFERROR('Input Data'!K37*1000*'Input Data'!K17/('Input Data'!K15+'Input Data'!K16+'Input Data'!K17),0)</f>
        <v>0</v>
      </c>
    </row>
    <row r="96" spans="19:29" ht="16.5" thickBot="1">
      <c r="S96" s="1401" t="s">
        <v>3438</v>
      </c>
      <c r="T96" s="1437">
        <f>IFERROR('Input Data'!B18*1000/((T90+T91+T92)*1.732*VALUE(LEFT(T30,3))),0)</f>
        <v>0.77942312340130171</v>
      </c>
      <c r="U96" s="1438">
        <f>IFERROR('Input Data'!C18*1000/((U90+U91+U92)*1.732*VALUE(LEFT(U30,3))),0)</f>
        <v>0</v>
      </c>
      <c r="V96" s="1438">
        <f>IFERROR('Input Data'!D18*1000/((V90+V91+V92)*1.732*VALUE(LEFT(V30,3))),0)</f>
        <v>0</v>
      </c>
      <c r="W96" s="1438">
        <f>IFERROR('Input Data'!E18*1000/((W90+W91+W92)*1.732*VALUE(LEFT(W30,3))),0)</f>
        <v>0</v>
      </c>
      <c r="X96" s="1438">
        <f>IFERROR('Input Data'!F18*1000/((X90+X91+X92)*1.732*VALUE(LEFT(X30,3))),0)</f>
        <v>0</v>
      </c>
      <c r="Y96" s="1438">
        <f>IFERROR('Input Data'!G18*1000/((Y90+Y91+Y92)*1.732*VALUE(LEFT(Y30,3))),0)</f>
        <v>0</v>
      </c>
      <c r="Z96" s="1438">
        <f>IFERROR('Input Data'!H18*1000/((Z90+Z91+Z92)*1.732*VALUE(LEFT(Z30,3))),0)</f>
        <v>0</v>
      </c>
      <c r="AA96" s="1438">
        <f>IFERROR('Input Data'!I18*1000/((AA90+AA91+AA92)*1.732*VALUE(LEFT(AA30,3))),0)</f>
        <v>0</v>
      </c>
      <c r="AB96" s="1438">
        <f>IFERROR('Input Data'!J18*1000/((AB90+AB91+AB92)*1.732*VALUE(LEFT(AB30,3))),0)</f>
        <v>0</v>
      </c>
      <c r="AC96" s="1439">
        <f>IFERROR('Input Data'!K18*1000/((AC90+AC91+AC92)*1.732*VALUE(LEFT(AC30,3))),0)</f>
        <v>0</v>
      </c>
    </row>
    <row r="97" spans="1:29">
      <c r="T97" s="1440"/>
      <c r="U97" s="1440"/>
      <c r="V97" s="1440"/>
      <c r="W97" s="1440"/>
      <c r="X97" s="1440"/>
      <c r="Y97" s="1440"/>
      <c r="Z97" s="1440"/>
      <c r="AA97" s="1440"/>
      <c r="AB97" s="1440"/>
      <c r="AC97" s="1440"/>
    </row>
    <row r="98" spans="1:29">
      <c r="T98" s="1440"/>
      <c r="U98" s="1440"/>
      <c r="V98" s="1440"/>
      <c r="W98" s="1440"/>
      <c r="X98" s="1440"/>
      <c r="Y98" s="1440"/>
      <c r="Z98" s="1440"/>
      <c r="AA98" s="1440"/>
      <c r="AB98" s="1440"/>
      <c r="AC98" s="1440"/>
    </row>
    <row r="99" spans="1:29">
      <c r="T99" s="1440"/>
      <c r="U99" s="1440"/>
      <c r="V99" s="1440"/>
      <c r="W99" s="1440"/>
      <c r="X99" s="1440"/>
      <c r="Y99" s="1440"/>
      <c r="Z99" s="1440"/>
      <c r="AA99" s="1440"/>
      <c r="AB99" s="1440"/>
      <c r="AC99" s="1440"/>
    </row>
    <row r="100" spans="1:29">
      <c r="T100" s="1440"/>
      <c r="U100" s="1440"/>
      <c r="V100" s="1440"/>
      <c r="W100" s="1440"/>
      <c r="X100" s="1440"/>
      <c r="Y100" s="1440"/>
      <c r="Z100" s="1440"/>
      <c r="AA100" s="1440"/>
      <c r="AB100" s="1440"/>
      <c r="AC100" s="1440"/>
    </row>
    <row r="101" spans="1:29">
      <c r="T101" s="1440"/>
      <c r="U101" s="1440"/>
      <c r="V101" s="1440"/>
      <c r="W101" s="1440"/>
      <c r="X101" s="1440"/>
      <c r="Y101" s="1440"/>
      <c r="Z101" s="1440"/>
      <c r="AA101" s="1440"/>
      <c r="AB101" s="1440"/>
      <c r="AC101" s="1440"/>
    </row>
    <row r="102" spans="1:29">
      <c r="T102" s="1440"/>
      <c r="U102" s="1440"/>
      <c r="V102" s="1440"/>
      <c r="W102" s="1440"/>
      <c r="X102" s="1440"/>
      <c r="Y102" s="1440"/>
      <c r="Z102" s="1440"/>
      <c r="AA102" s="1440"/>
      <c r="AB102" s="1440"/>
      <c r="AC102" s="1440"/>
    </row>
    <row r="103" spans="1:29">
      <c r="T103" s="1440"/>
      <c r="U103" s="1440"/>
      <c r="V103" s="1440"/>
      <c r="W103" s="1440"/>
      <c r="X103" s="1440"/>
      <c r="Y103" s="1440"/>
      <c r="Z103" s="1440"/>
      <c r="AA103" s="1440"/>
      <c r="AB103" s="1440"/>
      <c r="AC103" s="1440"/>
    </row>
    <row r="104" spans="1:29">
      <c r="A104" s="1333" t="s">
        <v>3439</v>
      </c>
      <c r="B104" s="1333">
        <v>63</v>
      </c>
      <c r="C104" s="1333">
        <v>125</v>
      </c>
      <c r="D104" s="1333">
        <v>250</v>
      </c>
      <c r="E104" s="1333">
        <v>500</v>
      </c>
      <c r="F104" s="1333">
        <v>1000</v>
      </c>
      <c r="G104" s="1333">
        <v>2000</v>
      </c>
      <c r="H104" s="1333">
        <v>4000</v>
      </c>
      <c r="I104" s="1333">
        <v>8000</v>
      </c>
      <c r="J104" s="1333" t="s">
        <v>3383</v>
      </c>
      <c r="T104" s="1440"/>
      <c r="U104" s="1440"/>
      <c r="V104" s="1440"/>
      <c r="W104" s="1440"/>
      <c r="X104" s="1440"/>
      <c r="Y104" s="1440"/>
      <c r="Z104" s="1440"/>
      <c r="AA104" s="1440"/>
      <c r="AB104" s="1440"/>
      <c r="AC104" s="1440"/>
    </row>
    <row r="105" spans="1:29">
      <c r="A105" s="1333" t="s">
        <v>3440</v>
      </c>
      <c r="B105" s="1335">
        <v>59.826728815152741</v>
      </c>
      <c r="C105" s="1335">
        <v>58.353412220519672</v>
      </c>
      <c r="D105" s="1335">
        <v>62.121212602222997</v>
      </c>
      <c r="E105" s="1335">
        <v>60.565934723701353</v>
      </c>
      <c r="F105" s="1335">
        <v>69.480573883736412</v>
      </c>
      <c r="G105" s="1335">
        <v>67.209099850110562</v>
      </c>
      <c r="H105" s="1335">
        <v>62.445537390524358</v>
      </c>
      <c r="I105" s="1335">
        <v>52.218477472234461</v>
      </c>
      <c r="J105" s="1335">
        <f t="shared" ref="J105:J131" si="12">10*LOG(10^((B105-26)/10)+10^((C105-16)/10)+10^((D105-9)/10)+10^((E105-3)/10)+10^(F105/10)+10^((G105+1)/10)+10^((H105+1)/10)+10^((I105-1)/10))</f>
        <v>72.702701586594017</v>
      </c>
      <c r="T105" s="1440"/>
      <c r="U105" s="1440"/>
      <c r="V105" s="1440"/>
      <c r="W105" s="1440"/>
      <c r="X105" s="1440"/>
      <c r="Y105" s="1440"/>
      <c r="Z105" s="1440"/>
      <c r="AA105" s="1440"/>
      <c r="AB105" s="1440"/>
      <c r="AC105" s="1440"/>
    </row>
    <row r="106" spans="1:29">
      <c r="A106" s="1333" t="s">
        <v>3441</v>
      </c>
      <c r="B106" s="1335">
        <v>60.359893617789034</v>
      </c>
      <c r="C106" s="1335">
        <v>58.853412220519672</v>
      </c>
      <c r="D106" s="1335">
        <v>62.688744254533219</v>
      </c>
      <c r="E106" s="1335">
        <v>61.116735878881897</v>
      </c>
      <c r="F106" s="1335">
        <v>70.080573883736406</v>
      </c>
      <c r="G106" s="1335">
        <v>67.769647695768427</v>
      </c>
      <c r="H106" s="1335">
        <v>63.034028560672908</v>
      </c>
      <c r="I106" s="1335">
        <v>52.681573674091702</v>
      </c>
      <c r="J106" s="1335">
        <f t="shared" si="12"/>
        <v>73.284431507161784</v>
      </c>
      <c r="T106" s="1440"/>
      <c r="U106" s="1440"/>
      <c r="V106" s="1440"/>
      <c r="W106" s="1440"/>
      <c r="X106" s="1440"/>
      <c r="Y106" s="1440"/>
      <c r="Z106" s="1440"/>
      <c r="AA106" s="1440"/>
      <c r="AB106" s="1440"/>
      <c r="AC106" s="1440"/>
    </row>
    <row r="107" spans="1:29">
      <c r="A107" s="1333" t="s">
        <v>3442</v>
      </c>
      <c r="B107" s="1335">
        <v>64.246739309190218</v>
      </c>
      <c r="C107" s="1335">
        <v>62.623822079218805</v>
      </c>
      <c r="D107" s="1335">
        <v>66.86653143850333</v>
      </c>
      <c r="E107" s="1335">
        <v>65.132955233119105</v>
      </c>
      <c r="F107" s="1335">
        <v>74.751838665024565</v>
      </c>
      <c r="G107" s="1335">
        <v>72.209099850110562</v>
      </c>
      <c r="H107" s="1335">
        <v>67.152443590099978</v>
      </c>
      <c r="I107" s="1335">
        <v>56.139269634576095</v>
      </c>
      <c r="J107" s="1335">
        <f t="shared" si="12"/>
        <v>77.778864725065546</v>
      </c>
      <c r="T107" s="1440"/>
      <c r="U107" s="1440"/>
      <c r="V107" s="1440"/>
      <c r="W107" s="1440"/>
      <c r="X107" s="1440"/>
      <c r="Y107" s="1440"/>
      <c r="Z107" s="1440"/>
      <c r="AA107" s="1440"/>
      <c r="AB107" s="1440"/>
      <c r="AC107" s="1440"/>
    </row>
    <row r="108" spans="1:29">
      <c r="A108" s="1333" t="s">
        <v>3443</v>
      </c>
      <c r="B108" s="1335">
        <v>61.310765074814107</v>
      </c>
      <c r="C108" s="1335">
        <v>59.790379602224164</v>
      </c>
      <c r="D108" s="1335">
        <v>63.749370705584639</v>
      </c>
      <c r="E108" s="1335">
        <v>62.116735878881912</v>
      </c>
      <c r="F108" s="1335">
        <v>71.269920568883563</v>
      </c>
      <c r="G108" s="1335">
        <v>68.909099850110564</v>
      </c>
      <c r="H108" s="1335">
        <v>64.034028560672908</v>
      </c>
      <c r="I108" s="1335">
        <v>53.545204389539414</v>
      </c>
      <c r="J108" s="1335">
        <f t="shared" si="12"/>
        <v>74.4244886377341</v>
      </c>
      <c r="T108" s="1440"/>
      <c r="U108" s="1440"/>
      <c r="V108" s="1440"/>
      <c r="W108" s="1440"/>
      <c r="X108" s="1440"/>
      <c r="Y108" s="1440"/>
      <c r="Z108" s="1440"/>
      <c r="AA108" s="1440"/>
      <c r="AB108" s="1440"/>
      <c r="AC108" s="1440"/>
    </row>
    <row r="109" spans="1:29">
      <c r="A109" s="1333" t="s">
        <v>3364</v>
      </c>
      <c r="B109" s="1335">
        <v>64.531565517004111</v>
      </c>
      <c r="C109" s="1335">
        <v>62.890379602224172</v>
      </c>
      <c r="D109" s="1335">
        <v>67.166531438503327</v>
      </c>
      <c r="E109" s="1335">
        <v>65.350367013908553</v>
      </c>
      <c r="F109" s="1335">
        <v>75.051838665024576</v>
      </c>
      <c r="G109" s="1335">
        <v>72.509099850110559</v>
      </c>
      <c r="H109" s="1335">
        <v>67.452443590099989</v>
      </c>
      <c r="I109" s="1335">
        <v>56.339269634576105</v>
      </c>
      <c r="J109" s="1335">
        <f t="shared" si="12"/>
        <v>78.076068788500621</v>
      </c>
      <c r="T109" s="1440"/>
      <c r="U109" s="1440"/>
      <c r="V109" s="1440"/>
      <c r="W109" s="1440"/>
      <c r="X109" s="1440"/>
      <c r="Y109" s="1440"/>
      <c r="Z109" s="1440"/>
      <c r="AA109" s="1440"/>
      <c r="AB109" s="1440"/>
      <c r="AC109" s="1440"/>
    </row>
    <row r="110" spans="1:29">
      <c r="A110" s="1333" t="s">
        <v>3444</v>
      </c>
      <c r="B110" s="1335">
        <v>64.931565517004103</v>
      </c>
      <c r="C110" s="1335">
        <v>63.290379602224164</v>
      </c>
      <c r="D110" s="1335">
        <v>67.636492070296782</v>
      </c>
      <c r="E110" s="1335">
        <v>65.750367013908559</v>
      </c>
      <c r="F110" s="1335">
        <v>75.551838665024576</v>
      </c>
      <c r="G110" s="1335">
        <v>73.009099850110559</v>
      </c>
      <c r="H110" s="1335">
        <v>67.941965333187184</v>
      </c>
      <c r="I110" s="1335">
        <v>56.705003893638334</v>
      </c>
      <c r="J110" s="1335">
        <f t="shared" si="12"/>
        <v>78.571183748205897</v>
      </c>
      <c r="T110" s="1440"/>
      <c r="U110" s="1440"/>
      <c r="V110" s="1440"/>
      <c r="W110" s="1440"/>
      <c r="X110" s="1440"/>
      <c r="Y110" s="1440"/>
      <c r="Z110" s="1440"/>
      <c r="AA110" s="1440"/>
      <c r="AB110" s="1440"/>
      <c r="AC110" s="1440"/>
    </row>
    <row r="111" spans="1:29">
      <c r="A111" s="1333" t="s">
        <v>3365</v>
      </c>
      <c r="B111" s="1335">
        <v>65.231565517004114</v>
      </c>
      <c r="C111" s="1335">
        <v>63.590379602224161</v>
      </c>
      <c r="D111" s="1335">
        <v>67.859944467416383</v>
      </c>
      <c r="E111" s="1335">
        <v>66.0853264755726</v>
      </c>
      <c r="F111" s="1335">
        <v>75.851838665024573</v>
      </c>
      <c r="G111" s="1335">
        <v>73.309099850110556</v>
      </c>
      <c r="H111" s="1335">
        <v>68.141965333187187</v>
      </c>
      <c r="I111" s="1335">
        <v>57.005003893638332</v>
      </c>
      <c r="J111" s="1335">
        <f t="shared" si="12"/>
        <v>78.860552476866246</v>
      </c>
      <c r="T111" s="1440"/>
      <c r="U111" s="1440"/>
      <c r="V111" s="1440"/>
      <c r="W111" s="1440"/>
      <c r="X111" s="1440"/>
      <c r="Y111" s="1440"/>
      <c r="Z111" s="1440"/>
      <c r="AA111" s="1440"/>
      <c r="AB111" s="1440"/>
      <c r="AC111" s="1440"/>
    </row>
    <row r="112" spans="1:29">
      <c r="A112" s="1333" t="s">
        <v>3366</v>
      </c>
      <c r="B112" s="1335">
        <v>65.616685726405905</v>
      </c>
      <c r="C112" s="1335">
        <v>63.923822079218809</v>
      </c>
      <c r="D112" s="1335">
        <v>68.230010437425193</v>
      </c>
      <c r="E112" s="1335">
        <v>66.432955233119102</v>
      </c>
      <c r="F112" s="1335">
        <v>76.308981979751493</v>
      </c>
      <c r="G112" s="1335">
        <v>73.709099850110562</v>
      </c>
      <c r="H112" s="1335">
        <v>68.541965333187193</v>
      </c>
      <c r="I112" s="1335">
        <v>57.305003893638329</v>
      </c>
      <c r="J112" s="1335">
        <f t="shared" si="12"/>
        <v>79.287004246278272</v>
      </c>
      <c r="T112" s="1440"/>
      <c r="U112" s="1440"/>
      <c r="V112" s="1440"/>
      <c r="W112" s="1440"/>
      <c r="X112" s="1440"/>
      <c r="Y112" s="1440"/>
      <c r="Z112" s="1440"/>
      <c r="AA112" s="1440"/>
      <c r="AB112" s="1440"/>
      <c r="AC112" s="1440"/>
    </row>
    <row r="113" spans="1:29">
      <c r="A113" s="1333" t="s">
        <v>3445</v>
      </c>
      <c r="B113" s="1335">
        <v>65.883953419932766</v>
      </c>
      <c r="C113" s="1335">
        <v>64.161041113931361</v>
      </c>
      <c r="D113" s="1335">
        <v>68.53001043742519</v>
      </c>
      <c r="E113" s="1335">
        <v>66.715872083355592</v>
      </c>
      <c r="F113" s="1335">
        <v>76.632922636378055</v>
      </c>
      <c r="G113" s="1335">
        <v>74.009099850110559</v>
      </c>
      <c r="H113" s="1335">
        <v>68.831701108012965</v>
      </c>
      <c r="I113" s="1335">
        <v>57.505003893638332</v>
      </c>
      <c r="J113" s="1335">
        <f t="shared" si="12"/>
        <v>79.597008962243109</v>
      </c>
      <c r="T113" s="1440"/>
      <c r="U113" s="1440"/>
      <c r="V113" s="1440"/>
      <c r="W113" s="1440"/>
      <c r="X113" s="1440"/>
      <c r="Y113" s="1440"/>
      <c r="Z113" s="1440"/>
      <c r="AA113" s="1440"/>
      <c r="AB113" s="1440"/>
      <c r="AC113" s="1440"/>
    </row>
    <row r="114" spans="1:29">
      <c r="A114" s="1333" t="s">
        <v>3446</v>
      </c>
      <c r="B114" s="1335">
        <v>66.069252344754673</v>
      </c>
      <c r="C114" s="1335">
        <v>64.323822079218814</v>
      </c>
      <c r="D114" s="1335">
        <v>68.723666985040126</v>
      </c>
      <c r="E114" s="1335">
        <v>66.885326475572612</v>
      </c>
      <c r="F114" s="1335">
        <v>76.799550433734197</v>
      </c>
      <c r="G114" s="1335">
        <v>74.209099850110562</v>
      </c>
      <c r="H114" s="1335">
        <v>68.994228686628475</v>
      </c>
      <c r="I114" s="1335">
        <v>57.671254894504159</v>
      </c>
      <c r="J114" s="1335">
        <f t="shared" si="12"/>
        <v>79.775174526465818</v>
      </c>
      <c r="T114" s="1440"/>
      <c r="U114" s="1440"/>
      <c r="V114" s="1440"/>
      <c r="W114" s="1440"/>
      <c r="X114" s="1440"/>
      <c r="Y114" s="1440"/>
      <c r="Z114" s="1440"/>
      <c r="AA114" s="1440"/>
      <c r="AB114" s="1440"/>
      <c r="AC114" s="1440"/>
    </row>
    <row r="115" spans="1:29">
      <c r="A115" s="1333" t="s">
        <v>3367</v>
      </c>
      <c r="B115" s="1335">
        <v>66.283953419932772</v>
      </c>
      <c r="C115" s="1335">
        <v>64.590379602224161</v>
      </c>
      <c r="D115" s="1335">
        <v>69.000557095073816</v>
      </c>
      <c r="E115" s="1335">
        <v>67.168448491512066</v>
      </c>
      <c r="F115" s="1335">
        <v>77.132922636378055</v>
      </c>
      <c r="G115" s="1335">
        <v>74.509099850110559</v>
      </c>
      <c r="H115" s="1335">
        <v>69.241965333187181</v>
      </c>
      <c r="I115" s="1335">
        <v>57.871254894504162</v>
      </c>
      <c r="J115" s="1335">
        <f t="shared" si="12"/>
        <v>80.085404948797247</v>
      </c>
      <c r="T115" s="1440"/>
      <c r="U115" s="1440"/>
      <c r="V115" s="1440"/>
      <c r="W115" s="1440"/>
      <c r="X115" s="1440"/>
      <c r="Y115" s="1440"/>
      <c r="Z115" s="1440"/>
      <c r="AA115" s="1440"/>
      <c r="AB115" s="1440"/>
      <c r="AC115" s="1440"/>
    </row>
    <row r="116" spans="1:29">
      <c r="A116" s="1333" t="s">
        <v>3368</v>
      </c>
      <c r="B116" s="1335">
        <v>67.269252344754676</v>
      </c>
      <c r="C116" s="1335">
        <v>65.523822079218817</v>
      </c>
      <c r="D116" s="1335">
        <v>69.994315926606575</v>
      </c>
      <c r="E116" s="1335">
        <v>68.168448491512066</v>
      </c>
      <c r="F116" s="1335">
        <v>78.290313745114389</v>
      </c>
      <c r="G116" s="1335">
        <v>75.609099850110567</v>
      </c>
      <c r="H116" s="1335">
        <v>70.284087385190233</v>
      </c>
      <c r="I116" s="1335">
        <v>58.738018784611342</v>
      </c>
      <c r="J116" s="1335">
        <f t="shared" si="12"/>
        <v>81.203906802461063</v>
      </c>
      <c r="T116" s="1440"/>
      <c r="U116" s="1440"/>
      <c r="V116" s="1440"/>
      <c r="W116" s="1440"/>
      <c r="X116" s="1440"/>
      <c r="Y116" s="1440"/>
      <c r="Z116" s="1440"/>
      <c r="AA116" s="1440"/>
      <c r="AB116" s="1440"/>
      <c r="AC116" s="1440"/>
    </row>
    <row r="117" spans="1:29">
      <c r="A117" s="1333" t="s">
        <v>3370</v>
      </c>
      <c r="B117" s="1335">
        <v>68.708153636822985</v>
      </c>
      <c r="C117" s="1335">
        <v>66.923822079218809</v>
      </c>
      <c r="D117" s="1335">
        <v>71.553551782902986</v>
      </c>
      <c r="E117" s="1335">
        <v>69.621598645479224</v>
      </c>
      <c r="F117" s="1335">
        <v>79.97241049611803</v>
      </c>
      <c r="G117" s="1335">
        <v>77.249103341702181</v>
      </c>
      <c r="H117" s="1335">
        <v>71.774153996483832</v>
      </c>
      <c r="I117" s="1335">
        <v>59.990321381070942</v>
      </c>
      <c r="J117" s="1335">
        <f t="shared" si="12"/>
        <v>82.843355485011259</v>
      </c>
      <c r="T117" s="1440"/>
      <c r="U117" s="1440"/>
      <c r="V117" s="1440"/>
      <c r="W117" s="1440"/>
      <c r="X117" s="1440"/>
      <c r="Y117" s="1440"/>
      <c r="Z117" s="1440"/>
      <c r="AA117" s="1440"/>
      <c r="AB117" s="1440"/>
      <c r="AC117" s="1440"/>
    </row>
    <row r="118" spans="1:29">
      <c r="A118" s="1333" t="s">
        <v>3371</v>
      </c>
      <c r="B118" s="1335">
        <v>69.694193423520247</v>
      </c>
      <c r="C118" s="1335">
        <v>67.86104111393135</v>
      </c>
      <c r="D118" s="1335">
        <v>72.619681886140143</v>
      </c>
      <c r="E118" s="1335">
        <v>70.605243016344787</v>
      </c>
      <c r="F118" s="1335">
        <v>81.130601486161197</v>
      </c>
      <c r="G118" s="1335">
        <v>78.349103341702175</v>
      </c>
      <c r="H118" s="1335">
        <v>72.854895803891935</v>
      </c>
      <c r="I118" s="1335">
        <v>60.858331341216108</v>
      </c>
      <c r="J118" s="1335">
        <f t="shared" si="12"/>
        <v>83.967543404642058</v>
      </c>
      <c r="T118" s="1440"/>
      <c r="U118" s="1440"/>
      <c r="V118" s="1440"/>
      <c r="W118" s="1440"/>
      <c r="X118" s="1440"/>
      <c r="Y118" s="1440"/>
      <c r="Z118" s="1440"/>
      <c r="AA118" s="1440"/>
      <c r="AB118" s="1440"/>
      <c r="AC118" s="1440"/>
    </row>
    <row r="119" spans="1:29">
      <c r="A119" s="1333" t="s">
        <v>3372</v>
      </c>
      <c r="B119" s="1335">
        <v>70.594193423520252</v>
      </c>
      <c r="C119" s="1335">
        <v>68.694709397856442</v>
      </c>
      <c r="D119" s="1335">
        <v>73.514144328575185</v>
      </c>
      <c r="E119" s="1335">
        <v>71.489199956686804</v>
      </c>
      <c r="F119" s="1335">
        <v>82.180908593990395</v>
      </c>
      <c r="G119" s="1335">
        <v>79.349103341702175</v>
      </c>
      <c r="H119" s="1335">
        <v>73.745563550060737</v>
      </c>
      <c r="I119" s="1335">
        <v>61.62684016571216</v>
      </c>
      <c r="J119" s="1335">
        <f t="shared" si="12"/>
        <v>84.978745388092435</v>
      </c>
      <c r="T119" s="1440"/>
      <c r="U119" s="1440"/>
      <c r="V119" s="1440"/>
      <c r="W119" s="1440"/>
      <c r="X119" s="1440"/>
      <c r="Y119" s="1440"/>
      <c r="Z119" s="1440"/>
      <c r="AA119" s="1440"/>
      <c r="AB119" s="1440"/>
      <c r="AC119" s="1440"/>
    </row>
    <row r="120" spans="1:29">
      <c r="A120" s="1333" t="s">
        <v>3373</v>
      </c>
      <c r="B120" s="1335">
        <v>71.580507491811247</v>
      </c>
      <c r="C120" s="1335">
        <v>69.661041113931347</v>
      </c>
      <c r="D120" s="1335">
        <v>74.559478245434462</v>
      </c>
      <c r="E120" s="1335">
        <v>72.489199956686804</v>
      </c>
      <c r="F120" s="1335">
        <v>83.313663770680648</v>
      </c>
      <c r="G120" s="1335">
        <v>80.389660714347585</v>
      </c>
      <c r="H120" s="1335">
        <v>74.798992795148081</v>
      </c>
      <c r="I120" s="1335">
        <v>62.495843620736181</v>
      </c>
      <c r="J120" s="1335">
        <f t="shared" si="12"/>
        <v>86.067653100652478</v>
      </c>
      <c r="T120" s="1440"/>
      <c r="U120" s="1440"/>
      <c r="V120" s="1440"/>
      <c r="W120" s="1440"/>
      <c r="X120" s="1440"/>
      <c r="Y120" s="1440"/>
      <c r="Z120" s="1440"/>
      <c r="AA120" s="1440"/>
      <c r="AB120" s="1440"/>
      <c r="AC120" s="1440"/>
    </row>
    <row r="121" spans="1:29">
      <c r="A121" s="1333" t="s">
        <v>3374</v>
      </c>
      <c r="B121" s="1335">
        <v>71.834738102217983</v>
      </c>
      <c r="C121" s="1335">
        <v>69.932177689568462</v>
      </c>
      <c r="D121" s="1335">
        <v>74.854238336508786</v>
      </c>
      <c r="E121" s="1335">
        <v>72.74332280518999</v>
      </c>
      <c r="F121" s="1335">
        <v>83.605459246891371</v>
      </c>
      <c r="G121" s="1335">
        <v>80.689660714347582</v>
      </c>
      <c r="H121" s="1335">
        <v>75.089965417618927</v>
      </c>
      <c r="I121" s="1335">
        <v>62.695843620736184</v>
      </c>
      <c r="J121" s="1335">
        <f t="shared" si="12"/>
        <v>86.361037256077893</v>
      </c>
      <c r="T121" s="1440"/>
      <c r="U121" s="1440"/>
      <c r="V121" s="1440"/>
      <c r="W121" s="1440"/>
      <c r="X121" s="1440"/>
      <c r="Y121" s="1440"/>
      <c r="Z121" s="1440"/>
      <c r="AA121" s="1440"/>
      <c r="AB121" s="1440"/>
      <c r="AC121" s="1440"/>
    </row>
    <row r="122" spans="1:29">
      <c r="A122" s="1333" t="s">
        <v>3447</v>
      </c>
      <c r="B122" s="1335">
        <v>72.034738102217972</v>
      </c>
      <c r="C122" s="1335">
        <v>70.061041113931353</v>
      </c>
      <c r="D122" s="1335">
        <v>75.054238336508774</v>
      </c>
      <c r="E122" s="1335">
        <v>72.943322805189993</v>
      </c>
      <c r="F122" s="1335">
        <v>83.864548142753137</v>
      </c>
      <c r="G122" s="1335">
        <v>80.889660714347599</v>
      </c>
      <c r="H122" s="1335">
        <v>75.28996541761893</v>
      </c>
      <c r="I122" s="1335">
        <v>62.895843620736187</v>
      </c>
      <c r="J122" s="1335">
        <f t="shared" si="12"/>
        <v>86.592426423903234</v>
      </c>
      <c r="T122" s="1440"/>
      <c r="U122" s="1440"/>
      <c r="V122" s="1440"/>
      <c r="W122" s="1440"/>
      <c r="X122" s="1440"/>
      <c r="Y122" s="1440"/>
      <c r="Z122" s="1440"/>
      <c r="AA122" s="1440"/>
      <c r="AB122" s="1440"/>
      <c r="AC122" s="1440"/>
    </row>
    <row r="123" spans="1:29">
      <c r="A123" s="1333" t="s">
        <v>3448</v>
      </c>
      <c r="B123" s="1335">
        <v>72.080507491811247</v>
      </c>
      <c r="C123" s="1335">
        <v>70.161041113931361</v>
      </c>
      <c r="D123" s="1335">
        <v>75.154238336508769</v>
      </c>
      <c r="E123" s="1335">
        <v>73.043322805190002</v>
      </c>
      <c r="F123" s="1335">
        <v>83.964548142753145</v>
      </c>
      <c r="G123" s="1335">
        <v>80.989660714347593</v>
      </c>
      <c r="H123" s="1335">
        <v>75.33642430924543</v>
      </c>
      <c r="I123" s="1335">
        <v>62.910123057073257</v>
      </c>
      <c r="J123" s="1335">
        <f t="shared" si="12"/>
        <v>86.687167404246679</v>
      </c>
      <c r="T123" s="1440"/>
      <c r="U123" s="1440"/>
      <c r="V123" s="1440"/>
      <c r="W123" s="1440"/>
      <c r="X123" s="1440"/>
      <c r="Y123" s="1440"/>
      <c r="Z123" s="1440"/>
      <c r="AA123" s="1440"/>
      <c r="AB123" s="1440"/>
      <c r="AC123" s="1440"/>
    </row>
    <row r="124" spans="1:29">
      <c r="A124" s="1333" t="s">
        <v>3375</v>
      </c>
      <c r="B124" s="1335">
        <v>72.267091293099384</v>
      </c>
      <c r="C124" s="1335">
        <v>70.36104111393135</v>
      </c>
      <c r="D124" s="1335">
        <v>75.349111587304847</v>
      </c>
      <c r="E124" s="1335">
        <v>73.24332280518999</v>
      </c>
      <c r="F124" s="1335">
        <v>84.164548142753134</v>
      </c>
      <c r="G124" s="1335">
        <v>81.189660714347582</v>
      </c>
      <c r="H124" s="1335">
        <v>75.536424309245433</v>
      </c>
      <c r="I124" s="1335">
        <v>63.095843620736183</v>
      </c>
      <c r="J124" s="1335">
        <f t="shared" si="12"/>
        <v>86.887073461822837</v>
      </c>
      <c r="T124" s="1440"/>
      <c r="U124" s="1440"/>
      <c r="V124" s="1440"/>
      <c r="W124" s="1440"/>
      <c r="X124" s="1440"/>
      <c r="Y124" s="1440"/>
      <c r="Z124" s="1440"/>
      <c r="AA124" s="1440"/>
      <c r="AB124" s="1440"/>
      <c r="AC124" s="1440"/>
    </row>
    <row r="125" spans="1:29">
      <c r="A125" s="1333" t="s">
        <v>3377</v>
      </c>
      <c r="B125" s="1335">
        <v>72.434738102217977</v>
      </c>
      <c r="C125" s="1335">
        <v>70.532177689568442</v>
      </c>
      <c r="D125" s="1335">
        <v>75.454238336508766</v>
      </c>
      <c r="E125" s="1335">
        <v>73.343322805189999</v>
      </c>
      <c r="F125" s="1335">
        <v>84.364548142753137</v>
      </c>
      <c r="G125" s="1335">
        <v>81.389660714347585</v>
      </c>
      <c r="H125" s="1335">
        <v>75.689965417618922</v>
      </c>
      <c r="I125" s="1335">
        <v>63.265337396700765</v>
      </c>
      <c r="J125" s="1335">
        <f t="shared" si="12"/>
        <v>87.079714608535028</v>
      </c>
      <c r="T125" s="1440"/>
      <c r="U125" s="1440"/>
      <c r="V125" s="1440"/>
      <c r="W125" s="1440"/>
      <c r="X125" s="1440"/>
      <c r="Y125" s="1440"/>
      <c r="Z125" s="1440"/>
      <c r="AA125" s="1440"/>
      <c r="AB125" s="1440"/>
      <c r="AC125" s="1440"/>
    </row>
    <row r="126" spans="1:29">
      <c r="A126" s="1333" t="s">
        <v>3449</v>
      </c>
      <c r="B126" s="1335">
        <v>72.721488644966229</v>
      </c>
      <c r="C126" s="1335">
        <v>70.761041113931356</v>
      </c>
      <c r="D126" s="1335">
        <v>75.749111587304853</v>
      </c>
      <c r="E126" s="1335">
        <v>73.643322805189996</v>
      </c>
      <c r="F126" s="1335">
        <v>84.664548142753148</v>
      </c>
      <c r="G126" s="1335">
        <v>81.689660714347596</v>
      </c>
      <c r="H126" s="1335">
        <v>75.989965417618919</v>
      </c>
      <c r="I126" s="1335">
        <v>63.479390524912638</v>
      </c>
      <c r="J126" s="1335">
        <f t="shared" si="12"/>
        <v>87.379348974874219</v>
      </c>
      <c r="T126" s="1440"/>
      <c r="U126" s="1440"/>
      <c r="V126" s="1440"/>
      <c r="W126" s="1440"/>
      <c r="X126" s="1440"/>
      <c r="Y126" s="1440"/>
      <c r="Z126" s="1440"/>
      <c r="AA126" s="1440"/>
      <c r="AB126" s="1440"/>
      <c r="AC126" s="1440"/>
    </row>
    <row r="127" spans="1:29">
      <c r="A127" s="1333" t="s">
        <v>3378</v>
      </c>
      <c r="B127" s="1335">
        <v>73.421488644966232</v>
      </c>
      <c r="C127" s="1335">
        <v>71.432177689568462</v>
      </c>
      <c r="D127" s="1335">
        <v>76.522633559896775</v>
      </c>
      <c r="E127" s="1335">
        <v>74.327782695235172</v>
      </c>
      <c r="F127" s="1335">
        <v>85.45662402491125</v>
      </c>
      <c r="G127" s="1335">
        <v>82.489660714347593</v>
      </c>
      <c r="H127" s="1335">
        <v>76.681125362353797</v>
      </c>
      <c r="I127" s="1335">
        <v>64.065337396700755</v>
      </c>
      <c r="J127" s="1335">
        <f t="shared" si="12"/>
        <v>88.161849968128507</v>
      </c>
      <c r="T127" s="1440"/>
      <c r="U127" s="1440"/>
      <c r="V127" s="1440"/>
      <c r="W127" s="1440"/>
      <c r="X127" s="1440"/>
      <c r="Y127" s="1440"/>
      <c r="Z127" s="1440"/>
      <c r="AA127" s="1440"/>
      <c r="AB127" s="1440"/>
      <c r="AC127" s="1440"/>
    </row>
    <row r="128" spans="1:29">
      <c r="A128" s="1333" t="s">
        <v>3450</v>
      </c>
      <c r="B128" s="1335">
        <v>75.108501612705254</v>
      </c>
      <c r="C128" s="1335">
        <v>73.061041113931353</v>
      </c>
      <c r="D128" s="1335">
        <v>78.287009816149563</v>
      </c>
      <c r="E128" s="1335">
        <v>76.082671527622125</v>
      </c>
      <c r="F128" s="1335">
        <v>87.508724894286559</v>
      </c>
      <c r="G128" s="1335">
        <v>84.389660714347599</v>
      </c>
      <c r="H128" s="1335">
        <v>78.526799565457907</v>
      </c>
      <c r="I128" s="1335">
        <v>65.535317111832839</v>
      </c>
      <c r="J128" s="1335">
        <f t="shared" si="12"/>
        <v>90.133911119563123</v>
      </c>
      <c r="T128" s="1440"/>
      <c r="U128" s="1440"/>
      <c r="V128" s="1440"/>
      <c r="W128" s="1440"/>
      <c r="X128" s="1440"/>
      <c r="Y128" s="1440"/>
      <c r="Z128" s="1440"/>
      <c r="AA128" s="1440"/>
      <c r="AB128" s="1440"/>
      <c r="AC128" s="1440"/>
    </row>
    <row r="129" spans="1:29">
      <c r="A129" s="1333" t="s">
        <v>3451</v>
      </c>
      <c r="B129" s="1335">
        <v>75.563633129469721</v>
      </c>
      <c r="C129" s="1335">
        <v>73.498799740032553</v>
      </c>
      <c r="D129" s="1335">
        <v>78.782369574435819</v>
      </c>
      <c r="E129" s="1335">
        <v>76.482671527622131</v>
      </c>
      <c r="F129" s="1335">
        <v>88.001234381038515</v>
      </c>
      <c r="G129" s="1335">
        <v>84.889660714347585</v>
      </c>
      <c r="H129" s="1335">
        <v>78.963993200777409</v>
      </c>
      <c r="I129" s="1335">
        <v>65.905778315759875</v>
      </c>
      <c r="J129" s="1335">
        <f t="shared" si="12"/>
        <v>90.622010762613243</v>
      </c>
      <c r="T129" s="1440"/>
      <c r="U129" s="1440"/>
      <c r="V129" s="1440"/>
      <c r="W129" s="1440"/>
      <c r="X129" s="1440"/>
      <c r="Y129" s="1440"/>
      <c r="Z129" s="1440"/>
      <c r="AA129" s="1440"/>
      <c r="AB129" s="1440"/>
      <c r="AC129" s="1440"/>
    </row>
    <row r="130" spans="1:29">
      <c r="A130" s="1333" t="s">
        <v>3452</v>
      </c>
      <c r="B130" s="1335">
        <v>75.863633129469704</v>
      </c>
      <c r="C130" s="1335">
        <v>73.832177689568454</v>
      </c>
      <c r="D130" s="1335">
        <v>79.161581626549363</v>
      </c>
      <c r="E130" s="1335">
        <v>76.867622977762892</v>
      </c>
      <c r="F130" s="1335">
        <v>88.401234381038506</v>
      </c>
      <c r="G130" s="1335">
        <v>85.28966071434759</v>
      </c>
      <c r="H130" s="1335">
        <v>79.318429129227468</v>
      </c>
      <c r="I130" s="1335">
        <v>66.276716493097837</v>
      </c>
      <c r="J130" s="1335">
        <f t="shared" si="12"/>
        <v>91.017534298169551</v>
      </c>
      <c r="T130" s="1440"/>
      <c r="U130" s="1440"/>
      <c r="V130" s="1440"/>
      <c r="W130" s="1440"/>
      <c r="X130" s="1440"/>
      <c r="Y130" s="1440"/>
      <c r="Z130" s="1440"/>
      <c r="AA130" s="1440"/>
      <c r="AB130" s="1440"/>
      <c r="AC130" s="1440"/>
    </row>
    <row r="131" spans="1:29">
      <c r="A131" s="1333" t="s">
        <v>3384</v>
      </c>
      <c r="B131" s="1335">
        <v>-7</v>
      </c>
      <c r="C131" s="1335">
        <v>-7</v>
      </c>
      <c r="D131" s="1335">
        <v>-7</v>
      </c>
      <c r="E131" s="1335">
        <v>-7</v>
      </c>
      <c r="F131" s="1335">
        <v>-7</v>
      </c>
      <c r="G131" s="1335">
        <v>-7</v>
      </c>
      <c r="H131" s="1335">
        <v>-7</v>
      </c>
      <c r="I131" s="1335">
        <v>-7</v>
      </c>
      <c r="J131" s="1335">
        <f t="shared" si="12"/>
        <v>-3.9154944542942292E-2</v>
      </c>
      <c r="T131" s="1440"/>
      <c r="U131" s="1440"/>
      <c r="V131" s="1440"/>
      <c r="W131" s="1440"/>
      <c r="X131" s="1440"/>
      <c r="Y131" s="1440"/>
      <c r="Z131" s="1440"/>
      <c r="AA131" s="1440"/>
      <c r="AB131" s="1440"/>
      <c r="AC131" s="1440"/>
    </row>
    <row r="132" spans="1:29">
      <c r="A132" s="1333" t="s">
        <v>3453</v>
      </c>
      <c r="B132" s="1335">
        <v>24.893483533646116</v>
      </c>
      <c r="C132" s="1335">
        <v>27.243705181436045</v>
      </c>
      <c r="D132" s="1335">
        <v>39.457893940706569</v>
      </c>
      <c r="E132" s="1335">
        <v>53.468911242468678</v>
      </c>
      <c r="F132" s="1335">
        <v>62.321980454196442</v>
      </c>
      <c r="G132" s="1335">
        <v>59.755049636383873</v>
      </c>
      <c r="H132" s="1335">
        <v>52.85090887093267</v>
      </c>
      <c r="I132" s="1335">
        <v>49.336551607439397</v>
      </c>
      <c r="J132" s="1335">
        <f>10*LOG(10^((B132-26)/10)+10^((C132-16)/10)+10^((D132-9)/10)+10^((E132-3)/10)+10^(F132/10)+10^((G132+1)/10)+10^((H132+1)/10)+10^((I132-1)/10))</f>
        <v>65.211595116507482</v>
      </c>
      <c r="K132" s="299" t="str">
        <f t="shared" ref="K132:K138" si="13">RIGHT(A132,3)</f>
        <v>PFJ</v>
      </c>
      <c r="L132" s="1441" t="s">
        <v>3454</v>
      </c>
      <c r="M132" s="299">
        <v>50</v>
      </c>
      <c r="N132" s="299" t="s">
        <v>3455</v>
      </c>
      <c r="T132" s="1440"/>
      <c r="U132" s="1440"/>
      <c r="V132" s="1440"/>
      <c r="W132" s="1440"/>
      <c r="X132" s="1440"/>
      <c r="Y132" s="1440"/>
      <c r="Z132" s="1440"/>
      <c r="AA132" s="1440"/>
      <c r="AB132" s="1440"/>
      <c r="AC132" s="1440"/>
    </row>
    <row r="133" spans="1:29">
      <c r="A133" s="1333" t="s">
        <v>3456</v>
      </c>
      <c r="B133" s="1335">
        <v>21.869877120488066</v>
      </c>
      <c r="C133" s="1335">
        <v>25.222963247652878</v>
      </c>
      <c r="D133" s="1335">
        <v>39.599080886669661</v>
      </c>
      <c r="E133" s="1335">
        <v>53.360637340085788</v>
      </c>
      <c r="F133" s="1335">
        <v>62.679275302116679</v>
      </c>
      <c r="G133" s="1335">
        <v>59.390651621219128</v>
      </c>
      <c r="H133" s="1335">
        <v>51.590979428895281</v>
      </c>
      <c r="I133" s="1335">
        <v>48.417793907980631</v>
      </c>
      <c r="J133" s="1335">
        <f t="shared" ref="J133:J196" si="14">10*LOG(10^((B133-26)/10)+10^((C133-16)/10)+10^((D133-9)/10)+10^((E133-3)/10)+10^(F133/10)+10^((G133+1)/10)+10^((H133+1)/10)+10^((I133-1)/10))</f>
        <v>65.17714399843895</v>
      </c>
      <c r="K133" s="299" t="str">
        <f t="shared" si="13"/>
        <v>TFD</v>
      </c>
      <c r="L133" s="1441" t="s">
        <v>3457</v>
      </c>
      <c r="M133" s="299">
        <v>50</v>
      </c>
      <c r="N133" s="299" t="s">
        <v>3455</v>
      </c>
      <c r="T133" s="1440"/>
      <c r="U133" s="1440"/>
      <c r="V133" s="1440"/>
      <c r="W133" s="1440"/>
      <c r="X133" s="1440"/>
      <c r="Y133" s="1440"/>
      <c r="Z133" s="1440"/>
      <c r="AA133" s="1440"/>
      <c r="AB133" s="1440"/>
      <c r="AC133" s="1440"/>
    </row>
    <row r="134" spans="1:29">
      <c r="A134" s="1333" t="s">
        <v>3458</v>
      </c>
      <c r="B134" s="1335">
        <v>24.893483533646116</v>
      </c>
      <c r="C134" s="1335">
        <v>27.243705181436045</v>
      </c>
      <c r="D134" s="1335">
        <v>39.457893940706569</v>
      </c>
      <c r="E134" s="1335">
        <v>53.468911242468678</v>
      </c>
      <c r="F134" s="1335">
        <v>62.321980454196442</v>
      </c>
      <c r="G134" s="1335">
        <v>59.755049636383873</v>
      </c>
      <c r="H134" s="1335">
        <v>52.85090887093267</v>
      </c>
      <c r="I134" s="1335">
        <v>49.336551607439397</v>
      </c>
      <c r="J134" s="1335">
        <f t="shared" si="14"/>
        <v>65.211595116507482</v>
      </c>
      <c r="K134" s="299" t="str">
        <f t="shared" si="13"/>
        <v>PFJ</v>
      </c>
      <c r="L134" s="1441" t="s">
        <v>3454</v>
      </c>
      <c r="M134" s="299">
        <v>50</v>
      </c>
      <c r="N134" s="299" t="s">
        <v>3459</v>
      </c>
      <c r="T134" s="1440"/>
      <c r="U134" s="1440"/>
      <c r="V134" s="1440"/>
      <c r="W134" s="1440"/>
      <c r="X134" s="1440"/>
      <c r="Y134" s="1440"/>
      <c r="Z134" s="1440"/>
      <c r="AA134" s="1440"/>
      <c r="AB134" s="1440"/>
      <c r="AC134" s="1440"/>
    </row>
    <row r="135" spans="1:29">
      <c r="A135" s="1333" t="s">
        <v>3460</v>
      </c>
      <c r="B135" s="1335">
        <v>21.869877120488066</v>
      </c>
      <c r="C135" s="1335">
        <v>25.222963247652878</v>
      </c>
      <c r="D135" s="1335">
        <v>39.599080886669661</v>
      </c>
      <c r="E135" s="1335">
        <v>53.360637340085788</v>
      </c>
      <c r="F135" s="1335">
        <v>62.679275302116679</v>
      </c>
      <c r="G135" s="1335">
        <v>59.390651621219128</v>
      </c>
      <c r="H135" s="1335">
        <v>51.590979428895281</v>
      </c>
      <c r="I135" s="1335">
        <v>48.417793907980631</v>
      </c>
      <c r="J135" s="1335">
        <f t="shared" si="14"/>
        <v>65.17714399843895</v>
      </c>
      <c r="K135" s="299" t="str">
        <f t="shared" si="13"/>
        <v>TFD</v>
      </c>
      <c r="L135" s="1441" t="s">
        <v>3457</v>
      </c>
      <c r="M135" s="299">
        <v>50</v>
      </c>
      <c r="N135" s="299" t="s">
        <v>3459</v>
      </c>
      <c r="T135" s="1440"/>
      <c r="U135" s="1440"/>
      <c r="V135" s="1440"/>
      <c r="W135" s="1440"/>
      <c r="X135" s="1440"/>
      <c r="Y135" s="1440"/>
      <c r="Z135" s="1440"/>
      <c r="AA135" s="1440"/>
      <c r="AB135" s="1440"/>
      <c r="AC135" s="1440"/>
    </row>
    <row r="136" spans="1:29">
      <c r="A136" s="1333" t="s">
        <v>3456</v>
      </c>
      <c r="B136" s="1335">
        <v>24.976486743689524</v>
      </c>
      <c r="C136" s="1335">
        <v>32.228675987283609</v>
      </c>
      <c r="D136" s="1335">
        <v>42.295280113850097</v>
      </c>
      <c r="E136" s="1335">
        <v>54.827908343601884</v>
      </c>
      <c r="F136" s="1335">
        <v>65.488094424308258</v>
      </c>
      <c r="G136" s="1335">
        <v>62.894682772960152</v>
      </c>
      <c r="H136" s="1335">
        <v>55.829798490369889</v>
      </c>
      <c r="I136" s="1335">
        <v>50.730233503622202</v>
      </c>
      <c r="J136" s="1335">
        <f t="shared" si="14"/>
        <v>68.274041036362675</v>
      </c>
      <c r="K136" s="299" t="str">
        <f t="shared" si="13"/>
        <v>TFD</v>
      </c>
      <c r="L136" s="1441">
        <v>460</v>
      </c>
      <c r="M136" s="299">
        <v>60</v>
      </c>
      <c r="N136" s="299" t="s">
        <v>3455</v>
      </c>
      <c r="T136" s="1440"/>
      <c r="U136" s="1440"/>
      <c r="V136" s="1440"/>
      <c r="W136" s="1440"/>
      <c r="X136" s="1440"/>
      <c r="Y136" s="1440"/>
      <c r="Z136" s="1440"/>
      <c r="AA136" s="1440"/>
      <c r="AB136" s="1440"/>
      <c r="AC136" s="1440"/>
    </row>
    <row r="137" spans="1:29">
      <c r="A137" s="1333" t="s">
        <v>3456</v>
      </c>
      <c r="B137" s="1335">
        <v>24.976486743689524</v>
      </c>
      <c r="C137" s="1335">
        <v>32.228675987283609</v>
      </c>
      <c r="D137" s="1335">
        <v>42.295280113850097</v>
      </c>
      <c r="E137" s="1335">
        <v>54.827908343601884</v>
      </c>
      <c r="F137" s="1335">
        <v>65.488094424308258</v>
      </c>
      <c r="G137" s="1335">
        <v>62.894682772960152</v>
      </c>
      <c r="H137" s="1335">
        <v>55.829798490369889</v>
      </c>
      <c r="I137" s="1335">
        <v>50.730233503622202</v>
      </c>
      <c r="J137" s="1335">
        <f t="shared" si="14"/>
        <v>68.274041036362675</v>
      </c>
      <c r="K137" s="299" t="str">
        <f t="shared" si="13"/>
        <v>TFD</v>
      </c>
      <c r="L137" s="1441">
        <v>460</v>
      </c>
      <c r="M137" s="299">
        <v>60</v>
      </c>
      <c r="N137" s="299" t="s">
        <v>3461</v>
      </c>
      <c r="T137" s="1440"/>
      <c r="U137" s="1440"/>
      <c r="V137" s="1440"/>
      <c r="W137" s="1440"/>
      <c r="X137" s="1440"/>
      <c r="Y137" s="1440"/>
      <c r="Z137" s="1440"/>
      <c r="AA137" s="1440"/>
      <c r="AB137" s="1440"/>
      <c r="AC137" s="1440"/>
    </row>
    <row r="138" spans="1:29">
      <c r="A138" s="1333" t="s">
        <v>3456</v>
      </c>
      <c r="B138" s="1335">
        <v>24.976486743689524</v>
      </c>
      <c r="C138" s="1335">
        <v>32.228675987283609</v>
      </c>
      <c r="D138" s="1335">
        <v>42.295280113850097</v>
      </c>
      <c r="E138" s="1335">
        <v>54.827908343601884</v>
      </c>
      <c r="F138" s="1335">
        <v>65.488094424308258</v>
      </c>
      <c r="G138" s="1335">
        <v>62.894682772960152</v>
      </c>
      <c r="H138" s="1335">
        <v>55.829798490369889</v>
      </c>
      <c r="I138" s="1335">
        <v>50.730233503622202</v>
      </c>
      <c r="J138" s="1335">
        <f t="shared" si="14"/>
        <v>68.274041036362675</v>
      </c>
      <c r="K138" s="299" t="str">
        <f t="shared" si="13"/>
        <v>TFD</v>
      </c>
      <c r="L138" s="1441">
        <v>460</v>
      </c>
      <c r="M138" s="299">
        <v>60</v>
      </c>
      <c r="N138" s="299" t="s">
        <v>3459</v>
      </c>
      <c r="T138" s="1440"/>
      <c r="U138" s="1440"/>
      <c r="V138" s="1440"/>
      <c r="W138" s="1440"/>
      <c r="X138" s="1440"/>
      <c r="Y138" s="1440"/>
      <c r="Z138" s="1440"/>
      <c r="AA138" s="1440"/>
      <c r="AB138" s="1440"/>
      <c r="AC138" s="1440"/>
    </row>
    <row r="139" spans="1:29">
      <c r="A139" s="1333" t="s">
        <v>3462</v>
      </c>
      <c r="B139" s="1335">
        <v>30.224571154672383</v>
      </c>
      <c r="C139" s="1335">
        <v>31.230627684735119</v>
      </c>
      <c r="D139" s="1335">
        <v>43.172272939028034</v>
      </c>
      <c r="E139" s="1335">
        <v>54.885760010604415</v>
      </c>
      <c r="F139" s="1335">
        <v>61.923462821851473</v>
      </c>
      <c r="G139" s="1335">
        <v>58.687704868452933</v>
      </c>
      <c r="H139" s="1335">
        <v>55.706994337553731</v>
      </c>
      <c r="I139" s="1335">
        <v>52.138278691887301</v>
      </c>
      <c r="J139" s="1335">
        <f t="shared" si="14"/>
        <v>65.109873038547732</v>
      </c>
      <c r="K139" s="1442" t="s">
        <v>3463</v>
      </c>
      <c r="L139" s="1442" t="s">
        <v>3454</v>
      </c>
      <c r="M139" s="1442">
        <v>50</v>
      </c>
      <c r="N139" s="1442" t="s">
        <v>3455</v>
      </c>
      <c r="T139" s="1440"/>
      <c r="U139" s="1440"/>
      <c r="V139" s="1440"/>
      <c r="W139" s="1440"/>
      <c r="X139" s="1440"/>
      <c r="Y139" s="1440"/>
      <c r="Z139" s="1440"/>
      <c r="AA139" s="1440"/>
      <c r="AB139" s="1440"/>
      <c r="AC139" s="1440"/>
    </row>
    <row r="140" spans="1:29">
      <c r="A140" s="1333" t="s">
        <v>3464</v>
      </c>
      <c r="B140" s="1335">
        <v>24.624218284285948</v>
      </c>
      <c r="C140" s="1335">
        <v>27.679944268698048</v>
      </c>
      <c r="D140" s="1335">
        <v>39.542745266324189</v>
      </c>
      <c r="E140" s="1335">
        <v>53.243368699684545</v>
      </c>
      <c r="F140" s="1335">
        <v>62.460724766654849</v>
      </c>
      <c r="G140" s="1335">
        <v>59.077906950053212</v>
      </c>
      <c r="H140" s="1335">
        <v>54.014015942110461</v>
      </c>
      <c r="I140" s="1335">
        <v>50.744055111158879</v>
      </c>
      <c r="J140" s="1335">
        <f t="shared" si="14"/>
        <v>65.183572978297704</v>
      </c>
      <c r="K140" s="1442" t="s">
        <v>3465</v>
      </c>
      <c r="L140" s="1442" t="s">
        <v>3457</v>
      </c>
      <c r="M140" s="1442">
        <v>50</v>
      </c>
      <c r="N140" s="1442" t="s">
        <v>3455</v>
      </c>
      <c r="T140" s="1440"/>
      <c r="U140" s="1440"/>
      <c r="V140" s="1440"/>
      <c r="W140" s="1440"/>
      <c r="X140" s="1440"/>
      <c r="Y140" s="1440"/>
      <c r="Z140" s="1440"/>
      <c r="AA140" s="1440"/>
      <c r="AB140" s="1440"/>
      <c r="AC140" s="1440"/>
    </row>
    <row r="141" spans="1:29">
      <c r="A141" s="1333" t="s">
        <v>3462</v>
      </c>
      <c r="B141" s="1335">
        <v>30.224571154672383</v>
      </c>
      <c r="C141" s="1335">
        <v>31.230627684735119</v>
      </c>
      <c r="D141" s="1335">
        <v>43.172272939028034</v>
      </c>
      <c r="E141" s="1335">
        <v>54.885760010604415</v>
      </c>
      <c r="F141" s="1335">
        <v>61.923462821851473</v>
      </c>
      <c r="G141" s="1335">
        <v>58.687704868452933</v>
      </c>
      <c r="H141" s="1335">
        <v>55.706994337553731</v>
      </c>
      <c r="I141" s="1335">
        <v>52.138278691887301</v>
      </c>
      <c r="J141" s="1335">
        <f t="shared" si="14"/>
        <v>65.109873038547732</v>
      </c>
      <c r="K141" s="1442" t="s">
        <v>3463</v>
      </c>
      <c r="L141" s="1442" t="s">
        <v>3454</v>
      </c>
      <c r="M141" s="1442">
        <v>50</v>
      </c>
      <c r="N141" s="1442" t="s">
        <v>3461</v>
      </c>
      <c r="T141" s="1440"/>
      <c r="U141" s="1440"/>
      <c r="V141" s="1440"/>
      <c r="W141" s="1440"/>
      <c r="X141" s="1440"/>
      <c r="Y141" s="1440"/>
      <c r="Z141" s="1440"/>
      <c r="AA141" s="1440"/>
      <c r="AB141" s="1440"/>
      <c r="AC141" s="1440"/>
    </row>
    <row r="142" spans="1:29">
      <c r="A142" s="1333" t="s">
        <v>3464</v>
      </c>
      <c r="B142" s="1335">
        <v>24.624218284285948</v>
      </c>
      <c r="C142" s="1335">
        <v>27.679944268698048</v>
      </c>
      <c r="D142" s="1335">
        <v>39.542745266324189</v>
      </c>
      <c r="E142" s="1335">
        <v>53.243368699684545</v>
      </c>
      <c r="F142" s="1335">
        <v>62.460724766654849</v>
      </c>
      <c r="G142" s="1335">
        <v>59.077906950053212</v>
      </c>
      <c r="H142" s="1335">
        <v>54.014015942110461</v>
      </c>
      <c r="I142" s="1335">
        <v>50.744055111158879</v>
      </c>
      <c r="J142" s="1335">
        <f t="shared" si="14"/>
        <v>65.183572978297704</v>
      </c>
      <c r="K142" s="1442" t="s">
        <v>3465</v>
      </c>
      <c r="L142" s="1442" t="s">
        <v>3457</v>
      </c>
      <c r="M142" s="1442">
        <v>50</v>
      </c>
      <c r="N142" s="1442" t="s">
        <v>3461</v>
      </c>
      <c r="T142" s="1440"/>
      <c r="U142" s="1440"/>
      <c r="V142" s="1440"/>
      <c r="W142" s="1440"/>
      <c r="X142" s="1440"/>
      <c r="Y142" s="1440"/>
      <c r="Z142" s="1440"/>
      <c r="AA142" s="1440"/>
      <c r="AB142" s="1440"/>
      <c r="AC142" s="1440"/>
    </row>
    <row r="143" spans="1:29">
      <c r="A143" s="1333" t="s">
        <v>3462</v>
      </c>
      <c r="B143" s="1335">
        <v>30.224571154672383</v>
      </c>
      <c r="C143" s="1335">
        <v>31.230627684735119</v>
      </c>
      <c r="D143" s="1335">
        <v>43.172272939028034</v>
      </c>
      <c r="E143" s="1335">
        <v>54.885760010604415</v>
      </c>
      <c r="F143" s="1335">
        <v>61.923462821851473</v>
      </c>
      <c r="G143" s="1335">
        <v>58.687704868452933</v>
      </c>
      <c r="H143" s="1335">
        <v>55.706994337553731</v>
      </c>
      <c r="I143" s="1335">
        <v>52.138278691887301</v>
      </c>
      <c r="J143" s="1335">
        <f t="shared" si="14"/>
        <v>65.109873038547732</v>
      </c>
      <c r="K143" s="1442" t="s">
        <v>3463</v>
      </c>
      <c r="L143" s="1442" t="s">
        <v>3454</v>
      </c>
      <c r="M143" s="1442">
        <v>50</v>
      </c>
      <c r="N143" s="1442" t="s">
        <v>3459</v>
      </c>
      <c r="T143" s="1440"/>
      <c r="U143" s="1440"/>
      <c r="V143" s="1440"/>
      <c r="W143" s="1440"/>
      <c r="X143" s="1440"/>
      <c r="Y143" s="1440"/>
      <c r="Z143" s="1440"/>
      <c r="AA143" s="1440"/>
      <c r="AB143" s="1440"/>
      <c r="AC143" s="1440"/>
    </row>
    <row r="144" spans="1:29">
      <c r="A144" s="1333" t="s">
        <v>3466</v>
      </c>
      <c r="B144" s="1335">
        <v>30.224571154672383</v>
      </c>
      <c r="C144" s="1335">
        <v>31.230627684735119</v>
      </c>
      <c r="D144" s="1335">
        <v>43.172272939028034</v>
      </c>
      <c r="E144" s="1335">
        <v>54.885760010604415</v>
      </c>
      <c r="F144" s="1335">
        <v>61.923462821851473</v>
      </c>
      <c r="G144" s="1335">
        <v>58.687704868452933</v>
      </c>
      <c r="H144" s="1335">
        <v>55.706994337553731</v>
      </c>
      <c r="I144" s="1335">
        <v>52.138278691887301</v>
      </c>
      <c r="J144" s="1335">
        <f t="shared" si="14"/>
        <v>65.109873038547732</v>
      </c>
      <c r="K144" s="1442" t="s">
        <v>3463</v>
      </c>
      <c r="L144" s="1442" t="s">
        <v>3454</v>
      </c>
      <c r="M144" s="1442">
        <v>50</v>
      </c>
      <c r="N144" s="1442" t="s">
        <v>3459</v>
      </c>
      <c r="T144" s="1440"/>
      <c r="U144" s="1440"/>
      <c r="V144" s="1440"/>
      <c r="W144" s="1440"/>
      <c r="X144" s="1440"/>
      <c r="Y144" s="1440"/>
      <c r="Z144" s="1440"/>
      <c r="AA144" s="1440"/>
      <c r="AB144" s="1440"/>
      <c r="AC144" s="1440"/>
    </row>
    <row r="145" spans="1:29">
      <c r="A145" s="1333" t="s">
        <v>3464</v>
      </c>
      <c r="B145" s="1335">
        <v>24.939429418820954</v>
      </c>
      <c r="C145" s="1335">
        <v>30.633832787667842</v>
      </c>
      <c r="D145" s="1335">
        <v>42.419098813689537</v>
      </c>
      <c r="E145" s="1335">
        <v>56.520381984879016</v>
      </c>
      <c r="F145" s="1335">
        <v>63.879972400231168</v>
      </c>
      <c r="G145" s="1335">
        <v>64.345812218384182</v>
      </c>
      <c r="H145" s="1335">
        <v>56.585488623678792</v>
      </c>
      <c r="I145" s="1335">
        <v>53.485409155309014</v>
      </c>
      <c r="J145" s="1335">
        <f t="shared" si="14"/>
        <v>68.354174605268781</v>
      </c>
      <c r="K145" s="1442" t="s">
        <v>3465</v>
      </c>
      <c r="L145" s="1442">
        <v>460</v>
      </c>
      <c r="M145" s="1442">
        <v>60</v>
      </c>
      <c r="N145" s="1442" t="s">
        <v>3461</v>
      </c>
      <c r="T145" s="1440"/>
      <c r="U145" s="1440"/>
      <c r="V145" s="1440"/>
      <c r="W145" s="1440"/>
      <c r="X145" s="1440"/>
      <c r="Y145" s="1440"/>
      <c r="Z145" s="1440"/>
      <c r="AA145" s="1440"/>
      <c r="AB145" s="1440"/>
      <c r="AC145" s="1440"/>
    </row>
    <row r="146" spans="1:29">
      <c r="A146" s="1333" t="s">
        <v>3464</v>
      </c>
      <c r="B146" s="1335">
        <v>24.939429418820954</v>
      </c>
      <c r="C146" s="1335">
        <v>30.633832787667842</v>
      </c>
      <c r="D146" s="1335">
        <v>42.419098813689537</v>
      </c>
      <c r="E146" s="1335">
        <v>56.520381984879016</v>
      </c>
      <c r="F146" s="1335">
        <v>63.879972400231168</v>
      </c>
      <c r="G146" s="1335">
        <v>64.345812218384182</v>
      </c>
      <c r="H146" s="1335">
        <v>56.585488623678792</v>
      </c>
      <c r="I146" s="1335">
        <v>53.485409155309014</v>
      </c>
      <c r="J146" s="1335">
        <f t="shared" si="14"/>
        <v>68.354174605268781</v>
      </c>
      <c r="K146" s="1442" t="s">
        <v>3465</v>
      </c>
      <c r="L146" s="1442">
        <v>460</v>
      </c>
      <c r="M146" s="1442">
        <v>60</v>
      </c>
      <c r="N146" s="1442" t="s">
        <v>3459</v>
      </c>
      <c r="T146" s="1440"/>
      <c r="U146" s="1440"/>
      <c r="V146" s="1440"/>
      <c r="W146" s="1440"/>
      <c r="X146" s="1440"/>
      <c r="Y146" s="1440"/>
      <c r="Z146" s="1440"/>
      <c r="AA146" s="1440"/>
      <c r="AB146" s="1440"/>
      <c r="AC146" s="1440"/>
    </row>
    <row r="147" spans="1:29">
      <c r="A147" s="1333" t="s">
        <v>3467</v>
      </c>
      <c r="B147" s="1335">
        <v>24.939429418820954</v>
      </c>
      <c r="C147" s="1335">
        <v>30.633832787667842</v>
      </c>
      <c r="D147" s="1335">
        <v>42.419098813689537</v>
      </c>
      <c r="E147" s="1335">
        <v>56.520381984879016</v>
      </c>
      <c r="F147" s="1335">
        <v>63.879972400231168</v>
      </c>
      <c r="G147" s="1335">
        <v>64.345812218384182</v>
      </c>
      <c r="H147" s="1335">
        <v>56.585488623678792</v>
      </c>
      <c r="I147" s="1335">
        <v>53.485409155309014</v>
      </c>
      <c r="J147" s="1335">
        <f t="shared" si="14"/>
        <v>68.354174605268781</v>
      </c>
      <c r="K147" s="1442" t="s">
        <v>3465</v>
      </c>
      <c r="L147" s="1442">
        <v>460</v>
      </c>
      <c r="M147" s="1442">
        <v>60</v>
      </c>
      <c r="N147" s="1442" t="s">
        <v>3459</v>
      </c>
      <c r="T147" s="1440"/>
      <c r="U147" s="1440"/>
      <c r="V147" s="1440"/>
      <c r="W147" s="1440"/>
      <c r="X147" s="1440"/>
      <c r="Y147" s="1440"/>
      <c r="Z147" s="1440"/>
      <c r="AA147" s="1440"/>
      <c r="AB147" s="1440"/>
      <c r="AC147" s="1440"/>
    </row>
    <row r="148" spans="1:29">
      <c r="A148" s="1333" t="s">
        <v>3468</v>
      </c>
      <c r="B148" s="1335">
        <v>22.182048085527725</v>
      </c>
      <c r="C148" s="1335">
        <v>32.5269866345648</v>
      </c>
      <c r="D148" s="1335">
        <v>42.043691346042458</v>
      </c>
      <c r="E148" s="1335">
        <v>53.777952954650054</v>
      </c>
      <c r="F148" s="1335">
        <v>62.583196623646415</v>
      </c>
      <c r="G148" s="1335">
        <v>64.317506837264304</v>
      </c>
      <c r="H148" s="1335">
        <v>61.357385468086314</v>
      </c>
      <c r="I148" s="1335">
        <v>52.333014192040451</v>
      </c>
      <c r="J148" s="1335">
        <f t="shared" si="14"/>
        <v>68.569244593049604</v>
      </c>
      <c r="K148" s="299" t="str">
        <f t="shared" ref="K148:K156" si="15">RIGHT(A148,3)</f>
        <v>PFJ</v>
      </c>
      <c r="L148" s="1442" t="s">
        <v>3454</v>
      </c>
      <c r="M148" s="1443">
        <v>50</v>
      </c>
      <c r="N148" s="1444" t="s">
        <v>3455</v>
      </c>
      <c r="T148" s="1440"/>
      <c r="U148" s="1440"/>
      <c r="V148" s="1440"/>
      <c r="W148" s="1440"/>
      <c r="X148" s="1440"/>
      <c r="Y148" s="1440"/>
      <c r="Z148" s="1440"/>
      <c r="AA148" s="1440"/>
      <c r="AB148" s="1440"/>
      <c r="AC148" s="1440"/>
    </row>
    <row r="149" spans="1:29">
      <c r="A149" s="1333" t="s">
        <v>3469</v>
      </c>
      <c r="B149" s="1335">
        <v>22.182048085527725</v>
      </c>
      <c r="C149" s="1335">
        <v>32.5269866345648</v>
      </c>
      <c r="D149" s="1335">
        <v>42.043691346042458</v>
      </c>
      <c r="E149" s="1335">
        <v>53.777952954650054</v>
      </c>
      <c r="F149" s="1335">
        <v>62.583196623646415</v>
      </c>
      <c r="G149" s="1335">
        <v>64.317506837264304</v>
      </c>
      <c r="H149" s="1335">
        <v>61.357385468086314</v>
      </c>
      <c r="I149" s="1335">
        <v>52.333014192040451</v>
      </c>
      <c r="J149" s="1335">
        <f t="shared" si="14"/>
        <v>68.569244593049604</v>
      </c>
      <c r="K149" s="299" t="str">
        <f t="shared" si="15"/>
        <v>TFD</v>
      </c>
      <c r="L149" s="1442" t="s">
        <v>3457</v>
      </c>
      <c r="M149" s="1443">
        <v>50</v>
      </c>
      <c r="N149" s="1444" t="s">
        <v>3455</v>
      </c>
      <c r="T149" s="1440"/>
      <c r="U149" s="1440"/>
      <c r="V149" s="1440"/>
      <c r="W149" s="1440"/>
      <c r="X149" s="1440"/>
      <c r="Y149" s="1440"/>
      <c r="Z149" s="1440"/>
      <c r="AA149" s="1440"/>
      <c r="AB149" s="1440"/>
      <c r="AC149" s="1440"/>
    </row>
    <row r="150" spans="1:29">
      <c r="A150" s="1333" t="s">
        <v>3468</v>
      </c>
      <c r="B150" s="1335">
        <v>22.182048085527725</v>
      </c>
      <c r="C150" s="1335">
        <v>32.5269866345648</v>
      </c>
      <c r="D150" s="1335">
        <v>42.043691346042458</v>
      </c>
      <c r="E150" s="1335">
        <v>53.777952954650054</v>
      </c>
      <c r="F150" s="1335">
        <v>62.583196623646415</v>
      </c>
      <c r="G150" s="1335">
        <v>64.317506837264304</v>
      </c>
      <c r="H150" s="1335">
        <v>61.357385468086314</v>
      </c>
      <c r="I150" s="1335">
        <v>52.333014192040451</v>
      </c>
      <c r="J150" s="1335">
        <f t="shared" si="14"/>
        <v>68.569244593049604</v>
      </c>
      <c r="K150" s="299" t="str">
        <f t="shared" si="15"/>
        <v>PFJ</v>
      </c>
      <c r="L150" s="1442" t="s">
        <v>3454</v>
      </c>
      <c r="M150" s="1443">
        <v>50</v>
      </c>
      <c r="N150" s="1444" t="s">
        <v>3461</v>
      </c>
      <c r="T150" s="1440"/>
      <c r="U150" s="1440"/>
      <c r="V150" s="1440"/>
      <c r="W150" s="1440"/>
      <c r="X150" s="1440"/>
      <c r="Y150" s="1440"/>
      <c r="Z150" s="1440"/>
      <c r="AA150" s="1440"/>
      <c r="AB150" s="1440"/>
      <c r="AC150" s="1440"/>
    </row>
    <row r="151" spans="1:29">
      <c r="A151" s="1333" t="s">
        <v>3469</v>
      </c>
      <c r="B151" s="1335">
        <v>22.182048085527725</v>
      </c>
      <c r="C151" s="1335">
        <v>32.5269866345648</v>
      </c>
      <c r="D151" s="1335">
        <v>42.043691346042458</v>
      </c>
      <c r="E151" s="1335">
        <v>53.777952954650054</v>
      </c>
      <c r="F151" s="1335">
        <v>62.583196623646415</v>
      </c>
      <c r="G151" s="1335">
        <v>64.317506837264304</v>
      </c>
      <c r="H151" s="1335">
        <v>61.357385468086314</v>
      </c>
      <c r="I151" s="1335">
        <v>52.333014192040451</v>
      </c>
      <c r="J151" s="1335">
        <f t="shared" si="14"/>
        <v>68.569244593049604</v>
      </c>
      <c r="K151" s="299" t="str">
        <f t="shared" si="15"/>
        <v>TFD</v>
      </c>
      <c r="L151" s="1442" t="s">
        <v>3457</v>
      </c>
      <c r="M151" s="1443">
        <v>50</v>
      </c>
      <c r="N151" s="1444" t="s">
        <v>3461</v>
      </c>
      <c r="T151" s="1440"/>
      <c r="U151" s="1440"/>
      <c r="V151" s="1440"/>
      <c r="W151" s="1440"/>
      <c r="X151" s="1440"/>
      <c r="Y151" s="1440"/>
      <c r="Z151" s="1440"/>
      <c r="AA151" s="1440"/>
      <c r="AB151" s="1440"/>
      <c r="AC151" s="1440"/>
    </row>
    <row r="152" spans="1:29">
      <c r="A152" s="1333" t="s">
        <v>3468</v>
      </c>
      <c r="B152" s="1335">
        <v>22.182048085527725</v>
      </c>
      <c r="C152" s="1335">
        <v>32.5269866345648</v>
      </c>
      <c r="D152" s="1335">
        <v>42.043691346042458</v>
      </c>
      <c r="E152" s="1335">
        <v>53.777952954650054</v>
      </c>
      <c r="F152" s="1335">
        <v>62.583196623646415</v>
      </c>
      <c r="G152" s="1335">
        <v>64.317506837264304</v>
      </c>
      <c r="H152" s="1335">
        <v>61.357385468086314</v>
      </c>
      <c r="I152" s="1335">
        <v>52.333014192040451</v>
      </c>
      <c r="J152" s="1335">
        <f t="shared" si="14"/>
        <v>68.569244593049604</v>
      </c>
      <c r="K152" s="299" t="str">
        <f t="shared" si="15"/>
        <v>PFJ</v>
      </c>
      <c r="L152" s="1442" t="s">
        <v>3454</v>
      </c>
      <c r="M152" s="1443">
        <v>50</v>
      </c>
      <c r="N152" s="1444" t="s">
        <v>3459</v>
      </c>
      <c r="T152" s="1440"/>
      <c r="U152" s="1440"/>
      <c r="V152" s="1440"/>
      <c r="W152" s="1440"/>
      <c r="X152" s="1440"/>
      <c r="Y152" s="1440"/>
      <c r="Z152" s="1440"/>
      <c r="AA152" s="1440"/>
      <c r="AB152" s="1440"/>
      <c r="AC152" s="1440"/>
    </row>
    <row r="153" spans="1:29">
      <c r="A153" s="1333" t="s">
        <v>3470</v>
      </c>
      <c r="B153" s="1335">
        <v>22.182048085527725</v>
      </c>
      <c r="C153" s="1335">
        <v>32.5269866345648</v>
      </c>
      <c r="D153" s="1335">
        <v>42.043691346042458</v>
      </c>
      <c r="E153" s="1335">
        <v>53.777952954650054</v>
      </c>
      <c r="F153" s="1335">
        <v>62.583196623646415</v>
      </c>
      <c r="G153" s="1335">
        <v>64.317506837264304</v>
      </c>
      <c r="H153" s="1335">
        <v>61.357385468086314</v>
      </c>
      <c r="I153" s="1335">
        <v>52.333014192040451</v>
      </c>
      <c r="J153" s="1335">
        <f t="shared" si="14"/>
        <v>68.569244593049604</v>
      </c>
      <c r="K153" s="299" t="str">
        <f t="shared" si="15"/>
        <v>PFJ</v>
      </c>
      <c r="L153" s="1442" t="s">
        <v>3454</v>
      </c>
      <c r="M153" s="1443">
        <v>50</v>
      </c>
      <c r="N153" s="1444" t="s">
        <v>3459</v>
      </c>
      <c r="T153" s="1440"/>
      <c r="U153" s="1440"/>
      <c r="V153" s="1440"/>
      <c r="W153" s="1440"/>
      <c r="X153" s="1440"/>
      <c r="Y153" s="1440"/>
      <c r="Z153" s="1440"/>
      <c r="AA153" s="1440"/>
      <c r="AB153" s="1440"/>
      <c r="AC153" s="1440"/>
    </row>
    <row r="154" spans="1:29">
      <c r="A154" s="1333" t="s">
        <v>3469</v>
      </c>
      <c r="B154" s="1335">
        <v>25.182048085527725</v>
      </c>
      <c r="C154" s="1335">
        <v>35.5269866345648</v>
      </c>
      <c r="D154" s="1335">
        <v>45.043691346042451</v>
      </c>
      <c r="E154" s="1335">
        <v>56.777952954650047</v>
      </c>
      <c r="F154" s="1335">
        <v>65.583196623646415</v>
      </c>
      <c r="G154" s="1335">
        <v>67.317506837264304</v>
      </c>
      <c r="H154" s="1335">
        <v>64.357385468086321</v>
      </c>
      <c r="I154" s="1335">
        <v>55.333014192040444</v>
      </c>
      <c r="J154" s="1335">
        <f t="shared" si="14"/>
        <v>71.569244593049604</v>
      </c>
      <c r="K154" s="299" t="str">
        <f t="shared" si="15"/>
        <v>TFD</v>
      </c>
      <c r="L154" s="1442">
        <v>460</v>
      </c>
      <c r="M154" s="1443">
        <v>60</v>
      </c>
      <c r="N154" s="1444" t="s">
        <v>3455</v>
      </c>
      <c r="T154" s="1440"/>
      <c r="U154" s="1440"/>
      <c r="V154" s="1440"/>
      <c r="W154" s="1440"/>
      <c r="X154" s="1440"/>
      <c r="Y154" s="1440"/>
      <c r="Z154" s="1440"/>
      <c r="AA154" s="1440"/>
      <c r="AB154" s="1440"/>
      <c r="AC154" s="1440"/>
    </row>
    <row r="155" spans="1:29">
      <c r="A155" s="1333" t="s">
        <v>3469</v>
      </c>
      <c r="B155" s="1335">
        <v>25.182048085527725</v>
      </c>
      <c r="C155" s="1335">
        <v>35.5269866345648</v>
      </c>
      <c r="D155" s="1335">
        <v>45.043691346042451</v>
      </c>
      <c r="E155" s="1335">
        <v>56.777952954650047</v>
      </c>
      <c r="F155" s="1335">
        <v>65.583196623646415</v>
      </c>
      <c r="G155" s="1335">
        <v>67.317506837264304</v>
      </c>
      <c r="H155" s="1335">
        <v>64.357385468086321</v>
      </c>
      <c r="I155" s="1335">
        <v>55.333014192040444</v>
      </c>
      <c r="J155" s="1335">
        <f t="shared" si="14"/>
        <v>71.569244593049604</v>
      </c>
      <c r="K155" s="299" t="str">
        <f t="shared" si="15"/>
        <v>TFD</v>
      </c>
      <c r="L155" s="1442">
        <v>460</v>
      </c>
      <c r="M155" s="1443">
        <v>60</v>
      </c>
      <c r="N155" s="1444" t="s">
        <v>3461</v>
      </c>
      <c r="T155" s="1440"/>
      <c r="U155" s="1440"/>
      <c r="V155" s="1440"/>
      <c r="W155" s="1440"/>
      <c r="X155" s="1440"/>
      <c r="Y155" s="1440"/>
      <c r="Z155" s="1440"/>
      <c r="AA155" s="1440"/>
      <c r="AB155" s="1440"/>
      <c r="AC155" s="1440"/>
    </row>
    <row r="156" spans="1:29">
      <c r="A156" s="1333" t="s">
        <v>3469</v>
      </c>
      <c r="B156" s="1335">
        <v>25.182048085527725</v>
      </c>
      <c r="C156" s="1335">
        <v>35.5269866345648</v>
      </c>
      <c r="D156" s="1335">
        <v>45.043691346042451</v>
      </c>
      <c r="E156" s="1335">
        <v>56.777952954650047</v>
      </c>
      <c r="F156" s="1335">
        <v>65.583196623646415</v>
      </c>
      <c r="G156" s="1335">
        <v>67.317506837264304</v>
      </c>
      <c r="H156" s="1335">
        <v>64.357385468086321</v>
      </c>
      <c r="I156" s="1335">
        <v>55.333014192040444</v>
      </c>
      <c r="J156" s="1335">
        <f t="shared" si="14"/>
        <v>71.569244593049604</v>
      </c>
      <c r="K156" s="299" t="str">
        <f t="shared" si="15"/>
        <v>TFD</v>
      </c>
      <c r="L156" s="1442">
        <v>460</v>
      </c>
      <c r="M156" s="1443">
        <v>60</v>
      </c>
      <c r="N156" s="1444" t="s">
        <v>3459</v>
      </c>
      <c r="T156" s="1440"/>
      <c r="U156" s="1440"/>
      <c r="V156" s="1440"/>
      <c r="W156" s="1440"/>
      <c r="X156" s="1440"/>
      <c r="Y156" s="1440"/>
      <c r="Z156" s="1440"/>
      <c r="AA156" s="1440"/>
      <c r="AB156" s="1440"/>
      <c r="AC156" s="1440"/>
    </row>
    <row r="157" spans="1:29">
      <c r="A157" s="1333" t="s">
        <v>3471</v>
      </c>
      <c r="B157" s="1335">
        <v>20.636732331175601</v>
      </c>
      <c r="C157" s="1335">
        <v>33.826845748035723</v>
      </c>
      <c r="D157" s="1335">
        <v>45.195565318797165</v>
      </c>
      <c r="E157" s="1335">
        <v>55.980066815582546</v>
      </c>
      <c r="F157" s="1335">
        <v>62.944532762483256</v>
      </c>
      <c r="G157" s="1335">
        <v>64.096261860585116</v>
      </c>
      <c r="H157" s="1335">
        <v>60.435500399127015</v>
      </c>
      <c r="I157" s="1335">
        <v>53.695737211483177</v>
      </c>
      <c r="J157" s="1335">
        <f t="shared" si="14"/>
        <v>68.440838220212441</v>
      </c>
      <c r="K157" s="1442" t="s">
        <v>3463</v>
      </c>
      <c r="L157" s="1442" t="s">
        <v>3454</v>
      </c>
      <c r="M157" s="1442">
        <v>50</v>
      </c>
      <c r="N157" s="1442" t="s">
        <v>3455</v>
      </c>
      <c r="T157" s="1440"/>
      <c r="U157" s="1440"/>
      <c r="V157" s="1440"/>
      <c r="W157" s="1440"/>
      <c r="X157" s="1440"/>
      <c r="Y157" s="1440"/>
      <c r="Z157" s="1440"/>
      <c r="AA157" s="1440"/>
      <c r="AB157" s="1440"/>
      <c r="AC157" s="1440"/>
    </row>
    <row r="158" spans="1:29">
      <c r="A158" s="1333" t="s">
        <v>3472</v>
      </c>
      <c r="B158" s="1335">
        <v>22.702557285582717</v>
      </c>
      <c r="C158" s="1335">
        <v>25.994959125044833</v>
      </c>
      <c r="D158" s="1335">
        <v>41.008292676288811</v>
      </c>
      <c r="E158" s="1335">
        <v>50.316502807024463</v>
      </c>
      <c r="F158" s="1335">
        <v>61.941988866916574</v>
      </c>
      <c r="G158" s="1335">
        <v>64.123127497562081</v>
      </c>
      <c r="H158" s="1335">
        <v>61.578414855964702</v>
      </c>
      <c r="I158" s="1335">
        <v>57.801336174236269</v>
      </c>
      <c r="J158" s="1335">
        <f t="shared" si="14"/>
        <v>68.550368032876634</v>
      </c>
      <c r="K158" s="1442" t="s">
        <v>3465</v>
      </c>
      <c r="L158" s="1442" t="s">
        <v>3457</v>
      </c>
      <c r="M158" s="1442">
        <v>50</v>
      </c>
      <c r="N158" s="1442" t="s">
        <v>3455</v>
      </c>
      <c r="T158" s="1440"/>
      <c r="U158" s="1440"/>
      <c r="V158" s="1440"/>
      <c r="W158" s="1440"/>
      <c r="X158" s="1440"/>
      <c r="Y158" s="1440"/>
      <c r="Z158" s="1440"/>
      <c r="AA158" s="1440"/>
      <c r="AB158" s="1440"/>
      <c r="AC158" s="1440"/>
    </row>
    <row r="159" spans="1:29">
      <c r="A159" s="1333" t="s">
        <v>3471</v>
      </c>
      <c r="B159" s="1335">
        <v>20.636732331175601</v>
      </c>
      <c r="C159" s="1335">
        <v>33.826845748035723</v>
      </c>
      <c r="D159" s="1335">
        <v>45.195565318797165</v>
      </c>
      <c r="E159" s="1335">
        <v>55.980066815582546</v>
      </c>
      <c r="F159" s="1335">
        <v>62.944532762483256</v>
      </c>
      <c r="G159" s="1335">
        <v>64.096261860585116</v>
      </c>
      <c r="H159" s="1335">
        <v>60.435500399127015</v>
      </c>
      <c r="I159" s="1335">
        <v>53.695737211483177</v>
      </c>
      <c r="J159" s="1335">
        <f t="shared" si="14"/>
        <v>68.440838220212441</v>
      </c>
      <c r="K159" s="1442" t="s">
        <v>3463</v>
      </c>
      <c r="L159" s="1442" t="s">
        <v>3454</v>
      </c>
      <c r="M159" s="1442">
        <v>50</v>
      </c>
      <c r="N159" s="1442" t="s">
        <v>3461</v>
      </c>
      <c r="T159" s="1440"/>
      <c r="U159" s="1440"/>
      <c r="V159" s="1440"/>
      <c r="W159" s="1440"/>
      <c r="X159" s="1440"/>
      <c r="Y159" s="1440"/>
      <c r="Z159" s="1440"/>
      <c r="AA159" s="1440"/>
      <c r="AB159" s="1440"/>
      <c r="AC159" s="1440"/>
    </row>
    <row r="160" spans="1:29">
      <c r="A160" s="1333" t="s">
        <v>3472</v>
      </c>
      <c r="B160" s="1335">
        <v>22.702557285582717</v>
      </c>
      <c r="C160" s="1335">
        <v>25.994959125044833</v>
      </c>
      <c r="D160" s="1335">
        <v>41.008292676288811</v>
      </c>
      <c r="E160" s="1335">
        <v>50.316502807024463</v>
      </c>
      <c r="F160" s="1335">
        <v>61.941988866916574</v>
      </c>
      <c r="G160" s="1335">
        <v>64.123127497562081</v>
      </c>
      <c r="H160" s="1335">
        <v>61.578414855964702</v>
      </c>
      <c r="I160" s="1335">
        <v>57.801336174236269</v>
      </c>
      <c r="J160" s="1335">
        <f t="shared" si="14"/>
        <v>68.550368032876634</v>
      </c>
      <c r="K160" s="1442" t="s">
        <v>3465</v>
      </c>
      <c r="L160" s="1442" t="s">
        <v>3457</v>
      </c>
      <c r="M160" s="1442">
        <v>50</v>
      </c>
      <c r="N160" s="1442" t="s">
        <v>3461</v>
      </c>
      <c r="T160" s="1440"/>
      <c r="U160" s="1440"/>
      <c r="V160" s="1440"/>
      <c r="W160" s="1440"/>
      <c r="X160" s="1440"/>
      <c r="Y160" s="1440"/>
      <c r="Z160" s="1440"/>
      <c r="AA160" s="1440"/>
      <c r="AB160" s="1440"/>
      <c r="AC160" s="1440"/>
    </row>
    <row r="161" spans="1:29">
      <c r="A161" s="1333" t="s">
        <v>3471</v>
      </c>
      <c r="B161" s="1335">
        <v>20.636732331175601</v>
      </c>
      <c r="C161" s="1335">
        <v>33.826845748035723</v>
      </c>
      <c r="D161" s="1335">
        <v>45.195565318797165</v>
      </c>
      <c r="E161" s="1335">
        <v>55.980066815582546</v>
      </c>
      <c r="F161" s="1335">
        <v>62.944532762483256</v>
      </c>
      <c r="G161" s="1335">
        <v>64.096261860585116</v>
      </c>
      <c r="H161" s="1335">
        <v>60.435500399127015</v>
      </c>
      <c r="I161" s="1335">
        <v>53.695737211483177</v>
      </c>
      <c r="J161" s="1335">
        <f t="shared" si="14"/>
        <v>68.440838220212441</v>
      </c>
      <c r="K161" s="1442" t="s">
        <v>3463</v>
      </c>
      <c r="L161" s="1442" t="s">
        <v>3454</v>
      </c>
      <c r="M161" s="1442">
        <v>50</v>
      </c>
      <c r="N161" s="1442" t="s">
        <v>3459</v>
      </c>
      <c r="T161" s="1440"/>
      <c r="U161" s="1440"/>
      <c r="V161" s="1440"/>
      <c r="W161" s="1440"/>
      <c r="X161" s="1440"/>
      <c r="Y161" s="1440"/>
      <c r="Z161" s="1440"/>
      <c r="AA161" s="1440"/>
      <c r="AB161" s="1440"/>
      <c r="AC161" s="1440"/>
    </row>
    <row r="162" spans="1:29">
      <c r="A162" s="1333" t="s">
        <v>3472</v>
      </c>
      <c r="B162" s="1335">
        <v>19.033539271177926</v>
      </c>
      <c r="C162" s="1335">
        <v>29.213085857670386</v>
      </c>
      <c r="D162" s="1335">
        <v>44.825864592497958</v>
      </c>
      <c r="E162" s="1335">
        <v>58.722339077171526</v>
      </c>
      <c r="F162" s="1335">
        <v>66.304377601269806</v>
      </c>
      <c r="G162" s="1335">
        <v>67.342867464080442</v>
      </c>
      <c r="H162" s="1335">
        <v>62.63376923041514</v>
      </c>
      <c r="I162" s="1335">
        <v>54.553253529237445</v>
      </c>
      <c r="J162" s="1335">
        <f t="shared" si="14"/>
        <v>71.464589675189373</v>
      </c>
      <c r="K162" s="1442" t="s">
        <v>3465</v>
      </c>
      <c r="L162" s="1442">
        <v>460</v>
      </c>
      <c r="M162" s="1442">
        <v>60</v>
      </c>
      <c r="N162" s="1442" t="s">
        <v>3455</v>
      </c>
      <c r="T162" s="1440"/>
      <c r="U162" s="1440"/>
      <c r="V162" s="1440"/>
      <c r="W162" s="1440"/>
      <c r="X162" s="1440"/>
      <c r="Y162" s="1440"/>
      <c r="Z162" s="1440"/>
      <c r="AA162" s="1440"/>
      <c r="AB162" s="1440"/>
      <c r="AC162" s="1440"/>
    </row>
    <row r="163" spans="1:29">
      <c r="A163" s="1333" t="s">
        <v>3472</v>
      </c>
      <c r="B163" s="1335">
        <v>19.033539271177926</v>
      </c>
      <c r="C163" s="1335">
        <v>29.213085857670386</v>
      </c>
      <c r="D163" s="1335">
        <v>44.825864592497958</v>
      </c>
      <c r="E163" s="1335">
        <v>58.722339077171526</v>
      </c>
      <c r="F163" s="1335">
        <v>66.304377601269806</v>
      </c>
      <c r="G163" s="1335">
        <v>67.342867464080442</v>
      </c>
      <c r="H163" s="1335">
        <v>62.63376923041514</v>
      </c>
      <c r="I163" s="1335">
        <v>54.553253529237445</v>
      </c>
      <c r="J163" s="1335">
        <f t="shared" si="14"/>
        <v>71.464589675189373</v>
      </c>
      <c r="K163" s="1442" t="s">
        <v>3465</v>
      </c>
      <c r="L163" s="1442">
        <v>460</v>
      </c>
      <c r="M163" s="1442">
        <v>60</v>
      </c>
      <c r="N163" s="1442" t="s">
        <v>3461</v>
      </c>
      <c r="T163" s="1440"/>
      <c r="U163" s="1440"/>
      <c r="V163" s="1440"/>
      <c r="W163" s="1440"/>
      <c r="X163" s="1440"/>
      <c r="Y163" s="1440"/>
      <c r="Z163" s="1440"/>
      <c r="AA163" s="1440"/>
      <c r="AB163" s="1440"/>
      <c r="AC163" s="1440"/>
    </row>
    <row r="164" spans="1:29">
      <c r="A164" s="1333" t="s">
        <v>3472</v>
      </c>
      <c r="B164" s="1335">
        <v>19.033539271177926</v>
      </c>
      <c r="C164" s="1335">
        <v>29.213085857670386</v>
      </c>
      <c r="D164" s="1335">
        <v>44.825864592497958</v>
      </c>
      <c r="E164" s="1335">
        <v>58.722339077171526</v>
      </c>
      <c r="F164" s="1335">
        <v>66.304377601269806</v>
      </c>
      <c r="G164" s="1335">
        <v>67.342867464080442</v>
      </c>
      <c r="H164" s="1335">
        <v>62.63376923041514</v>
      </c>
      <c r="I164" s="1335">
        <v>54.553253529237445</v>
      </c>
      <c r="J164" s="1335">
        <f t="shared" si="14"/>
        <v>71.464589675189373</v>
      </c>
      <c r="K164" s="1442" t="s">
        <v>3465</v>
      </c>
      <c r="L164" s="1442">
        <v>460</v>
      </c>
      <c r="M164" s="1442">
        <v>60</v>
      </c>
      <c r="N164" s="1442" t="s">
        <v>3459</v>
      </c>
      <c r="T164" s="1440"/>
      <c r="U164" s="1440"/>
      <c r="V164" s="1440"/>
      <c r="W164" s="1440"/>
      <c r="X164" s="1440"/>
      <c r="Y164" s="1440"/>
      <c r="Z164" s="1440"/>
      <c r="AA164" s="1440"/>
      <c r="AB164" s="1440"/>
      <c r="AC164" s="1440"/>
    </row>
    <row r="165" spans="1:29">
      <c r="A165" s="1333" t="s">
        <v>3473</v>
      </c>
      <c r="B165" s="1335">
        <v>32.023224990551896</v>
      </c>
      <c r="C165" s="1335">
        <v>32.766282810335646</v>
      </c>
      <c r="D165" s="1335">
        <v>49.479210598222863</v>
      </c>
      <c r="E165" s="1335">
        <v>56.000448822023571</v>
      </c>
      <c r="F165" s="1335">
        <v>64.065601646547748</v>
      </c>
      <c r="G165" s="1335">
        <v>63.395679555393329</v>
      </c>
      <c r="H165" s="1335">
        <v>58.91815112625028</v>
      </c>
      <c r="I165" s="1335">
        <v>54.852004066896228</v>
      </c>
      <c r="J165" s="1335">
        <f t="shared" si="14"/>
        <v>68.284327342499637</v>
      </c>
      <c r="K165" s="299" t="s">
        <v>3463</v>
      </c>
      <c r="L165" s="299" t="s">
        <v>3454</v>
      </c>
      <c r="M165" s="299">
        <v>50</v>
      </c>
      <c r="N165" s="299" t="s">
        <v>3455</v>
      </c>
      <c r="T165" s="1440"/>
      <c r="U165" s="1440"/>
      <c r="V165" s="1440"/>
      <c r="W165" s="1440"/>
      <c r="X165" s="1440"/>
      <c r="Y165" s="1440"/>
      <c r="Z165" s="1440"/>
      <c r="AA165" s="1440"/>
      <c r="AB165" s="1440"/>
      <c r="AC165" s="1440"/>
    </row>
    <row r="166" spans="1:29">
      <c r="A166" s="1333" t="s">
        <v>3474</v>
      </c>
      <c r="B166" s="1335">
        <v>23.328084767038433</v>
      </c>
      <c r="C166" s="1335">
        <v>26.755324589738766</v>
      </c>
      <c r="D166" s="1335">
        <v>45.928936016908388</v>
      </c>
      <c r="E166" s="1335">
        <v>55.944728995984164</v>
      </c>
      <c r="F166" s="1335">
        <v>64.387664080668102</v>
      </c>
      <c r="G166" s="1335">
        <v>62.874815006012909</v>
      </c>
      <c r="H166" s="1335">
        <v>59.624361913107855</v>
      </c>
      <c r="I166" s="1335">
        <v>54.389133883486792</v>
      </c>
      <c r="J166" s="1335">
        <f t="shared" si="14"/>
        <v>68.300571478745638</v>
      </c>
      <c r="K166" s="299" t="s">
        <v>3465</v>
      </c>
      <c r="L166" s="299" t="s">
        <v>3457</v>
      </c>
      <c r="M166" s="299">
        <v>50</v>
      </c>
      <c r="N166" s="299" t="s">
        <v>3455</v>
      </c>
      <c r="T166" s="1440"/>
      <c r="U166" s="1440"/>
      <c r="V166" s="1440"/>
      <c r="W166" s="1440"/>
      <c r="X166" s="1440"/>
      <c r="Y166" s="1440"/>
      <c r="Z166" s="1440"/>
      <c r="AA166" s="1440"/>
      <c r="AB166" s="1440"/>
      <c r="AC166" s="1440"/>
    </row>
    <row r="167" spans="1:29">
      <c r="A167" s="1333" t="s">
        <v>3473</v>
      </c>
      <c r="B167" s="1335">
        <v>32.023224990551896</v>
      </c>
      <c r="C167" s="1335">
        <v>32.766282810335646</v>
      </c>
      <c r="D167" s="1335">
        <v>49.479210598222863</v>
      </c>
      <c r="E167" s="1335">
        <v>56.000448822023571</v>
      </c>
      <c r="F167" s="1335">
        <v>64.065601646547748</v>
      </c>
      <c r="G167" s="1335">
        <v>63.395679555393329</v>
      </c>
      <c r="H167" s="1335">
        <v>58.91815112625028</v>
      </c>
      <c r="I167" s="1335">
        <v>54.852004066896228</v>
      </c>
      <c r="J167" s="1335">
        <f t="shared" si="14"/>
        <v>68.284327342499637</v>
      </c>
      <c r="K167" s="299" t="s">
        <v>3463</v>
      </c>
      <c r="L167" s="299" t="s">
        <v>3454</v>
      </c>
      <c r="M167" s="299">
        <v>50</v>
      </c>
      <c r="N167" s="299" t="s">
        <v>3461</v>
      </c>
      <c r="T167" s="1440"/>
      <c r="U167" s="1440"/>
      <c r="V167" s="1440"/>
      <c r="W167" s="1440"/>
      <c r="X167" s="1440"/>
      <c r="Y167" s="1440"/>
      <c r="Z167" s="1440"/>
      <c r="AA167" s="1440"/>
      <c r="AB167" s="1440"/>
      <c r="AC167" s="1440"/>
    </row>
    <row r="168" spans="1:29">
      <c r="A168" s="1333" t="s">
        <v>3474</v>
      </c>
      <c r="B168" s="1335">
        <v>23.328084767038433</v>
      </c>
      <c r="C168" s="1335">
        <v>26.755324589738766</v>
      </c>
      <c r="D168" s="1335">
        <v>45.928936016908388</v>
      </c>
      <c r="E168" s="1335">
        <v>55.944728995984164</v>
      </c>
      <c r="F168" s="1335">
        <v>64.387664080668102</v>
      </c>
      <c r="G168" s="1335">
        <v>62.874815006012909</v>
      </c>
      <c r="H168" s="1335">
        <v>59.624361913107855</v>
      </c>
      <c r="I168" s="1335">
        <v>54.389133883486792</v>
      </c>
      <c r="J168" s="1335">
        <f t="shared" si="14"/>
        <v>68.300571478745638</v>
      </c>
      <c r="K168" s="299" t="s">
        <v>3465</v>
      </c>
      <c r="L168" s="299" t="s">
        <v>3457</v>
      </c>
      <c r="M168" s="299">
        <v>50</v>
      </c>
      <c r="N168" s="299" t="s">
        <v>3461</v>
      </c>
      <c r="T168" s="1440"/>
      <c r="U168" s="1440"/>
      <c r="V168" s="1440"/>
      <c r="W168" s="1440"/>
      <c r="X168" s="1440"/>
      <c r="Y168" s="1440"/>
      <c r="Z168" s="1440"/>
      <c r="AA168" s="1440"/>
      <c r="AB168" s="1440"/>
      <c r="AC168" s="1440"/>
    </row>
    <row r="169" spans="1:29">
      <c r="A169" s="1333" t="s">
        <v>3473</v>
      </c>
      <c r="B169" s="1335">
        <v>32.023224990551896</v>
      </c>
      <c r="C169" s="1335">
        <v>32.766282810335646</v>
      </c>
      <c r="D169" s="1335">
        <v>49.479210598222863</v>
      </c>
      <c r="E169" s="1335">
        <v>56.000448822023571</v>
      </c>
      <c r="F169" s="1335">
        <v>64.065601646547748</v>
      </c>
      <c r="G169" s="1335">
        <v>63.395679555393329</v>
      </c>
      <c r="H169" s="1335">
        <v>58.91815112625028</v>
      </c>
      <c r="I169" s="1335">
        <v>54.852004066896228</v>
      </c>
      <c r="J169" s="1335">
        <f t="shared" si="14"/>
        <v>68.284327342499637</v>
      </c>
      <c r="K169" s="299" t="s">
        <v>3463</v>
      </c>
      <c r="L169" s="299" t="s">
        <v>3454</v>
      </c>
      <c r="M169" s="299">
        <v>50</v>
      </c>
      <c r="N169" s="299" t="s">
        <v>3459</v>
      </c>
      <c r="T169" s="1440"/>
      <c r="U169" s="1440"/>
      <c r="V169" s="1440"/>
      <c r="W169" s="1440"/>
      <c r="X169" s="1440"/>
      <c r="Y169" s="1440"/>
      <c r="Z169" s="1440"/>
      <c r="AA169" s="1440"/>
      <c r="AB169" s="1440"/>
      <c r="AC169" s="1440"/>
    </row>
    <row r="170" spans="1:29">
      <c r="A170" s="1333" t="s">
        <v>3475</v>
      </c>
      <c r="B170" s="1335">
        <v>32.023224990551896</v>
      </c>
      <c r="C170" s="1335">
        <v>32.766282810335646</v>
      </c>
      <c r="D170" s="1335">
        <v>49.479210598222863</v>
      </c>
      <c r="E170" s="1335">
        <v>56.000448822023571</v>
      </c>
      <c r="F170" s="1335">
        <v>64.065601646547748</v>
      </c>
      <c r="G170" s="1335">
        <v>63.395679555393329</v>
      </c>
      <c r="H170" s="1335">
        <v>58.91815112625028</v>
      </c>
      <c r="I170" s="1335">
        <v>54.852004066896228</v>
      </c>
      <c r="J170" s="1335">
        <f t="shared" si="14"/>
        <v>68.284327342499637</v>
      </c>
      <c r="K170" s="299" t="s">
        <v>3463</v>
      </c>
      <c r="L170" s="299" t="s">
        <v>3454</v>
      </c>
      <c r="M170" s="299">
        <v>50</v>
      </c>
      <c r="N170" s="299" t="s">
        <v>3459</v>
      </c>
      <c r="T170" s="1440"/>
      <c r="U170" s="1440"/>
      <c r="V170" s="1440"/>
      <c r="W170" s="1440"/>
      <c r="X170" s="1440"/>
      <c r="Y170" s="1440"/>
      <c r="Z170" s="1440"/>
      <c r="AA170" s="1440"/>
      <c r="AB170" s="1440"/>
      <c r="AC170" s="1440"/>
    </row>
    <row r="171" spans="1:29">
      <c r="A171" s="1333" t="s">
        <v>3474</v>
      </c>
      <c r="B171" s="1335">
        <v>23.328084767038433</v>
      </c>
      <c r="C171" s="1335">
        <v>26.755324589738766</v>
      </c>
      <c r="D171" s="1335">
        <v>45.928936016908388</v>
      </c>
      <c r="E171" s="1335">
        <v>55.944728995984164</v>
      </c>
      <c r="F171" s="1335">
        <v>64.387664080668102</v>
      </c>
      <c r="G171" s="1335">
        <v>62.874815006012909</v>
      </c>
      <c r="H171" s="1335">
        <v>59.624361913107855</v>
      </c>
      <c r="I171" s="1335">
        <v>54.389133883486792</v>
      </c>
      <c r="J171" s="1335">
        <f t="shared" si="14"/>
        <v>68.300571478745638</v>
      </c>
      <c r="K171" s="299" t="s">
        <v>3465</v>
      </c>
      <c r="L171" s="299" t="s">
        <v>3457</v>
      </c>
      <c r="M171" s="299">
        <v>50</v>
      </c>
      <c r="N171" s="299" t="s">
        <v>3459</v>
      </c>
      <c r="T171" s="1440"/>
      <c r="U171" s="1440"/>
      <c r="V171" s="1440"/>
      <c r="W171" s="1440"/>
      <c r="X171" s="1440"/>
      <c r="Y171" s="1440"/>
      <c r="Z171" s="1440"/>
      <c r="AA171" s="1440"/>
      <c r="AB171" s="1440"/>
      <c r="AC171" s="1440"/>
    </row>
    <row r="172" spans="1:29">
      <c r="A172" s="1333" t="s">
        <v>3474</v>
      </c>
      <c r="B172" s="1335">
        <v>26.157740082405681</v>
      </c>
      <c r="C172" s="1335">
        <v>30.263434232965732</v>
      </c>
      <c r="D172" s="1335">
        <v>47.09377937760167</v>
      </c>
      <c r="E172" s="1335">
        <v>60.623723548685071</v>
      </c>
      <c r="F172" s="1335">
        <v>65.809949477806782</v>
      </c>
      <c r="G172" s="1335">
        <v>66.990534318030484</v>
      </c>
      <c r="H172" s="1335">
        <v>62.991482242841741</v>
      </c>
      <c r="I172" s="1335">
        <v>57.631350174900135</v>
      </c>
      <c r="J172" s="1335">
        <f t="shared" si="14"/>
        <v>71.354151410926534</v>
      </c>
      <c r="K172" s="299" t="s">
        <v>3465</v>
      </c>
      <c r="L172" s="299">
        <v>460</v>
      </c>
      <c r="M172" s="299">
        <v>60</v>
      </c>
      <c r="N172" s="299" t="s">
        <v>3455</v>
      </c>
      <c r="T172" s="1440"/>
      <c r="U172" s="1440"/>
      <c r="V172" s="1440"/>
      <c r="W172" s="1440"/>
      <c r="X172" s="1440"/>
      <c r="Y172" s="1440"/>
      <c r="Z172" s="1440"/>
      <c r="AA172" s="1440"/>
      <c r="AB172" s="1440"/>
      <c r="AC172" s="1440"/>
    </row>
    <row r="173" spans="1:29">
      <c r="A173" s="1333" t="s">
        <v>3476</v>
      </c>
      <c r="B173" s="1335">
        <v>22.728393267485725</v>
      </c>
      <c r="C173" s="1335">
        <v>28.623994797471163</v>
      </c>
      <c r="D173" s="1335">
        <v>49.247638474521125</v>
      </c>
      <c r="E173" s="1335">
        <v>56.634578869113739</v>
      </c>
      <c r="F173" s="1335">
        <v>63.803340420137744</v>
      </c>
      <c r="G173" s="1335">
        <v>64.201319439811598</v>
      </c>
      <c r="H173" s="1335">
        <v>57.5014863389383</v>
      </c>
      <c r="I173" s="1335">
        <v>52.297570251975316</v>
      </c>
      <c r="J173" s="1335">
        <f t="shared" si="14"/>
        <v>68.323510469875913</v>
      </c>
      <c r="K173" s="299" t="s">
        <v>3477</v>
      </c>
      <c r="L173" s="299" t="s">
        <v>3478</v>
      </c>
      <c r="M173" s="299">
        <v>50</v>
      </c>
      <c r="N173" s="299" t="s">
        <v>3455</v>
      </c>
      <c r="T173" s="1440"/>
      <c r="U173" s="1440"/>
      <c r="V173" s="1440"/>
      <c r="W173" s="1440"/>
      <c r="X173" s="1440"/>
      <c r="Y173" s="1440"/>
      <c r="Z173" s="1440"/>
      <c r="AA173" s="1440"/>
      <c r="AB173" s="1440"/>
      <c r="AC173" s="1440"/>
    </row>
    <row r="174" spans="1:29">
      <c r="A174" s="1333" t="s">
        <v>3474</v>
      </c>
      <c r="B174" s="1335">
        <v>26.157740082405681</v>
      </c>
      <c r="C174" s="1335">
        <v>30.263434232965732</v>
      </c>
      <c r="D174" s="1335">
        <v>47.09377937760167</v>
      </c>
      <c r="E174" s="1335">
        <v>60.623723548685071</v>
      </c>
      <c r="F174" s="1335">
        <v>65.809949477806782</v>
      </c>
      <c r="G174" s="1335">
        <v>66.990534318030484</v>
      </c>
      <c r="H174" s="1335">
        <v>62.991482242841741</v>
      </c>
      <c r="I174" s="1335">
        <v>57.631350174900135</v>
      </c>
      <c r="J174" s="1335">
        <f t="shared" si="14"/>
        <v>71.354151410926534</v>
      </c>
      <c r="K174" s="299" t="s">
        <v>3465</v>
      </c>
      <c r="L174" s="299">
        <v>460</v>
      </c>
      <c r="M174" s="299">
        <v>60</v>
      </c>
      <c r="N174" s="299" t="s">
        <v>3461</v>
      </c>
      <c r="T174" s="1440"/>
      <c r="U174" s="1440"/>
      <c r="V174" s="1440"/>
      <c r="W174" s="1440"/>
      <c r="X174" s="1440"/>
      <c r="Y174" s="1440"/>
      <c r="Z174" s="1440"/>
      <c r="AA174" s="1440"/>
      <c r="AB174" s="1440"/>
      <c r="AC174" s="1440"/>
    </row>
    <row r="175" spans="1:29">
      <c r="A175" s="1333" t="s">
        <v>3474</v>
      </c>
      <c r="B175" s="1335">
        <v>26.157740082405681</v>
      </c>
      <c r="C175" s="1335">
        <v>30.263434232965732</v>
      </c>
      <c r="D175" s="1335">
        <v>47.09377937760167</v>
      </c>
      <c r="E175" s="1335">
        <v>60.623723548685071</v>
      </c>
      <c r="F175" s="1335">
        <v>65.809949477806782</v>
      </c>
      <c r="G175" s="1335">
        <v>66.990534318030484</v>
      </c>
      <c r="H175" s="1335">
        <v>62.991482242841741</v>
      </c>
      <c r="I175" s="1335">
        <v>57.631350174900135</v>
      </c>
      <c r="J175" s="1335">
        <f t="shared" si="14"/>
        <v>71.354151410926534</v>
      </c>
      <c r="K175" s="299" t="s">
        <v>3465</v>
      </c>
      <c r="L175" s="299">
        <v>460</v>
      </c>
      <c r="M175" s="299">
        <v>60</v>
      </c>
      <c r="N175" s="299" t="s">
        <v>3459</v>
      </c>
      <c r="T175" s="1440"/>
      <c r="U175" s="1440"/>
      <c r="V175" s="1440"/>
      <c r="W175" s="1440"/>
      <c r="X175" s="1440"/>
      <c r="Y175" s="1440"/>
      <c r="Z175" s="1440"/>
      <c r="AA175" s="1440"/>
      <c r="AB175" s="1440"/>
      <c r="AC175" s="1440"/>
    </row>
    <row r="176" spans="1:29">
      <c r="A176" s="1333" t="s">
        <v>3476</v>
      </c>
      <c r="B176" s="1335">
        <v>22.728393267485725</v>
      </c>
      <c r="C176" s="1335">
        <v>28.623994797471163</v>
      </c>
      <c r="D176" s="1335">
        <v>49.247638474521125</v>
      </c>
      <c r="E176" s="1335">
        <v>56.634578869113739</v>
      </c>
      <c r="F176" s="1335">
        <v>63.803340420137744</v>
      </c>
      <c r="G176" s="1335">
        <v>64.201319439811598</v>
      </c>
      <c r="H176" s="1335">
        <v>57.5014863389383</v>
      </c>
      <c r="I176" s="1335">
        <v>52.297570251975316</v>
      </c>
      <c r="J176" s="1335">
        <f t="shared" si="14"/>
        <v>68.323510469875913</v>
      </c>
      <c r="K176" s="299" t="s">
        <v>3477</v>
      </c>
      <c r="L176" s="299" t="s">
        <v>3478</v>
      </c>
      <c r="M176" s="299">
        <v>50</v>
      </c>
      <c r="N176" s="299" t="s">
        <v>3461</v>
      </c>
      <c r="T176" s="1440"/>
      <c r="U176" s="1440"/>
      <c r="V176" s="1440"/>
      <c r="W176" s="1440"/>
      <c r="X176" s="1440"/>
      <c r="Y176" s="1440"/>
      <c r="Z176" s="1440"/>
      <c r="AA176" s="1440"/>
      <c r="AB176" s="1440"/>
      <c r="AC176" s="1440"/>
    </row>
    <row r="177" spans="1:29">
      <c r="A177" s="1333" t="s">
        <v>3476</v>
      </c>
      <c r="B177" s="1335">
        <v>22.728393267485725</v>
      </c>
      <c r="C177" s="1335">
        <v>28.623994797471163</v>
      </c>
      <c r="D177" s="1335">
        <v>49.247638474521125</v>
      </c>
      <c r="E177" s="1335">
        <v>56.634578869113739</v>
      </c>
      <c r="F177" s="1335">
        <v>63.803340420137744</v>
      </c>
      <c r="G177" s="1335">
        <v>64.201319439811598</v>
      </c>
      <c r="H177" s="1335">
        <v>57.5014863389383</v>
      </c>
      <c r="I177" s="1335">
        <v>52.297570251975316</v>
      </c>
      <c r="J177" s="1335">
        <f t="shared" si="14"/>
        <v>68.323510469875913</v>
      </c>
      <c r="K177" s="299" t="s">
        <v>3477</v>
      </c>
      <c r="L177" s="299" t="s">
        <v>3478</v>
      </c>
      <c r="M177" s="299">
        <v>50</v>
      </c>
      <c r="N177" s="299" t="s">
        <v>3459</v>
      </c>
      <c r="T177" s="1440"/>
      <c r="U177" s="1440"/>
      <c r="V177" s="1440"/>
      <c r="W177" s="1440"/>
      <c r="X177" s="1440"/>
      <c r="Y177" s="1440"/>
      <c r="Z177" s="1440"/>
      <c r="AA177" s="1440"/>
      <c r="AB177" s="1440"/>
      <c r="AC177" s="1440"/>
    </row>
    <row r="178" spans="1:29">
      <c r="A178" s="1333" t="s">
        <v>3479</v>
      </c>
      <c r="B178" s="1335">
        <v>38.811212568483008</v>
      </c>
      <c r="C178" s="1335">
        <v>42.299403888044729</v>
      </c>
      <c r="D178" s="1335">
        <v>45.328190478677683</v>
      </c>
      <c r="E178" s="1335">
        <v>58.012228378099842</v>
      </c>
      <c r="F178" s="1335">
        <v>63.273980013957186</v>
      </c>
      <c r="G178" s="1335">
        <v>61.175728912686232</v>
      </c>
      <c r="H178" s="1335">
        <v>62.352184414869704</v>
      </c>
      <c r="I178" s="1335">
        <v>56.729083518600561</v>
      </c>
      <c r="J178" s="1335">
        <f t="shared" si="14"/>
        <v>68.218557198789455</v>
      </c>
      <c r="K178" s="1444" t="s">
        <v>3465</v>
      </c>
      <c r="L178" s="1444" t="s">
        <v>3457</v>
      </c>
      <c r="M178" s="1443">
        <v>50</v>
      </c>
      <c r="N178" s="1444" t="s">
        <v>3455</v>
      </c>
      <c r="T178" s="1440"/>
      <c r="U178" s="1440"/>
      <c r="V178" s="1440"/>
      <c r="W178" s="1440"/>
      <c r="X178" s="1440"/>
      <c r="Y178" s="1440"/>
      <c r="Z178" s="1440"/>
      <c r="AA178" s="1440"/>
      <c r="AB178" s="1440"/>
      <c r="AC178" s="1440"/>
    </row>
    <row r="179" spans="1:29">
      <c r="A179" s="1333" t="s">
        <v>3479</v>
      </c>
      <c r="B179" s="1335">
        <v>38.811212568483008</v>
      </c>
      <c r="C179" s="1335">
        <v>42.299403888044729</v>
      </c>
      <c r="D179" s="1335">
        <v>45.328190478677683</v>
      </c>
      <c r="E179" s="1335">
        <v>58.012228378099842</v>
      </c>
      <c r="F179" s="1335">
        <v>63.273980013957186</v>
      </c>
      <c r="G179" s="1335">
        <v>61.175728912686232</v>
      </c>
      <c r="H179" s="1335">
        <v>62.352184414869704</v>
      </c>
      <c r="I179" s="1335">
        <v>56.729083518600561</v>
      </c>
      <c r="J179" s="1335">
        <f t="shared" si="14"/>
        <v>68.218557198789455</v>
      </c>
      <c r="K179" s="1444" t="s">
        <v>3465</v>
      </c>
      <c r="L179" s="1444" t="s">
        <v>3457</v>
      </c>
      <c r="M179" s="1443">
        <v>50</v>
      </c>
      <c r="N179" s="1444" t="s">
        <v>3459</v>
      </c>
      <c r="T179" s="1440"/>
      <c r="U179" s="1440"/>
      <c r="V179" s="1440"/>
      <c r="W179" s="1440"/>
      <c r="X179" s="1440"/>
      <c r="Y179" s="1440"/>
      <c r="Z179" s="1440"/>
      <c r="AA179" s="1440"/>
      <c r="AB179" s="1440"/>
      <c r="AC179" s="1440"/>
    </row>
    <row r="180" spans="1:29">
      <c r="A180" s="1333" t="s">
        <v>3479</v>
      </c>
      <c r="B180" s="1335">
        <v>30.737060880042939</v>
      </c>
      <c r="C180" s="1335">
        <v>39.24858386934585</v>
      </c>
      <c r="D180" s="1335">
        <v>46.883414843385083</v>
      </c>
      <c r="E180" s="1335">
        <v>60.465480445504426</v>
      </c>
      <c r="F180" s="1335">
        <v>66.585928269838377</v>
      </c>
      <c r="G180" s="1335">
        <v>65.485915154029669</v>
      </c>
      <c r="H180" s="1335">
        <v>64.012960602289368</v>
      </c>
      <c r="I180" s="1335">
        <v>59.06755872722789</v>
      </c>
      <c r="J180" s="1335">
        <f t="shared" si="14"/>
        <v>71.266278658278011</v>
      </c>
      <c r="K180" s="1444" t="s">
        <v>3465</v>
      </c>
      <c r="L180" s="299">
        <v>460</v>
      </c>
      <c r="M180" s="1443">
        <v>60</v>
      </c>
      <c r="N180" s="1444" t="s">
        <v>3455</v>
      </c>
      <c r="T180" s="1440"/>
      <c r="U180" s="1440"/>
      <c r="V180" s="1440"/>
      <c r="W180" s="1440"/>
      <c r="X180" s="1440"/>
      <c r="Y180" s="1440"/>
      <c r="Z180" s="1440"/>
      <c r="AA180" s="1440"/>
      <c r="AB180" s="1440"/>
      <c r="AC180" s="1440"/>
    </row>
    <row r="181" spans="1:29">
      <c r="A181" s="1333" t="s">
        <v>3479</v>
      </c>
      <c r="B181" s="1335">
        <v>30.737060880042939</v>
      </c>
      <c r="C181" s="1335">
        <v>39.24858386934585</v>
      </c>
      <c r="D181" s="1335">
        <v>46.883414843385083</v>
      </c>
      <c r="E181" s="1335">
        <v>60.465480445504426</v>
      </c>
      <c r="F181" s="1335">
        <v>66.585928269838377</v>
      </c>
      <c r="G181" s="1335">
        <v>65.485915154029669</v>
      </c>
      <c r="H181" s="1335">
        <v>64.012960602289368</v>
      </c>
      <c r="I181" s="1335">
        <v>59.06755872722789</v>
      </c>
      <c r="J181" s="1335">
        <f t="shared" si="14"/>
        <v>71.266278658278011</v>
      </c>
      <c r="K181" s="299" t="s">
        <v>3465</v>
      </c>
      <c r="L181" s="299">
        <v>460</v>
      </c>
      <c r="M181" s="1443">
        <v>60</v>
      </c>
      <c r="N181" s="299" t="s">
        <v>3459</v>
      </c>
      <c r="T181" s="1440"/>
      <c r="U181" s="1440"/>
      <c r="V181" s="1440"/>
      <c r="W181" s="1440"/>
      <c r="X181" s="1440"/>
      <c r="Y181" s="1440"/>
      <c r="Z181" s="1440"/>
      <c r="AA181" s="1440"/>
      <c r="AB181" s="1440"/>
      <c r="AC181" s="1440"/>
    </row>
    <row r="182" spans="1:29">
      <c r="A182" s="1333" t="s">
        <v>3480</v>
      </c>
      <c r="B182" s="1335">
        <v>41.65655108493327</v>
      </c>
      <c r="C182" s="1335">
        <v>44.927740902344588</v>
      </c>
      <c r="D182" s="1335">
        <v>50.135645222929163</v>
      </c>
      <c r="E182" s="1335">
        <v>62.917702783657248</v>
      </c>
      <c r="F182" s="1335">
        <v>66.902527653437758</v>
      </c>
      <c r="G182" s="1335">
        <v>63.233198748002089</v>
      </c>
      <c r="H182" s="1335">
        <v>64.317635398104954</v>
      </c>
      <c r="I182" s="1335">
        <v>58.969212139862883</v>
      </c>
      <c r="J182" s="1335">
        <f t="shared" si="14"/>
        <v>70.995030141599344</v>
      </c>
      <c r="K182" s="1442" t="s">
        <v>3465</v>
      </c>
      <c r="L182" s="1442" t="s">
        <v>3457</v>
      </c>
      <c r="M182" s="1442">
        <v>50</v>
      </c>
      <c r="N182" s="1442" t="s">
        <v>3455</v>
      </c>
      <c r="T182" s="1440"/>
      <c r="U182" s="1440"/>
      <c r="V182" s="1440"/>
      <c r="W182" s="1440"/>
      <c r="X182" s="1440"/>
      <c r="Y182" s="1440"/>
      <c r="Z182" s="1440"/>
      <c r="AA182" s="1440"/>
      <c r="AB182" s="1440"/>
      <c r="AC182" s="1440"/>
    </row>
    <row r="183" spans="1:29">
      <c r="A183" s="1333" t="s">
        <v>3480</v>
      </c>
      <c r="B183" s="1335">
        <v>41.65655108493327</v>
      </c>
      <c r="C183" s="1335">
        <v>44.927740902344588</v>
      </c>
      <c r="D183" s="1335">
        <v>50.135645222929163</v>
      </c>
      <c r="E183" s="1335">
        <v>62.917702783657248</v>
      </c>
      <c r="F183" s="1335">
        <v>66.902527653437758</v>
      </c>
      <c r="G183" s="1335">
        <v>63.233198748002089</v>
      </c>
      <c r="H183" s="1335">
        <v>64.317635398104954</v>
      </c>
      <c r="I183" s="1335">
        <v>58.969212139862883</v>
      </c>
      <c r="J183" s="1335">
        <f t="shared" si="14"/>
        <v>70.995030141599344</v>
      </c>
      <c r="K183" s="1442" t="s">
        <v>3465</v>
      </c>
      <c r="L183" s="1442" t="s">
        <v>3457</v>
      </c>
      <c r="M183" s="1442">
        <v>50</v>
      </c>
      <c r="N183" s="1442" t="s">
        <v>3461</v>
      </c>
      <c r="T183" s="1440"/>
      <c r="U183" s="1440"/>
      <c r="V183" s="1440"/>
      <c r="W183" s="1440"/>
      <c r="X183" s="1440"/>
      <c r="Y183" s="1440"/>
      <c r="Z183" s="1440"/>
      <c r="AA183" s="1440"/>
      <c r="AB183" s="1440"/>
      <c r="AC183" s="1440"/>
    </row>
    <row r="184" spans="1:29">
      <c r="A184" s="1333" t="s">
        <v>3480</v>
      </c>
      <c r="B184" s="1335">
        <v>41.65655108493327</v>
      </c>
      <c r="C184" s="1335">
        <v>44.927740902344588</v>
      </c>
      <c r="D184" s="1335">
        <v>50.135645222929163</v>
      </c>
      <c r="E184" s="1335">
        <v>62.917702783657248</v>
      </c>
      <c r="F184" s="1335">
        <v>66.902527653437758</v>
      </c>
      <c r="G184" s="1335">
        <v>63.233198748002089</v>
      </c>
      <c r="H184" s="1335">
        <v>64.317635398104954</v>
      </c>
      <c r="I184" s="1335">
        <v>58.969212139862883</v>
      </c>
      <c r="J184" s="1335">
        <f t="shared" si="14"/>
        <v>70.995030141599344</v>
      </c>
      <c r="K184" s="1442" t="s">
        <v>3465</v>
      </c>
      <c r="L184" s="1442" t="s">
        <v>3457</v>
      </c>
      <c r="M184" s="1442">
        <v>50</v>
      </c>
      <c r="N184" s="1442" t="s">
        <v>3459</v>
      </c>
      <c r="T184" s="1440"/>
      <c r="U184" s="1440"/>
      <c r="V184" s="1440"/>
      <c r="W184" s="1440"/>
      <c r="X184" s="1440"/>
      <c r="Y184" s="1440"/>
      <c r="Z184" s="1440"/>
      <c r="AA184" s="1440"/>
      <c r="AB184" s="1440"/>
      <c r="AC184" s="1440"/>
    </row>
    <row r="185" spans="1:29">
      <c r="A185" s="1333" t="s">
        <v>3480</v>
      </c>
      <c r="B185" s="1335">
        <v>30.596280001842263</v>
      </c>
      <c r="C185" s="1335">
        <v>40.124724874518371</v>
      </c>
      <c r="D185" s="1335">
        <v>49.58929753032222</v>
      </c>
      <c r="E185" s="1335">
        <v>63.806750396734301</v>
      </c>
      <c r="F185" s="1335">
        <v>69.709073728494005</v>
      </c>
      <c r="G185" s="1335">
        <v>67.954273047724826</v>
      </c>
      <c r="H185" s="1335">
        <v>67.476737834064338</v>
      </c>
      <c r="I185" s="1335">
        <v>61.541526224528852</v>
      </c>
      <c r="J185" s="1335">
        <f t="shared" si="14"/>
        <v>74.249213928174612</v>
      </c>
      <c r="K185" s="1442" t="s">
        <v>3465</v>
      </c>
      <c r="L185" s="1442">
        <v>460</v>
      </c>
      <c r="M185" s="1442">
        <v>60</v>
      </c>
      <c r="N185" s="1442" t="s">
        <v>3455</v>
      </c>
      <c r="T185" s="1440"/>
      <c r="U185" s="1440"/>
      <c r="V185" s="1440"/>
      <c r="W185" s="1440"/>
      <c r="X185" s="1440"/>
      <c r="Y185" s="1440"/>
      <c r="Z185" s="1440"/>
      <c r="AA185" s="1440"/>
      <c r="AB185" s="1440"/>
      <c r="AC185" s="1440"/>
    </row>
    <row r="186" spans="1:29">
      <c r="A186" s="1333" t="s">
        <v>3481</v>
      </c>
      <c r="B186" s="1335">
        <v>39.986500305315104</v>
      </c>
      <c r="C186" s="1335">
        <v>45.214048019152379</v>
      </c>
      <c r="D186" s="1335">
        <v>50.735274748821631</v>
      </c>
      <c r="E186" s="1335">
        <v>62.663909635384783</v>
      </c>
      <c r="F186" s="1335">
        <v>67.126983790740496</v>
      </c>
      <c r="G186" s="1335">
        <v>63.537347383900318</v>
      </c>
      <c r="H186" s="1335">
        <v>63.870939522424273</v>
      </c>
      <c r="I186" s="1335">
        <v>58.656581292277622</v>
      </c>
      <c r="J186" s="1335">
        <f t="shared" si="14"/>
        <v>71.002766741347827</v>
      </c>
      <c r="K186" s="1442" t="s">
        <v>3477</v>
      </c>
      <c r="L186" s="1442" t="s">
        <v>3478</v>
      </c>
      <c r="M186" s="1442">
        <v>50</v>
      </c>
      <c r="N186" s="1442" t="s">
        <v>3455</v>
      </c>
      <c r="T186" s="1440"/>
      <c r="U186" s="1440"/>
      <c r="V186" s="1440"/>
      <c r="W186" s="1440"/>
      <c r="X186" s="1440"/>
      <c r="Y186" s="1440"/>
      <c r="Z186" s="1440"/>
      <c r="AA186" s="1440"/>
      <c r="AB186" s="1440"/>
      <c r="AC186" s="1440"/>
    </row>
    <row r="187" spans="1:29">
      <c r="A187" s="1333" t="s">
        <v>3480</v>
      </c>
      <c r="B187" s="1335">
        <v>30.596280001842263</v>
      </c>
      <c r="C187" s="1335">
        <v>40.124724874518371</v>
      </c>
      <c r="D187" s="1335">
        <v>49.58929753032222</v>
      </c>
      <c r="E187" s="1335">
        <v>63.806750396734301</v>
      </c>
      <c r="F187" s="1335">
        <v>69.709073728494005</v>
      </c>
      <c r="G187" s="1335">
        <v>67.954273047724826</v>
      </c>
      <c r="H187" s="1335">
        <v>67.476737834064338</v>
      </c>
      <c r="I187" s="1335">
        <v>61.541526224528852</v>
      </c>
      <c r="J187" s="1335">
        <f t="shared" si="14"/>
        <v>74.249213928174612</v>
      </c>
      <c r="K187" s="1442" t="s">
        <v>3465</v>
      </c>
      <c r="L187" s="1442">
        <v>460</v>
      </c>
      <c r="M187" s="1442">
        <v>60</v>
      </c>
      <c r="N187" s="1442" t="s">
        <v>3461</v>
      </c>
      <c r="T187" s="1440"/>
      <c r="U187" s="1440"/>
      <c r="V187" s="1440"/>
      <c r="W187" s="1440"/>
      <c r="X187" s="1440"/>
      <c r="Y187" s="1440"/>
      <c r="Z187" s="1440"/>
      <c r="AA187" s="1440"/>
      <c r="AB187" s="1440"/>
      <c r="AC187" s="1440"/>
    </row>
    <row r="188" spans="1:29">
      <c r="A188" s="1333" t="s">
        <v>3480</v>
      </c>
      <c r="B188" s="1335">
        <v>30.596280001842263</v>
      </c>
      <c r="C188" s="1335">
        <v>40.124724874518371</v>
      </c>
      <c r="D188" s="1335">
        <v>49.58929753032222</v>
      </c>
      <c r="E188" s="1335">
        <v>63.806750396734301</v>
      </c>
      <c r="F188" s="1335">
        <v>69.709073728494005</v>
      </c>
      <c r="G188" s="1335">
        <v>67.954273047724826</v>
      </c>
      <c r="H188" s="1335">
        <v>67.476737834064338</v>
      </c>
      <c r="I188" s="1335">
        <v>61.541526224528852</v>
      </c>
      <c r="J188" s="1335">
        <f t="shared" si="14"/>
        <v>74.249213928174612</v>
      </c>
      <c r="K188" s="1442" t="s">
        <v>3465</v>
      </c>
      <c r="L188" s="1442">
        <v>460</v>
      </c>
      <c r="M188" s="1442">
        <v>60</v>
      </c>
      <c r="N188" s="1442" t="s">
        <v>3459</v>
      </c>
      <c r="T188" s="1440"/>
      <c r="U188" s="1440"/>
      <c r="V188" s="1440"/>
      <c r="W188" s="1440"/>
      <c r="X188" s="1440"/>
      <c r="Y188" s="1440"/>
      <c r="Z188" s="1440"/>
      <c r="AA188" s="1440"/>
      <c r="AB188" s="1440"/>
      <c r="AC188" s="1440"/>
    </row>
    <row r="189" spans="1:29">
      <c r="A189" s="1333" t="s">
        <v>3481</v>
      </c>
      <c r="B189" s="1335">
        <v>39.986500305315104</v>
      </c>
      <c r="C189" s="1335">
        <v>45.214048019152379</v>
      </c>
      <c r="D189" s="1335">
        <v>50.735274748821631</v>
      </c>
      <c r="E189" s="1335">
        <v>62.663909635384783</v>
      </c>
      <c r="F189" s="1335">
        <v>67.126983790740496</v>
      </c>
      <c r="G189" s="1335">
        <v>63.537347383900318</v>
      </c>
      <c r="H189" s="1335">
        <v>63.870939522424273</v>
      </c>
      <c r="I189" s="1335">
        <v>58.656581292277622</v>
      </c>
      <c r="J189" s="1335">
        <f t="shared" si="14"/>
        <v>71.002766741347827</v>
      </c>
      <c r="K189" s="1442" t="s">
        <v>3477</v>
      </c>
      <c r="L189" s="1442" t="s">
        <v>3478</v>
      </c>
      <c r="M189" s="1442">
        <v>50</v>
      </c>
      <c r="N189" s="1442" t="s">
        <v>3461</v>
      </c>
      <c r="T189" s="1440"/>
      <c r="U189" s="1440"/>
      <c r="V189" s="1440"/>
      <c r="W189" s="1440"/>
      <c r="X189" s="1440"/>
      <c r="Y189" s="1440"/>
      <c r="Z189" s="1440"/>
      <c r="AA189" s="1440"/>
      <c r="AB189" s="1440"/>
      <c r="AC189" s="1440"/>
    </row>
    <row r="190" spans="1:29">
      <c r="A190" s="1333" t="s">
        <v>3482</v>
      </c>
      <c r="B190" s="1335">
        <v>39.986500305315104</v>
      </c>
      <c r="C190" s="1335">
        <v>45.214048019152379</v>
      </c>
      <c r="D190" s="1335">
        <v>50.735274748821631</v>
      </c>
      <c r="E190" s="1335">
        <v>62.663909635384783</v>
      </c>
      <c r="F190" s="1335">
        <v>67.126983790740496</v>
      </c>
      <c r="G190" s="1335">
        <v>63.537347383900318</v>
      </c>
      <c r="H190" s="1335">
        <v>63.870939522424273</v>
      </c>
      <c r="I190" s="1335">
        <v>58.656581292277622</v>
      </c>
      <c r="J190" s="1335">
        <f t="shared" si="14"/>
        <v>71.002766741347827</v>
      </c>
      <c r="K190" s="1442" t="s">
        <v>3477</v>
      </c>
      <c r="L190" s="1442" t="s">
        <v>3478</v>
      </c>
      <c r="M190" s="1442">
        <v>50</v>
      </c>
      <c r="N190" s="1442" t="s">
        <v>3459</v>
      </c>
      <c r="T190" s="1440"/>
      <c r="U190" s="1440"/>
      <c r="V190" s="1440"/>
      <c r="W190" s="1440"/>
      <c r="X190" s="1440"/>
      <c r="Y190" s="1440"/>
      <c r="Z190" s="1440"/>
      <c r="AA190" s="1440"/>
      <c r="AB190" s="1440"/>
      <c r="AC190" s="1440"/>
    </row>
    <row r="191" spans="1:29">
      <c r="A191" s="1333" t="s">
        <v>3483</v>
      </c>
      <c r="B191" s="1335">
        <v>36.321314069189796</v>
      </c>
      <c r="C191" s="1335">
        <v>36.873500153570546</v>
      </c>
      <c r="D191" s="1335">
        <v>47.504981340685504</v>
      </c>
      <c r="E191" s="1335">
        <v>61.544210500431866</v>
      </c>
      <c r="F191" s="1335">
        <v>67.899078189547154</v>
      </c>
      <c r="G191" s="1335">
        <v>62.180312352915116</v>
      </c>
      <c r="H191" s="1335">
        <v>64.333442929568619</v>
      </c>
      <c r="I191" s="1335">
        <v>57.574218524676297</v>
      </c>
      <c r="J191" s="1335">
        <f t="shared" si="14"/>
        <v>71.084268488182389</v>
      </c>
      <c r="K191" s="1445" t="s">
        <v>3484</v>
      </c>
      <c r="L191" s="1445" t="s">
        <v>3454</v>
      </c>
      <c r="M191" s="1442">
        <v>50</v>
      </c>
      <c r="N191" s="1442" t="s">
        <v>3455</v>
      </c>
      <c r="T191" s="1440"/>
      <c r="U191" s="1440"/>
      <c r="V191" s="1440"/>
      <c r="W191" s="1440"/>
      <c r="X191" s="1440"/>
      <c r="Y191" s="1440"/>
      <c r="Z191" s="1440"/>
      <c r="AA191" s="1440"/>
      <c r="AB191" s="1440"/>
      <c r="AC191" s="1440"/>
    </row>
    <row r="192" spans="1:29">
      <c r="A192" s="1333" t="s">
        <v>3485</v>
      </c>
      <c r="B192" s="1335">
        <v>31.42610641973711</v>
      </c>
      <c r="C192" s="1335">
        <v>33.271289529036224</v>
      </c>
      <c r="D192" s="1335">
        <v>44.678570928074336</v>
      </c>
      <c r="E192" s="1335">
        <v>58.181373750260207</v>
      </c>
      <c r="F192" s="1335">
        <v>68.837682027872745</v>
      </c>
      <c r="G192" s="1335">
        <v>64.651128710528212</v>
      </c>
      <c r="H192" s="1335">
        <v>65.919070845107299</v>
      </c>
      <c r="I192" s="1335">
        <v>58.337437467184259</v>
      </c>
      <c r="J192" s="1335">
        <f t="shared" si="14"/>
        <v>72.335075766664872</v>
      </c>
      <c r="K192" s="1442" t="s">
        <v>3465</v>
      </c>
      <c r="L192" s="1442" t="s">
        <v>3457</v>
      </c>
      <c r="M192" s="1442">
        <v>50</v>
      </c>
      <c r="N192" s="1442" t="s">
        <v>3455</v>
      </c>
      <c r="T192" s="1440"/>
      <c r="U192" s="1440"/>
      <c r="V192" s="1440"/>
      <c r="W192" s="1440"/>
      <c r="X192" s="1440"/>
      <c r="Y192" s="1440"/>
      <c r="Z192" s="1440"/>
      <c r="AA192" s="1440"/>
      <c r="AB192" s="1440"/>
      <c r="AC192" s="1440"/>
    </row>
    <row r="193" spans="1:29">
      <c r="A193" s="1333" t="s">
        <v>3485</v>
      </c>
      <c r="B193" s="1335">
        <v>31.42610641973711</v>
      </c>
      <c r="C193" s="1335">
        <v>33.271289529036224</v>
      </c>
      <c r="D193" s="1335">
        <v>44.678570928074336</v>
      </c>
      <c r="E193" s="1335">
        <v>58.181373750260207</v>
      </c>
      <c r="F193" s="1335">
        <v>68.837682027872745</v>
      </c>
      <c r="G193" s="1335">
        <v>64.651128710528212</v>
      </c>
      <c r="H193" s="1335">
        <v>65.919070845107299</v>
      </c>
      <c r="I193" s="1335">
        <v>58.337437467184259</v>
      </c>
      <c r="J193" s="1335">
        <f t="shared" si="14"/>
        <v>72.335075766664872</v>
      </c>
      <c r="K193" s="1442" t="s">
        <v>3465</v>
      </c>
      <c r="L193" s="1442" t="s">
        <v>3457</v>
      </c>
      <c r="M193" s="1442">
        <v>50</v>
      </c>
      <c r="N193" s="1442" t="s">
        <v>3461</v>
      </c>
      <c r="T193" s="1440"/>
      <c r="U193" s="1440"/>
      <c r="V193" s="1440"/>
      <c r="W193" s="1440"/>
      <c r="X193" s="1440"/>
      <c r="Y193" s="1440"/>
      <c r="Z193" s="1440"/>
      <c r="AA193" s="1440"/>
      <c r="AB193" s="1440"/>
      <c r="AC193" s="1440"/>
    </row>
    <row r="194" spans="1:29">
      <c r="A194" s="1333" t="s">
        <v>3485</v>
      </c>
      <c r="B194" s="1335">
        <v>31.42610641973711</v>
      </c>
      <c r="C194" s="1335">
        <v>33.271289529036224</v>
      </c>
      <c r="D194" s="1335">
        <v>44.678570928074336</v>
      </c>
      <c r="E194" s="1335">
        <v>58.181373750260207</v>
      </c>
      <c r="F194" s="1335">
        <v>68.837682027872745</v>
      </c>
      <c r="G194" s="1335">
        <v>64.651128710528212</v>
      </c>
      <c r="H194" s="1335">
        <v>65.919070845107299</v>
      </c>
      <c r="I194" s="1335">
        <v>58.337437467184259</v>
      </c>
      <c r="J194" s="1335">
        <f t="shared" si="14"/>
        <v>72.335075766664872</v>
      </c>
      <c r="K194" s="1442" t="s">
        <v>3465</v>
      </c>
      <c r="L194" s="1442" t="s">
        <v>3457</v>
      </c>
      <c r="M194" s="1442">
        <v>50</v>
      </c>
      <c r="N194" s="1442" t="s">
        <v>3459</v>
      </c>
      <c r="T194" s="1440"/>
      <c r="U194" s="1440"/>
      <c r="V194" s="1440"/>
      <c r="W194" s="1440"/>
      <c r="X194" s="1440"/>
      <c r="Y194" s="1440"/>
      <c r="Z194" s="1440"/>
      <c r="AA194" s="1440"/>
      <c r="AB194" s="1440"/>
      <c r="AC194" s="1440"/>
    </row>
    <row r="195" spans="1:29">
      <c r="A195" s="1333" t="s">
        <v>3485</v>
      </c>
      <c r="B195" s="1335">
        <v>19.884392452830141</v>
      </c>
      <c r="C195" s="1335">
        <v>38.210290741842421</v>
      </c>
      <c r="D195" s="1335">
        <v>48.178489853034598</v>
      </c>
      <c r="E195" s="1335">
        <v>61.891009156035622</v>
      </c>
      <c r="F195" s="1335">
        <v>71.491040505414858</v>
      </c>
      <c r="G195" s="1335">
        <v>66.993372342882168</v>
      </c>
      <c r="H195" s="1335">
        <v>69.668913862814748</v>
      </c>
      <c r="I195" s="1335">
        <v>62.143993739786097</v>
      </c>
      <c r="J195" s="1335">
        <f t="shared" si="14"/>
        <v>75.333378754218742</v>
      </c>
      <c r="K195" s="1442" t="s">
        <v>3465</v>
      </c>
      <c r="L195" s="1442">
        <v>460</v>
      </c>
      <c r="M195" s="1442">
        <v>60</v>
      </c>
      <c r="N195" s="1442" t="s">
        <v>3455</v>
      </c>
      <c r="T195" s="1440"/>
      <c r="U195" s="1440"/>
      <c r="V195" s="1440"/>
      <c r="W195" s="1440"/>
      <c r="X195" s="1440"/>
      <c r="Y195" s="1440"/>
      <c r="Z195" s="1440"/>
      <c r="AA195" s="1440"/>
      <c r="AB195" s="1440"/>
      <c r="AC195" s="1440"/>
    </row>
    <row r="196" spans="1:29">
      <c r="A196" s="1333" t="s">
        <v>3486</v>
      </c>
      <c r="B196" s="1335">
        <v>42.746179472072548</v>
      </c>
      <c r="C196" s="1335">
        <v>46.018210843788516</v>
      </c>
      <c r="D196" s="1335">
        <v>49.263805206411</v>
      </c>
      <c r="E196" s="1335">
        <v>63.12161192483633</v>
      </c>
      <c r="F196" s="1335">
        <v>68.623773352804719</v>
      </c>
      <c r="G196" s="1335">
        <v>63.155569300720849</v>
      </c>
      <c r="H196" s="1335">
        <v>65.088272426097646</v>
      </c>
      <c r="I196" s="1335">
        <v>60.387227585689587</v>
      </c>
      <c r="J196" s="1335">
        <f t="shared" si="14"/>
        <v>72.002735687198395</v>
      </c>
      <c r="K196" s="1442" t="s">
        <v>3477</v>
      </c>
      <c r="L196" s="1442" t="s">
        <v>3478</v>
      </c>
      <c r="M196" s="1442">
        <v>50</v>
      </c>
      <c r="N196" s="1442" t="s">
        <v>3455</v>
      </c>
      <c r="T196" s="1440"/>
      <c r="U196" s="1440"/>
      <c r="V196" s="1440"/>
      <c r="W196" s="1440"/>
      <c r="X196" s="1440"/>
      <c r="Y196" s="1440"/>
      <c r="Z196" s="1440"/>
      <c r="AA196" s="1440"/>
      <c r="AB196" s="1440"/>
      <c r="AC196" s="1440"/>
    </row>
    <row r="197" spans="1:29">
      <c r="A197" s="1333" t="s">
        <v>3485</v>
      </c>
      <c r="B197" s="1335">
        <v>19.884392452830141</v>
      </c>
      <c r="C197" s="1335">
        <v>38.210290741842421</v>
      </c>
      <c r="D197" s="1335">
        <v>48.178489853034598</v>
      </c>
      <c r="E197" s="1335">
        <v>61.891009156035622</v>
      </c>
      <c r="F197" s="1335">
        <v>71.491040505414858</v>
      </c>
      <c r="G197" s="1335">
        <v>66.993372342882168</v>
      </c>
      <c r="H197" s="1335">
        <v>69.668913862814748</v>
      </c>
      <c r="I197" s="1335">
        <v>62.143993739786097</v>
      </c>
      <c r="J197" s="1335">
        <f t="shared" ref="J197:J239" si="16">10*LOG(10^((B197-26)/10)+10^((C197-16)/10)+10^((D197-9)/10)+10^((E197-3)/10)+10^(F197/10)+10^((G197+1)/10)+10^((H197+1)/10)+10^((I197-1)/10))</f>
        <v>75.333378754218742</v>
      </c>
      <c r="K197" s="1442" t="s">
        <v>3465</v>
      </c>
      <c r="L197" s="1442">
        <v>460</v>
      </c>
      <c r="M197" s="1442">
        <v>60</v>
      </c>
      <c r="N197" s="1442" t="s">
        <v>3461</v>
      </c>
      <c r="T197" s="1440"/>
      <c r="U197" s="1440"/>
      <c r="V197" s="1440"/>
      <c r="W197" s="1440"/>
      <c r="X197" s="1440"/>
      <c r="Y197" s="1440"/>
      <c r="Z197" s="1440"/>
      <c r="AA197" s="1440"/>
      <c r="AB197" s="1440"/>
      <c r="AC197" s="1440"/>
    </row>
    <row r="198" spans="1:29">
      <c r="A198" s="1333" t="s">
        <v>3485</v>
      </c>
      <c r="B198" s="1335">
        <v>19.884392452830141</v>
      </c>
      <c r="C198" s="1335">
        <v>38.210290741842421</v>
      </c>
      <c r="D198" s="1335">
        <v>48.178489853034598</v>
      </c>
      <c r="E198" s="1335">
        <v>61.891009156035622</v>
      </c>
      <c r="F198" s="1335">
        <v>71.491040505414858</v>
      </c>
      <c r="G198" s="1335">
        <v>66.993372342882168</v>
      </c>
      <c r="H198" s="1335">
        <v>69.668913862814748</v>
      </c>
      <c r="I198" s="1335">
        <v>62.143993739786097</v>
      </c>
      <c r="J198" s="1335">
        <f t="shared" si="16"/>
        <v>75.333378754218742</v>
      </c>
      <c r="K198" s="1442" t="s">
        <v>3465</v>
      </c>
      <c r="L198" s="1442">
        <v>460</v>
      </c>
      <c r="M198" s="1442">
        <v>60</v>
      </c>
      <c r="N198" s="1442" t="s">
        <v>3459</v>
      </c>
      <c r="T198" s="1440"/>
      <c r="U198" s="1440"/>
      <c r="V198" s="1440"/>
      <c r="W198" s="1440"/>
      <c r="X198" s="1440"/>
      <c r="Y198" s="1440"/>
      <c r="Z198" s="1440"/>
      <c r="AA198" s="1440"/>
      <c r="AB198" s="1440"/>
      <c r="AC198" s="1440"/>
    </row>
    <row r="199" spans="1:29">
      <c r="A199" s="1333" t="s">
        <v>3487</v>
      </c>
      <c r="B199" s="1335">
        <v>19.884392452830141</v>
      </c>
      <c r="C199" s="1335">
        <v>38.210290741842421</v>
      </c>
      <c r="D199" s="1335">
        <v>48.178489853034598</v>
      </c>
      <c r="E199" s="1335">
        <v>61.891009156035622</v>
      </c>
      <c r="F199" s="1335">
        <v>71.491040505414858</v>
      </c>
      <c r="G199" s="1335">
        <v>66.993372342882168</v>
      </c>
      <c r="H199" s="1335">
        <v>69.668913862814748</v>
      </c>
      <c r="I199" s="1335">
        <v>62.143993739786097</v>
      </c>
      <c r="J199" s="1335">
        <f t="shared" si="16"/>
        <v>75.333378754218742</v>
      </c>
      <c r="K199" s="1442" t="s">
        <v>3465</v>
      </c>
      <c r="L199" s="1442">
        <v>460</v>
      </c>
      <c r="M199" s="1442">
        <v>60</v>
      </c>
      <c r="N199" s="1442" t="s">
        <v>3459</v>
      </c>
      <c r="T199" s="1440"/>
      <c r="U199" s="1440"/>
      <c r="V199" s="1440"/>
      <c r="W199" s="1440"/>
      <c r="X199" s="1440"/>
      <c r="Y199" s="1440"/>
      <c r="Z199" s="1440"/>
      <c r="AA199" s="1440"/>
      <c r="AB199" s="1440"/>
      <c r="AC199" s="1440"/>
    </row>
    <row r="200" spans="1:29">
      <c r="A200" s="1333" t="s">
        <v>3486</v>
      </c>
      <c r="B200" s="1335">
        <v>42.746179472072548</v>
      </c>
      <c r="C200" s="1335">
        <v>46.018210843788516</v>
      </c>
      <c r="D200" s="1335">
        <v>49.263805206411</v>
      </c>
      <c r="E200" s="1335">
        <v>63.12161192483633</v>
      </c>
      <c r="F200" s="1335">
        <v>68.623773352804719</v>
      </c>
      <c r="G200" s="1335">
        <v>63.155569300720849</v>
      </c>
      <c r="H200" s="1335">
        <v>65.088272426097646</v>
      </c>
      <c r="I200" s="1335">
        <v>60.387227585689587</v>
      </c>
      <c r="J200" s="1335">
        <f t="shared" si="16"/>
        <v>72.002735687198395</v>
      </c>
      <c r="K200" s="1442" t="s">
        <v>3477</v>
      </c>
      <c r="L200" s="1442" t="s">
        <v>3478</v>
      </c>
      <c r="M200" s="1442">
        <v>50</v>
      </c>
      <c r="N200" s="1442" t="s">
        <v>3461</v>
      </c>
      <c r="T200" s="1440"/>
      <c r="U200" s="1440"/>
      <c r="V200" s="1440"/>
      <c r="W200" s="1440"/>
      <c r="X200" s="1440"/>
      <c r="Y200" s="1440"/>
      <c r="Z200" s="1440"/>
      <c r="AA200" s="1440"/>
      <c r="AB200" s="1440"/>
      <c r="AC200" s="1440"/>
    </row>
    <row r="201" spans="1:29">
      <c r="A201" s="1333" t="s">
        <v>3486</v>
      </c>
      <c r="B201" s="1335">
        <v>42.746179472072548</v>
      </c>
      <c r="C201" s="1335">
        <v>46.018210843788516</v>
      </c>
      <c r="D201" s="1335">
        <v>49.263805206411</v>
      </c>
      <c r="E201" s="1335">
        <v>63.12161192483633</v>
      </c>
      <c r="F201" s="1335">
        <v>68.623773352804719</v>
      </c>
      <c r="G201" s="1335">
        <v>63.155569300720849</v>
      </c>
      <c r="H201" s="1335">
        <v>65.088272426097646</v>
      </c>
      <c r="I201" s="1335">
        <v>60.387227585689587</v>
      </c>
      <c r="J201" s="1335">
        <f t="shared" si="16"/>
        <v>72.002735687198395</v>
      </c>
      <c r="K201" s="1442" t="s">
        <v>3477</v>
      </c>
      <c r="L201" s="1442" t="s">
        <v>3478</v>
      </c>
      <c r="M201" s="1442">
        <v>50</v>
      </c>
      <c r="N201" s="1442" t="s">
        <v>3459</v>
      </c>
      <c r="T201" s="1440"/>
      <c r="U201" s="1440"/>
      <c r="V201" s="1440"/>
      <c r="W201" s="1440"/>
      <c r="X201" s="1440"/>
      <c r="Y201" s="1440"/>
      <c r="Z201" s="1440"/>
      <c r="AA201" s="1440"/>
      <c r="AB201" s="1440"/>
      <c r="AC201" s="1440"/>
    </row>
    <row r="202" spans="1:29">
      <c r="A202" s="1333" t="s">
        <v>3488</v>
      </c>
      <c r="B202" s="1335">
        <v>17.258214753168055</v>
      </c>
      <c r="C202" s="1335">
        <v>30.943105397380961</v>
      </c>
      <c r="D202" s="1335">
        <v>45.231615123031631</v>
      </c>
      <c r="E202" s="1335">
        <v>62.55142302359954</v>
      </c>
      <c r="F202" s="1335">
        <v>68.290849234809841</v>
      </c>
      <c r="G202" s="1335">
        <v>64.785140344159572</v>
      </c>
      <c r="H202" s="1335">
        <v>65.579647968428048</v>
      </c>
      <c r="I202" s="1335">
        <v>58.094468455131356</v>
      </c>
      <c r="J202" s="1335">
        <f t="shared" si="16"/>
        <v>72.175714433229373</v>
      </c>
      <c r="K202" s="1444" t="s">
        <v>3465</v>
      </c>
      <c r="L202" s="1444" t="s">
        <v>3457</v>
      </c>
      <c r="M202" s="1443">
        <v>50</v>
      </c>
      <c r="N202" s="1444" t="s">
        <v>3455</v>
      </c>
      <c r="T202" s="1440"/>
      <c r="U202" s="1440"/>
      <c r="V202" s="1440"/>
      <c r="W202" s="1440"/>
      <c r="X202" s="1440"/>
      <c r="Y202" s="1440"/>
      <c r="Z202" s="1440"/>
      <c r="AA202" s="1440"/>
      <c r="AB202" s="1440"/>
      <c r="AC202" s="1440"/>
    </row>
    <row r="203" spans="1:29">
      <c r="A203" s="1333" t="s">
        <v>3488</v>
      </c>
      <c r="B203" s="1335">
        <v>17.258214753168055</v>
      </c>
      <c r="C203" s="1335">
        <v>30.943105397380961</v>
      </c>
      <c r="D203" s="1335">
        <v>45.231615123031631</v>
      </c>
      <c r="E203" s="1335">
        <v>62.55142302359954</v>
      </c>
      <c r="F203" s="1335">
        <v>68.290849234809841</v>
      </c>
      <c r="G203" s="1335">
        <v>64.785140344159572</v>
      </c>
      <c r="H203" s="1335">
        <v>65.579647968428048</v>
      </c>
      <c r="I203" s="1335">
        <v>58.094468455131356</v>
      </c>
      <c r="J203" s="1335">
        <f t="shared" si="16"/>
        <v>72.175714433229373</v>
      </c>
      <c r="K203" s="1444" t="s">
        <v>3465</v>
      </c>
      <c r="L203" s="1444" t="s">
        <v>3457</v>
      </c>
      <c r="M203" s="1443">
        <v>50</v>
      </c>
      <c r="N203" s="1444" t="s">
        <v>3461</v>
      </c>
      <c r="T203" s="1440"/>
      <c r="U203" s="1440"/>
      <c r="V203" s="1440"/>
      <c r="W203" s="1440"/>
      <c r="X203" s="1440"/>
      <c r="Y203" s="1440"/>
      <c r="Z203" s="1440"/>
      <c r="AA203" s="1440"/>
      <c r="AB203" s="1440"/>
      <c r="AC203" s="1440"/>
    </row>
    <row r="204" spans="1:29">
      <c r="A204" s="1333" t="s">
        <v>3488</v>
      </c>
      <c r="B204" s="1335">
        <v>17.258214753168055</v>
      </c>
      <c r="C204" s="1335">
        <v>30.943105397380961</v>
      </c>
      <c r="D204" s="1335">
        <v>45.231615123031631</v>
      </c>
      <c r="E204" s="1335">
        <v>62.55142302359954</v>
      </c>
      <c r="F204" s="1335">
        <v>68.290849234809841</v>
      </c>
      <c r="G204" s="1335">
        <v>64.785140344159572</v>
      </c>
      <c r="H204" s="1335">
        <v>65.579647968428048</v>
      </c>
      <c r="I204" s="1335">
        <v>58.094468455131356</v>
      </c>
      <c r="J204" s="1335">
        <f t="shared" si="16"/>
        <v>72.175714433229373</v>
      </c>
      <c r="K204" s="1444" t="s">
        <v>3465</v>
      </c>
      <c r="L204" s="1444" t="s">
        <v>3457</v>
      </c>
      <c r="M204" s="1443">
        <v>50</v>
      </c>
      <c r="N204" s="1444" t="s">
        <v>3459</v>
      </c>
      <c r="T204" s="1440"/>
      <c r="U204" s="1440"/>
      <c r="V204" s="1440"/>
      <c r="W204" s="1440"/>
      <c r="X204" s="1440"/>
      <c r="Y204" s="1440"/>
      <c r="Z204" s="1440"/>
      <c r="AA204" s="1440"/>
      <c r="AB204" s="1440"/>
      <c r="AC204" s="1440"/>
    </row>
    <row r="205" spans="1:29">
      <c r="A205" s="1333" t="s">
        <v>3488</v>
      </c>
      <c r="B205" s="1335">
        <v>20.258214753168055</v>
      </c>
      <c r="C205" s="1335">
        <v>33.943105397380961</v>
      </c>
      <c r="D205" s="1335">
        <v>48.231615123031631</v>
      </c>
      <c r="E205" s="1335">
        <v>65.551423023599554</v>
      </c>
      <c r="F205" s="1335">
        <v>71.290849234809841</v>
      </c>
      <c r="G205" s="1335">
        <v>67.785140344159572</v>
      </c>
      <c r="H205" s="1335">
        <v>68.579647968428063</v>
      </c>
      <c r="I205" s="1335">
        <v>61.094468455131349</v>
      </c>
      <c r="J205" s="1335">
        <f t="shared" si="16"/>
        <v>75.175714433229373</v>
      </c>
      <c r="K205" s="1444" t="s">
        <v>3465</v>
      </c>
      <c r="L205" s="299">
        <v>460</v>
      </c>
      <c r="M205" s="1443">
        <v>60</v>
      </c>
      <c r="N205" s="1444" t="s">
        <v>3455</v>
      </c>
      <c r="T205" s="1440"/>
      <c r="U205" s="1440"/>
      <c r="V205" s="1440"/>
      <c r="W205" s="1440"/>
      <c r="X205" s="1440"/>
      <c r="Y205" s="1440"/>
      <c r="Z205" s="1440"/>
      <c r="AA205" s="1440"/>
      <c r="AB205" s="1440"/>
      <c r="AC205" s="1440"/>
    </row>
    <row r="206" spans="1:29">
      <c r="A206" s="1333" t="s">
        <v>3489</v>
      </c>
      <c r="B206" s="1335">
        <v>30.172600482296424</v>
      </c>
      <c r="C206" s="1335">
        <v>39.82880610931182</v>
      </c>
      <c r="D206" s="1335">
        <v>48.201739448594473</v>
      </c>
      <c r="E206" s="1335">
        <v>63.544953749136901</v>
      </c>
      <c r="F206" s="1335">
        <v>69.402867535879281</v>
      </c>
      <c r="G206" s="1335">
        <v>64.003812646942961</v>
      </c>
      <c r="H206" s="1335">
        <v>62.941312539154808</v>
      </c>
      <c r="I206" s="1335">
        <v>54.958854533023839</v>
      </c>
      <c r="J206" s="1335">
        <f t="shared" si="16"/>
        <v>71.972720763009832</v>
      </c>
      <c r="K206" s="1444" t="s">
        <v>3477</v>
      </c>
      <c r="L206" s="1444" t="s">
        <v>3478</v>
      </c>
      <c r="M206" s="1443">
        <v>50</v>
      </c>
      <c r="N206" s="1444" t="s">
        <v>3455</v>
      </c>
      <c r="T206" s="1440"/>
      <c r="U206" s="1440"/>
      <c r="V206" s="1440"/>
      <c r="W206" s="1440"/>
      <c r="X206" s="1440"/>
      <c r="Y206" s="1440"/>
      <c r="Z206" s="1440"/>
      <c r="AA206" s="1440"/>
      <c r="AB206" s="1440"/>
      <c r="AC206" s="1440"/>
    </row>
    <row r="207" spans="1:29">
      <c r="A207" s="1333" t="s">
        <v>3488</v>
      </c>
      <c r="B207" s="1335">
        <v>20.258214753168055</v>
      </c>
      <c r="C207" s="1335">
        <v>33.943105397380961</v>
      </c>
      <c r="D207" s="1335">
        <v>48.231615123031631</v>
      </c>
      <c r="E207" s="1335">
        <v>65.551423023599554</v>
      </c>
      <c r="F207" s="1335">
        <v>71.290849234809841</v>
      </c>
      <c r="G207" s="1335">
        <v>67.785140344159572</v>
      </c>
      <c r="H207" s="1335">
        <v>68.579647968428063</v>
      </c>
      <c r="I207" s="1335">
        <v>61.094468455131349</v>
      </c>
      <c r="J207" s="1335">
        <f t="shared" si="16"/>
        <v>75.175714433229373</v>
      </c>
      <c r="K207" s="1444" t="s">
        <v>3465</v>
      </c>
      <c r="L207" s="299">
        <v>460</v>
      </c>
      <c r="M207" s="1443">
        <v>60</v>
      </c>
      <c r="N207" s="1444" t="s">
        <v>3461</v>
      </c>
      <c r="T207" s="1440"/>
      <c r="U207" s="1440"/>
      <c r="V207" s="1440"/>
      <c r="W207" s="1440"/>
      <c r="X207" s="1440"/>
      <c r="Y207" s="1440"/>
      <c r="Z207" s="1440"/>
      <c r="AA207" s="1440"/>
      <c r="AB207" s="1440"/>
      <c r="AC207" s="1440"/>
    </row>
    <row r="208" spans="1:29">
      <c r="A208" s="1333" t="s">
        <v>3488</v>
      </c>
      <c r="B208" s="1335">
        <v>20.258214753168055</v>
      </c>
      <c r="C208" s="1335">
        <v>33.943105397380961</v>
      </c>
      <c r="D208" s="1335">
        <v>48.231615123031631</v>
      </c>
      <c r="E208" s="1335">
        <v>65.551423023599554</v>
      </c>
      <c r="F208" s="1335">
        <v>71.290849234809841</v>
      </c>
      <c r="G208" s="1335">
        <v>67.785140344159572</v>
      </c>
      <c r="H208" s="1335">
        <v>68.579647968428063</v>
      </c>
      <c r="I208" s="1335">
        <v>61.094468455131349</v>
      </c>
      <c r="J208" s="1335">
        <f t="shared" si="16"/>
        <v>75.175714433229373</v>
      </c>
      <c r="K208" s="1444" t="s">
        <v>3465</v>
      </c>
      <c r="L208" s="299">
        <v>460</v>
      </c>
      <c r="M208" s="1443">
        <v>60</v>
      </c>
      <c r="N208" s="1444" t="s">
        <v>3459</v>
      </c>
      <c r="T208" s="1440"/>
      <c r="U208" s="1440"/>
      <c r="V208" s="1440"/>
      <c r="W208" s="1440"/>
      <c r="X208" s="1440"/>
      <c r="Y208" s="1440"/>
      <c r="Z208" s="1440"/>
      <c r="AA208" s="1440"/>
      <c r="AB208" s="1440"/>
      <c r="AC208" s="1440"/>
    </row>
    <row r="209" spans="1:29">
      <c r="A209" s="1333" t="s">
        <v>3490</v>
      </c>
      <c r="B209" s="1335">
        <v>20.258214753168055</v>
      </c>
      <c r="C209" s="1335">
        <v>33.943105397380961</v>
      </c>
      <c r="D209" s="1335">
        <v>48.231615123031631</v>
      </c>
      <c r="E209" s="1335">
        <v>65.551423023599554</v>
      </c>
      <c r="F209" s="1335">
        <v>71.290849234809841</v>
      </c>
      <c r="G209" s="1335">
        <v>67.785140344159572</v>
      </c>
      <c r="H209" s="1335">
        <v>68.579647968428063</v>
      </c>
      <c r="I209" s="1335">
        <v>61.094468455131349</v>
      </c>
      <c r="J209" s="1335">
        <f t="shared" si="16"/>
        <v>75.175714433229373</v>
      </c>
      <c r="K209" s="1444" t="s">
        <v>3465</v>
      </c>
      <c r="L209" s="299">
        <v>460</v>
      </c>
      <c r="M209" s="1443">
        <v>60</v>
      </c>
      <c r="N209" s="1444" t="s">
        <v>3459</v>
      </c>
      <c r="T209" s="1440"/>
      <c r="U209" s="1440"/>
      <c r="V209" s="1440"/>
      <c r="W209" s="1440"/>
      <c r="X209" s="1440"/>
      <c r="Y209" s="1440"/>
      <c r="Z209" s="1440"/>
      <c r="AA209" s="1440"/>
      <c r="AB209" s="1440"/>
      <c r="AC209" s="1440"/>
    </row>
    <row r="210" spans="1:29">
      <c r="A210" s="1333" t="s">
        <v>3489</v>
      </c>
      <c r="B210" s="1335">
        <v>30.172600482296424</v>
      </c>
      <c r="C210" s="1335">
        <v>39.82880610931182</v>
      </c>
      <c r="D210" s="1335">
        <v>48.201739448594473</v>
      </c>
      <c r="E210" s="1335">
        <v>63.544953749136901</v>
      </c>
      <c r="F210" s="1335">
        <v>69.402867535879281</v>
      </c>
      <c r="G210" s="1335">
        <v>64.003812646942961</v>
      </c>
      <c r="H210" s="1335">
        <v>62.941312539154808</v>
      </c>
      <c r="I210" s="1335">
        <v>54.958854533023839</v>
      </c>
      <c r="J210" s="1335">
        <f t="shared" si="16"/>
        <v>71.972720763009832</v>
      </c>
      <c r="K210" s="1444" t="s">
        <v>3477</v>
      </c>
      <c r="L210" s="1444" t="s">
        <v>3478</v>
      </c>
      <c r="M210" s="1443">
        <v>50</v>
      </c>
      <c r="N210" s="1444" t="s">
        <v>3461</v>
      </c>
      <c r="T210" s="1440"/>
      <c r="U210" s="1440"/>
      <c r="V210" s="1440"/>
      <c r="W210" s="1440"/>
      <c r="X210" s="1440"/>
      <c r="Y210" s="1440"/>
      <c r="Z210" s="1440"/>
      <c r="AA210" s="1440"/>
      <c r="AB210" s="1440"/>
      <c r="AC210" s="1440"/>
    </row>
    <row r="211" spans="1:29">
      <c r="A211" s="1333" t="s">
        <v>3489</v>
      </c>
      <c r="B211" s="1335">
        <v>30.172600482296424</v>
      </c>
      <c r="C211" s="1335">
        <v>39.82880610931182</v>
      </c>
      <c r="D211" s="1335">
        <v>48.201739448594473</v>
      </c>
      <c r="E211" s="1335">
        <v>63.544953749136901</v>
      </c>
      <c r="F211" s="1335">
        <v>69.402867535879281</v>
      </c>
      <c r="G211" s="1335">
        <v>64.003812646942961</v>
      </c>
      <c r="H211" s="1335">
        <v>62.941312539154808</v>
      </c>
      <c r="I211" s="1335">
        <v>54.958854533023839</v>
      </c>
      <c r="J211" s="1335">
        <f t="shared" si="16"/>
        <v>71.972720763009832</v>
      </c>
      <c r="K211" s="1444" t="s">
        <v>3477</v>
      </c>
      <c r="L211" s="1444" t="s">
        <v>3478</v>
      </c>
      <c r="M211" s="1443">
        <v>50</v>
      </c>
      <c r="N211" s="1444" t="s">
        <v>3459</v>
      </c>
      <c r="T211" s="1440"/>
      <c r="U211" s="1440"/>
      <c r="V211" s="1440"/>
      <c r="W211" s="1440"/>
      <c r="X211" s="1440"/>
      <c r="Y211" s="1440"/>
      <c r="Z211" s="1440"/>
      <c r="AA211" s="1440"/>
      <c r="AB211" s="1440"/>
      <c r="AC211" s="1440"/>
    </row>
    <row r="212" spans="1:29">
      <c r="A212" s="1333" t="s">
        <v>3491</v>
      </c>
      <c r="B212" s="1335">
        <v>33.877310221851602</v>
      </c>
      <c r="C212" s="1335">
        <v>40.182181513939454</v>
      </c>
      <c r="D212" s="1335">
        <v>47.23580854749946</v>
      </c>
      <c r="E212" s="1335">
        <v>63.309650391851868</v>
      </c>
      <c r="F212" s="1335">
        <v>68.596732861842057</v>
      </c>
      <c r="G212" s="1335">
        <v>69.397158507116572</v>
      </c>
      <c r="H212" s="1335">
        <v>67.990929913498761</v>
      </c>
      <c r="I212" s="1335">
        <v>58.2836443447204</v>
      </c>
      <c r="J212" s="1335">
        <f t="shared" si="16"/>
        <v>74.430920265508149</v>
      </c>
      <c r="K212" s="1445" t="s">
        <v>3465</v>
      </c>
      <c r="L212" s="1442">
        <v>400</v>
      </c>
      <c r="M212" s="1442">
        <v>50</v>
      </c>
      <c r="N212" s="1445" t="s">
        <v>3455</v>
      </c>
      <c r="T212" s="1440"/>
      <c r="U212" s="1440"/>
      <c r="V212" s="1440"/>
      <c r="W212" s="1440"/>
      <c r="X212" s="1440"/>
      <c r="Y212" s="1440"/>
      <c r="Z212" s="1440"/>
      <c r="AA212" s="1440"/>
      <c r="AB212" s="1440"/>
      <c r="AC212" s="1440"/>
    </row>
    <row r="213" spans="1:29">
      <c r="A213" s="1333" t="s">
        <v>3491</v>
      </c>
      <c r="B213" s="1335">
        <v>28.684925281214774</v>
      </c>
      <c r="C213" s="1335">
        <v>38.759962040534589</v>
      </c>
      <c r="D213" s="1335">
        <v>51.590916399729537</v>
      </c>
      <c r="E213" s="1335">
        <v>67.245905695840335</v>
      </c>
      <c r="F213" s="1335">
        <v>73.102219486163904</v>
      </c>
      <c r="G213" s="1335">
        <v>75.147428289680946</v>
      </c>
      <c r="H213" s="1335">
        <v>72.759847733205106</v>
      </c>
      <c r="I213" s="1335">
        <v>62.912497978714612</v>
      </c>
      <c r="J213" s="1335">
        <f t="shared" si="16"/>
        <v>79.523593375840861</v>
      </c>
      <c r="K213" s="1445" t="s">
        <v>3465</v>
      </c>
      <c r="L213" s="1442">
        <v>460</v>
      </c>
      <c r="M213" s="1442">
        <v>60</v>
      </c>
      <c r="N213" s="1445" t="s">
        <v>3455</v>
      </c>
      <c r="T213" s="1440"/>
      <c r="U213" s="1440"/>
      <c r="V213" s="1440"/>
      <c r="W213" s="1440"/>
      <c r="X213" s="1440"/>
      <c r="Y213" s="1440"/>
      <c r="Z213" s="1440"/>
      <c r="AA213" s="1440"/>
      <c r="AB213" s="1440"/>
      <c r="AC213" s="1440"/>
    </row>
    <row r="214" spans="1:29">
      <c r="A214" s="1333" t="s">
        <v>3492</v>
      </c>
      <c r="B214" s="1335">
        <v>35.130929371349964</v>
      </c>
      <c r="C214" s="1335">
        <v>36.050828703552121</v>
      </c>
      <c r="D214" s="1335">
        <v>46.877318566048672</v>
      </c>
      <c r="E214" s="1335">
        <v>65.169465704757215</v>
      </c>
      <c r="F214" s="1335">
        <v>67.723572564860177</v>
      </c>
      <c r="G214" s="1335">
        <v>69.946144235590026</v>
      </c>
      <c r="H214" s="1335">
        <v>67.243232042071696</v>
      </c>
      <c r="I214" s="1335">
        <v>58.326246981811074</v>
      </c>
      <c r="J214" s="1335">
        <f t="shared" si="16"/>
        <v>74.349217615170517</v>
      </c>
      <c r="K214" s="1445" t="s">
        <v>3465</v>
      </c>
      <c r="L214" s="1442">
        <v>400</v>
      </c>
      <c r="M214" s="1442">
        <v>50</v>
      </c>
      <c r="N214" s="1445" t="s">
        <v>3455</v>
      </c>
      <c r="T214" s="1440"/>
      <c r="U214" s="1440"/>
      <c r="V214" s="1440"/>
      <c r="W214" s="1440"/>
      <c r="X214" s="1440"/>
      <c r="Y214" s="1440"/>
      <c r="Z214" s="1440"/>
      <c r="AA214" s="1440"/>
      <c r="AB214" s="1440"/>
      <c r="AC214" s="1440"/>
    </row>
    <row r="215" spans="1:29">
      <c r="A215" s="1333" t="s">
        <v>3492</v>
      </c>
      <c r="B215" s="1335">
        <v>27.950534572983159</v>
      </c>
      <c r="C215" s="1335">
        <v>41.721400742469079</v>
      </c>
      <c r="D215" s="1335">
        <v>50.15482255366863</v>
      </c>
      <c r="E215" s="1335">
        <v>68.756451656069231</v>
      </c>
      <c r="F215" s="1335">
        <v>70.661839328110219</v>
      </c>
      <c r="G215" s="1335">
        <v>78.069927095390909</v>
      </c>
      <c r="H215" s="1335">
        <v>71.746331320839815</v>
      </c>
      <c r="I215" s="1335">
        <v>62.189608605893909</v>
      </c>
      <c r="J215" s="1335">
        <f t="shared" si="16"/>
        <v>80.655103042752089</v>
      </c>
      <c r="K215" s="1445" t="s">
        <v>3465</v>
      </c>
      <c r="L215" s="1442">
        <v>460</v>
      </c>
      <c r="M215" s="1442">
        <v>60</v>
      </c>
      <c r="N215" s="1445" t="s">
        <v>3455</v>
      </c>
      <c r="T215" s="1440"/>
      <c r="U215" s="1440"/>
      <c r="V215" s="1440"/>
      <c r="W215" s="1440"/>
      <c r="X215" s="1440"/>
      <c r="Y215" s="1440"/>
      <c r="Z215" s="1440"/>
      <c r="AA215" s="1440"/>
      <c r="AB215" s="1440"/>
      <c r="AC215" s="1440"/>
    </row>
    <row r="216" spans="1:29">
      <c r="A216" s="1333" t="s">
        <v>3493</v>
      </c>
      <c r="B216" s="1335">
        <v>32.7678203314575</v>
      </c>
      <c r="C216" s="1335">
        <v>37.097301155550205</v>
      </c>
      <c r="D216" s="1335">
        <v>47.846514099566086</v>
      </c>
      <c r="E216" s="1335">
        <v>64.306599477987987</v>
      </c>
      <c r="F216" s="1335">
        <v>67.194304523451635</v>
      </c>
      <c r="G216" s="1335">
        <v>70.196216235526705</v>
      </c>
      <c r="H216" s="1335">
        <v>67.683927170974755</v>
      </c>
      <c r="I216" s="1335">
        <v>58.960623878144091</v>
      </c>
      <c r="J216" s="1335">
        <f t="shared" si="16"/>
        <v>74.43764749243735</v>
      </c>
      <c r="K216" s="1445" t="s">
        <v>3465</v>
      </c>
      <c r="L216" s="1442">
        <v>400</v>
      </c>
      <c r="M216" s="1442">
        <v>50</v>
      </c>
      <c r="N216" s="1445" t="s">
        <v>3455</v>
      </c>
      <c r="T216" s="1440"/>
      <c r="U216" s="1440"/>
      <c r="V216" s="1440"/>
      <c r="W216" s="1440"/>
      <c r="X216" s="1440"/>
      <c r="Y216" s="1440"/>
      <c r="Z216" s="1440"/>
      <c r="AA216" s="1440"/>
      <c r="AB216" s="1440"/>
      <c r="AC216" s="1440"/>
    </row>
    <row r="217" spans="1:29">
      <c r="A217" s="1333" t="s">
        <v>3493</v>
      </c>
      <c r="B217" s="1335">
        <v>27.92024955261482</v>
      </c>
      <c r="C217" s="1335">
        <v>41.227488788422228</v>
      </c>
      <c r="D217" s="1335">
        <v>52.692201173012485</v>
      </c>
      <c r="E217" s="1335">
        <v>69.526950165882596</v>
      </c>
      <c r="F217" s="1335">
        <v>72.657355577338109</v>
      </c>
      <c r="G217" s="1335">
        <v>76.954977664844449</v>
      </c>
      <c r="H217" s="1335">
        <v>73.059121177146366</v>
      </c>
      <c r="I217" s="1335">
        <v>64.092586330572189</v>
      </c>
      <c r="J217" s="1335">
        <f t="shared" si="16"/>
        <v>80.527082445391912</v>
      </c>
      <c r="K217" s="1445" t="s">
        <v>3465</v>
      </c>
      <c r="L217" s="1442">
        <v>460</v>
      </c>
      <c r="M217" s="1442">
        <v>60</v>
      </c>
      <c r="N217" s="1445" t="s">
        <v>3455</v>
      </c>
      <c r="T217" s="1440"/>
      <c r="U217" s="1440"/>
      <c r="V217" s="1440"/>
      <c r="W217" s="1440"/>
      <c r="X217" s="1440"/>
      <c r="Y217" s="1440"/>
      <c r="Z217" s="1440"/>
      <c r="AA217" s="1440"/>
      <c r="AB217" s="1440"/>
      <c r="AC217" s="1440"/>
    </row>
    <row r="218" spans="1:29">
      <c r="A218" s="1333" t="s">
        <v>3494</v>
      </c>
      <c r="B218" s="1335">
        <v>36.077434096346138</v>
      </c>
      <c r="C218" s="1335">
        <v>40.170959839045395</v>
      </c>
      <c r="D218" s="1335">
        <v>47.735176754699928</v>
      </c>
      <c r="E218" s="1335">
        <v>65.204882437804429</v>
      </c>
      <c r="F218" s="1335">
        <v>67.930253784008784</v>
      </c>
      <c r="G218" s="1335">
        <v>70.932264870054681</v>
      </c>
      <c r="H218" s="1335">
        <v>69.32212957776845</v>
      </c>
      <c r="I218" s="1335">
        <v>60.33276463571633</v>
      </c>
      <c r="J218" s="1335">
        <f t="shared" si="16"/>
        <v>75.454237480973049</v>
      </c>
      <c r="K218" s="1445" t="s">
        <v>3465</v>
      </c>
      <c r="L218" s="1442">
        <v>400</v>
      </c>
      <c r="M218" s="1442">
        <v>50</v>
      </c>
      <c r="N218" s="1445" t="s">
        <v>3455</v>
      </c>
      <c r="T218" s="1440"/>
      <c r="U218" s="1440"/>
      <c r="V218" s="1440"/>
      <c r="W218" s="1440"/>
      <c r="X218" s="1440"/>
      <c r="Y218" s="1440"/>
      <c r="Z218" s="1440"/>
      <c r="AA218" s="1440"/>
      <c r="AB218" s="1440"/>
      <c r="AC218" s="1440"/>
    </row>
    <row r="219" spans="1:29">
      <c r="A219" s="1333" t="s">
        <v>3494</v>
      </c>
      <c r="B219" s="1335">
        <v>27.704652861346347</v>
      </c>
      <c r="C219" s="1335">
        <v>38.909703134224422</v>
      </c>
      <c r="D219" s="1335">
        <v>52.312172615227787</v>
      </c>
      <c r="E219" s="1335">
        <v>70.150819899984185</v>
      </c>
      <c r="F219" s="1335">
        <v>72.35743583359168</v>
      </c>
      <c r="G219" s="1335">
        <v>76.398515809186193</v>
      </c>
      <c r="H219" s="1335">
        <v>74.124349250351045</v>
      </c>
      <c r="I219" s="1335">
        <v>64.43243843311275</v>
      </c>
      <c r="J219" s="1335">
        <f t="shared" si="16"/>
        <v>80.49605282339823</v>
      </c>
      <c r="K219" s="1445" t="s">
        <v>3465</v>
      </c>
      <c r="L219" s="1442">
        <v>460</v>
      </c>
      <c r="M219" s="1442">
        <v>60</v>
      </c>
      <c r="N219" s="1445" t="s">
        <v>3455</v>
      </c>
      <c r="T219" s="1440"/>
      <c r="U219" s="1440"/>
      <c r="V219" s="1440"/>
      <c r="W219" s="1440"/>
      <c r="X219" s="1440"/>
      <c r="Y219" s="1440"/>
      <c r="Z219" s="1440"/>
      <c r="AA219" s="1440"/>
      <c r="AB219" s="1440"/>
      <c r="AC219" s="1440"/>
    </row>
    <row r="220" spans="1:29">
      <c r="A220" s="1333" t="s">
        <v>3495</v>
      </c>
      <c r="B220" s="1335">
        <v>37.862039498089828</v>
      </c>
      <c r="C220" s="1335">
        <v>39.113913786303527</v>
      </c>
      <c r="D220" s="1335">
        <v>50.19914931812481</v>
      </c>
      <c r="E220" s="1335">
        <v>64.332216415028171</v>
      </c>
      <c r="F220" s="1335">
        <v>70.510499835786106</v>
      </c>
      <c r="G220" s="1335">
        <v>72.381128493364685</v>
      </c>
      <c r="H220" s="1335">
        <v>74.424033690506462</v>
      </c>
      <c r="I220" s="1335">
        <v>66.04893393709456</v>
      </c>
      <c r="J220" s="1335">
        <f t="shared" si="16"/>
        <v>78.601385930188442</v>
      </c>
      <c r="K220" s="1445" t="s">
        <v>3465</v>
      </c>
      <c r="L220" s="1442">
        <v>400</v>
      </c>
      <c r="M220" s="1442">
        <v>50</v>
      </c>
      <c r="N220" s="1445" t="s">
        <v>3455</v>
      </c>
      <c r="T220" s="1440"/>
      <c r="U220" s="1440"/>
      <c r="V220" s="1440"/>
      <c r="W220" s="1440"/>
      <c r="X220" s="1440"/>
      <c r="Y220" s="1440"/>
      <c r="Z220" s="1440"/>
      <c r="AA220" s="1440"/>
      <c r="AB220" s="1440"/>
      <c r="AC220" s="1440"/>
    </row>
    <row r="221" spans="1:29">
      <c r="A221" s="1333" t="s">
        <v>3495</v>
      </c>
      <c r="B221" s="1335">
        <v>30.929528503777945</v>
      </c>
      <c r="C221" s="1335">
        <v>41.750654204778321</v>
      </c>
      <c r="D221" s="1335">
        <v>53.740328000097826</v>
      </c>
      <c r="E221" s="1335">
        <v>68.915723989583498</v>
      </c>
      <c r="F221" s="1335">
        <v>74.567748052803296</v>
      </c>
      <c r="G221" s="1335">
        <v>77.658803047310215</v>
      </c>
      <c r="H221" s="1335">
        <v>77.59489948902575</v>
      </c>
      <c r="I221" s="1335">
        <v>67.792574388313952</v>
      </c>
      <c r="J221" s="1335">
        <f t="shared" si="16"/>
        <v>82.627583016537045</v>
      </c>
      <c r="K221" s="1445" t="s">
        <v>3465</v>
      </c>
      <c r="L221" s="1442">
        <v>460</v>
      </c>
      <c r="M221" s="1442">
        <v>60</v>
      </c>
      <c r="N221" s="1445" t="s">
        <v>3455</v>
      </c>
      <c r="T221" s="1440"/>
      <c r="U221" s="1440"/>
      <c r="V221" s="1440"/>
      <c r="W221" s="1440"/>
      <c r="X221" s="1440"/>
      <c r="Y221" s="1440"/>
      <c r="Z221" s="1440"/>
      <c r="AA221" s="1440"/>
      <c r="AB221" s="1440"/>
      <c r="AC221" s="1440"/>
    </row>
    <row r="222" spans="1:29">
      <c r="A222" s="1333" t="s">
        <v>3496</v>
      </c>
      <c r="B222" s="1335">
        <v>35.966709640851064</v>
      </c>
      <c r="C222" s="1335">
        <v>37.832548411181811</v>
      </c>
      <c r="D222" s="1335">
        <v>50.828955127152142</v>
      </c>
      <c r="E222" s="1335">
        <v>66.467710586781777</v>
      </c>
      <c r="F222" s="1335">
        <v>73.536261854146801</v>
      </c>
      <c r="G222" s="1335">
        <v>77.693683688124381</v>
      </c>
      <c r="H222" s="1335">
        <v>70.968906771282349</v>
      </c>
      <c r="I222" s="1335">
        <v>61.947920034422594</v>
      </c>
      <c r="J222" s="1335">
        <f t="shared" si="16"/>
        <v>80.637667947489874</v>
      </c>
      <c r="K222" s="1445" t="s">
        <v>3465</v>
      </c>
      <c r="L222" s="1442">
        <v>400</v>
      </c>
      <c r="M222" s="1442">
        <v>50</v>
      </c>
      <c r="N222" s="1445" t="s">
        <v>3455</v>
      </c>
    </row>
    <row r="223" spans="1:29">
      <c r="A223" s="1333" t="s">
        <v>3496</v>
      </c>
      <c r="B223" s="1335">
        <v>28.016371564293607</v>
      </c>
      <c r="C223" s="1335">
        <v>42.887592863036382</v>
      </c>
      <c r="D223" s="1335">
        <v>58.983571958380729</v>
      </c>
      <c r="E223" s="1335">
        <v>71.939503512870019</v>
      </c>
      <c r="F223" s="1335">
        <v>77.550686778516024</v>
      </c>
      <c r="G223" s="1335">
        <v>79.335051105989123</v>
      </c>
      <c r="H223" s="1335">
        <v>75.718086665881913</v>
      </c>
      <c r="I223" s="1335">
        <v>64.884638331695641</v>
      </c>
      <c r="J223" s="1335">
        <f t="shared" si="16"/>
        <v>83.468667639662058</v>
      </c>
      <c r="K223" s="1445" t="s">
        <v>3465</v>
      </c>
      <c r="L223" s="1442">
        <v>460</v>
      </c>
      <c r="M223" s="1442">
        <v>60</v>
      </c>
      <c r="N223" s="1445" t="s">
        <v>3455</v>
      </c>
    </row>
    <row r="224" spans="1:29">
      <c r="A224" s="1333" t="s">
        <v>3497</v>
      </c>
      <c r="B224" s="1335">
        <v>38.321283371985352</v>
      </c>
      <c r="C224" s="1335">
        <v>48.009395058891485</v>
      </c>
      <c r="D224" s="1335">
        <v>64.333807636035829</v>
      </c>
      <c r="E224" s="1335">
        <v>70.311962853619747</v>
      </c>
      <c r="F224" s="1335">
        <v>78.95622239095259</v>
      </c>
      <c r="G224" s="1335">
        <v>79.231960923131439</v>
      </c>
      <c r="H224" s="1335">
        <v>73.130221000171247</v>
      </c>
      <c r="I224" s="1335">
        <v>64.798381783126274</v>
      </c>
      <c r="J224" s="1335">
        <f t="shared" si="16"/>
        <v>83.387195239304333</v>
      </c>
      <c r="K224" s="1442" t="str">
        <f t="shared" ref="K224:K239" si="17">RIGHT(A224,3)</f>
        <v>TWC</v>
      </c>
      <c r="L224" s="1442" t="s">
        <v>3478</v>
      </c>
      <c r="M224" s="1442">
        <v>50</v>
      </c>
      <c r="N224" s="1442" t="s">
        <v>3455</v>
      </c>
    </row>
    <row r="225" spans="1:14">
      <c r="A225" s="1333" t="s">
        <v>3498</v>
      </c>
      <c r="B225" s="1335">
        <v>38.321283371985352</v>
      </c>
      <c r="C225" s="1335">
        <v>48.009395058891485</v>
      </c>
      <c r="D225" s="1335">
        <v>64.333807636035829</v>
      </c>
      <c r="E225" s="1335">
        <v>70.311962853619747</v>
      </c>
      <c r="F225" s="1335">
        <v>78.95622239095259</v>
      </c>
      <c r="G225" s="1335">
        <v>79.231960923131439</v>
      </c>
      <c r="H225" s="1335">
        <v>73.130221000171247</v>
      </c>
      <c r="I225" s="1335">
        <v>64.798381783126274</v>
      </c>
      <c r="J225" s="1335">
        <f t="shared" si="16"/>
        <v>83.387195239304333</v>
      </c>
      <c r="K225" s="1442" t="str">
        <f t="shared" si="17"/>
        <v>TWD</v>
      </c>
      <c r="L225" s="1442" t="s">
        <v>3457</v>
      </c>
      <c r="M225" s="1442">
        <v>50</v>
      </c>
      <c r="N225" s="1442" t="s">
        <v>3455</v>
      </c>
    </row>
    <row r="226" spans="1:14">
      <c r="A226" s="1333" t="s">
        <v>3498</v>
      </c>
      <c r="B226" s="1335">
        <v>38.321283371985352</v>
      </c>
      <c r="C226" s="1335">
        <v>48.009395058891485</v>
      </c>
      <c r="D226" s="1335">
        <v>64.333807636035829</v>
      </c>
      <c r="E226" s="1335">
        <v>70.311962853619747</v>
      </c>
      <c r="F226" s="1335">
        <v>78.95622239095259</v>
      </c>
      <c r="G226" s="1335">
        <v>79.231960923131439</v>
      </c>
      <c r="H226" s="1335">
        <v>73.130221000171247</v>
      </c>
      <c r="I226" s="1335">
        <v>64.798381783126274</v>
      </c>
      <c r="J226" s="1335">
        <f t="shared" si="16"/>
        <v>83.387195239304333</v>
      </c>
      <c r="K226" s="1442" t="str">
        <f t="shared" si="17"/>
        <v>TWD</v>
      </c>
      <c r="L226" s="1442" t="s">
        <v>3457</v>
      </c>
      <c r="M226" s="1442">
        <v>50</v>
      </c>
      <c r="N226" s="1442" t="s">
        <v>3461</v>
      </c>
    </row>
    <row r="227" spans="1:14">
      <c r="A227" s="1333" t="s">
        <v>3497</v>
      </c>
      <c r="B227" s="1335">
        <v>38.321283371985352</v>
      </c>
      <c r="C227" s="1335">
        <v>48.009395058891485</v>
      </c>
      <c r="D227" s="1335">
        <v>64.333807636035829</v>
      </c>
      <c r="E227" s="1335">
        <v>70.311962853619747</v>
      </c>
      <c r="F227" s="1335">
        <v>78.95622239095259</v>
      </c>
      <c r="G227" s="1335">
        <v>79.231960923131439</v>
      </c>
      <c r="H227" s="1335">
        <v>73.130221000171247</v>
      </c>
      <c r="I227" s="1335">
        <v>64.798381783126274</v>
      </c>
      <c r="J227" s="1335">
        <f t="shared" si="16"/>
        <v>83.387195239304333</v>
      </c>
      <c r="K227" s="1442" t="str">
        <f t="shared" si="17"/>
        <v>TWC</v>
      </c>
      <c r="L227" s="1442" t="s">
        <v>3478</v>
      </c>
      <c r="M227" s="1442">
        <v>50</v>
      </c>
      <c r="N227" s="1442" t="s">
        <v>3459</v>
      </c>
    </row>
    <row r="228" spans="1:14">
      <c r="A228" s="1333" t="s">
        <v>3498</v>
      </c>
      <c r="B228" s="1335">
        <v>33.823327336003899</v>
      </c>
      <c r="C228" s="1335">
        <v>51.354853750694076</v>
      </c>
      <c r="D228" s="1335">
        <v>66.68864204142919</v>
      </c>
      <c r="E228" s="1335">
        <v>74.424403547800296</v>
      </c>
      <c r="F228" s="1335">
        <v>81.380360432753278</v>
      </c>
      <c r="G228" s="1335">
        <v>85.847294335814667</v>
      </c>
      <c r="H228" s="1335">
        <v>78.399088736347636</v>
      </c>
      <c r="I228" s="1335">
        <v>68.763144860148415</v>
      </c>
      <c r="J228" s="1335">
        <f t="shared" si="16"/>
        <v>88.626152501126853</v>
      </c>
      <c r="K228" s="1442" t="str">
        <f t="shared" si="17"/>
        <v>TWD</v>
      </c>
      <c r="L228" s="1442">
        <v>460</v>
      </c>
      <c r="M228" s="1442">
        <v>60</v>
      </c>
      <c r="N228" s="1442" t="s">
        <v>3455</v>
      </c>
    </row>
    <row r="229" spans="1:14">
      <c r="A229" s="1333" t="s">
        <v>3497</v>
      </c>
      <c r="B229" s="1335">
        <v>33.823327336003899</v>
      </c>
      <c r="C229" s="1335">
        <v>51.354853750694076</v>
      </c>
      <c r="D229" s="1335">
        <v>66.68864204142919</v>
      </c>
      <c r="E229" s="1335">
        <v>74.424403547800296</v>
      </c>
      <c r="F229" s="1335">
        <v>81.380360432753278</v>
      </c>
      <c r="G229" s="1335">
        <v>85.847294335814667</v>
      </c>
      <c r="H229" s="1335">
        <v>78.399088736347636</v>
      </c>
      <c r="I229" s="1335">
        <v>68.763144860148415</v>
      </c>
      <c r="J229" s="1335">
        <f t="shared" si="16"/>
        <v>88.626152501126853</v>
      </c>
      <c r="K229" s="1442" t="str">
        <f t="shared" si="17"/>
        <v>TWC</v>
      </c>
      <c r="L229" s="1442" t="s">
        <v>3499</v>
      </c>
      <c r="M229" s="1442">
        <v>60</v>
      </c>
      <c r="N229" s="1442" t="s">
        <v>3459</v>
      </c>
    </row>
    <row r="230" spans="1:14">
      <c r="A230" s="1333" t="s">
        <v>3500</v>
      </c>
      <c r="B230" s="1335">
        <v>33.823327336003899</v>
      </c>
      <c r="C230" s="1335">
        <v>51.354853750694076</v>
      </c>
      <c r="D230" s="1335">
        <v>66.68864204142919</v>
      </c>
      <c r="E230" s="1335">
        <v>74.424403547800296</v>
      </c>
      <c r="F230" s="1335">
        <v>81.380360432753278</v>
      </c>
      <c r="G230" s="1335">
        <v>85.847294335814667</v>
      </c>
      <c r="H230" s="1335">
        <v>78.399088736347636</v>
      </c>
      <c r="I230" s="1335">
        <v>68.763144860148415</v>
      </c>
      <c r="J230" s="1335">
        <f t="shared" si="16"/>
        <v>88.626152501126853</v>
      </c>
      <c r="K230" s="1442" t="str">
        <f t="shared" si="17"/>
        <v>TWC</v>
      </c>
      <c r="L230" s="1442" t="s">
        <v>3499</v>
      </c>
      <c r="M230" s="1442">
        <v>60</v>
      </c>
      <c r="N230" s="1442" t="s">
        <v>3459</v>
      </c>
    </row>
    <row r="231" spans="1:14">
      <c r="A231" s="1333" t="s">
        <v>3498</v>
      </c>
      <c r="B231" s="1335">
        <v>33.823327336003899</v>
      </c>
      <c r="C231" s="1335">
        <v>51.354853750694076</v>
      </c>
      <c r="D231" s="1335">
        <v>66.68864204142919</v>
      </c>
      <c r="E231" s="1335">
        <v>74.424403547800296</v>
      </c>
      <c r="F231" s="1335">
        <v>81.380360432753278</v>
      </c>
      <c r="G231" s="1335">
        <v>85.847294335814667</v>
      </c>
      <c r="H231" s="1335">
        <v>78.399088736347636</v>
      </c>
      <c r="I231" s="1335">
        <v>68.763144860148415</v>
      </c>
      <c r="J231" s="1335">
        <f t="shared" si="16"/>
        <v>88.626152501126853</v>
      </c>
      <c r="K231" s="1442" t="str">
        <f t="shared" si="17"/>
        <v>TWD</v>
      </c>
      <c r="L231" s="1442">
        <v>460</v>
      </c>
      <c r="M231" s="1442">
        <v>60</v>
      </c>
      <c r="N231" s="1442" t="s">
        <v>3459</v>
      </c>
    </row>
    <row r="232" spans="1:14">
      <c r="A232" s="1333" t="s">
        <v>3501</v>
      </c>
      <c r="B232" s="1335">
        <v>33.823327336003899</v>
      </c>
      <c r="C232" s="1335">
        <v>51.354853750694076</v>
      </c>
      <c r="D232" s="1335">
        <v>66.68864204142919</v>
      </c>
      <c r="E232" s="1335">
        <v>74.424403547800296</v>
      </c>
      <c r="F232" s="1335">
        <v>81.380360432753278</v>
      </c>
      <c r="G232" s="1335">
        <v>85.847294335814667</v>
      </c>
      <c r="H232" s="1335">
        <v>78.399088736347636</v>
      </c>
      <c r="I232" s="1335">
        <v>68.763144860148415</v>
      </c>
      <c r="J232" s="1335">
        <f t="shared" si="16"/>
        <v>88.626152501126853</v>
      </c>
      <c r="K232" s="1442" t="str">
        <f t="shared" si="17"/>
        <v>TWD</v>
      </c>
      <c r="L232" s="1442">
        <v>460</v>
      </c>
      <c r="M232" s="1442">
        <v>60</v>
      </c>
      <c r="N232" s="1442" t="s">
        <v>3459</v>
      </c>
    </row>
    <row r="233" spans="1:14">
      <c r="A233" s="1333" t="s">
        <v>3502</v>
      </c>
      <c r="B233" s="1335">
        <v>33.823327336003899</v>
      </c>
      <c r="C233" s="1335">
        <v>51.354853750694076</v>
      </c>
      <c r="D233" s="1335">
        <v>66.68864204142919</v>
      </c>
      <c r="E233" s="1335">
        <v>74.424403547800296</v>
      </c>
      <c r="F233" s="1335">
        <v>81.380360432753278</v>
      </c>
      <c r="G233" s="1335">
        <v>85.847294335814667</v>
      </c>
      <c r="H233" s="1335">
        <v>78.399088736347636</v>
      </c>
      <c r="I233" s="1335">
        <v>68.763144860148415</v>
      </c>
      <c r="J233" s="1335">
        <f t="shared" si="16"/>
        <v>88.626152501126853</v>
      </c>
      <c r="K233" s="1442" t="str">
        <f t="shared" si="17"/>
        <v>TW7</v>
      </c>
      <c r="L233" s="1442">
        <v>380</v>
      </c>
      <c r="M233" s="1442">
        <v>60</v>
      </c>
      <c r="N233" s="1442" t="s">
        <v>3455</v>
      </c>
    </row>
    <row r="234" spans="1:14">
      <c r="A234" s="1333" t="s">
        <v>3502</v>
      </c>
      <c r="B234" s="1335">
        <v>33.823327336003899</v>
      </c>
      <c r="C234" s="1335">
        <v>51.354853750694076</v>
      </c>
      <c r="D234" s="1335">
        <v>66.68864204142919</v>
      </c>
      <c r="E234" s="1335">
        <v>74.424403547800296</v>
      </c>
      <c r="F234" s="1335">
        <v>81.380360432753278</v>
      </c>
      <c r="G234" s="1335">
        <v>85.847294335814667</v>
      </c>
      <c r="H234" s="1335">
        <v>78.399088736347636</v>
      </c>
      <c r="I234" s="1335">
        <v>68.763144860148415</v>
      </c>
      <c r="J234" s="1335">
        <f t="shared" si="16"/>
        <v>88.626152501126853</v>
      </c>
      <c r="K234" s="1442" t="str">
        <f t="shared" si="17"/>
        <v>TW7</v>
      </c>
      <c r="L234" s="1442">
        <v>380</v>
      </c>
      <c r="M234" s="1445">
        <v>60</v>
      </c>
      <c r="N234" s="1445" t="s">
        <v>3461</v>
      </c>
    </row>
    <row r="235" spans="1:14">
      <c r="A235" s="1333" t="s">
        <v>3503</v>
      </c>
      <c r="B235" s="1335">
        <v>33.823327336003899</v>
      </c>
      <c r="C235" s="1335">
        <v>51.354853750694076</v>
      </c>
      <c r="D235" s="1335">
        <v>66.68864204142919</v>
      </c>
      <c r="E235" s="1335">
        <v>74.424403547800296</v>
      </c>
      <c r="F235" s="1335">
        <v>81.380360432753278</v>
      </c>
      <c r="G235" s="1335">
        <v>85.847294335814667</v>
      </c>
      <c r="H235" s="1335">
        <v>78.399088736347636</v>
      </c>
      <c r="I235" s="1335">
        <v>68.763144860148415</v>
      </c>
      <c r="J235" s="1335">
        <f t="shared" si="16"/>
        <v>88.626152501126853</v>
      </c>
      <c r="K235" s="1442" t="str">
        <f t="shared" si="17"/>
        <v>TW7</v>
      </c>
      <c r="L235" s="1442">
        <v>380</v>
      </c>
      <c r="M235" s="1442">
        <v>60</v>
      </c>
      <c r="N235" s="1442" t="s">
        <v>3459</v>
      </c>
    </row>
    <row r="236" spans="1:14">
      <c r="A236" s="1333" t="s">
        <v>3504</v>
      </c>
      <c r="B236" s="1335">
        <v>36.764183408605234</v>
      </c>
      <c r="C236" s="1335">
        <v>48.29784305923895</v>
      </c>
      <c r="D236" s="1335">
        <v>66.953557485072992</v>
      </c>
      <c r="E236" s="1335">
        <v>75.457151838379318</v>
      </c>
      <c r="F236" s="1335">
        <v>80.119329580634513</v>
      </c>
      <c r="G236" s="1335">
        <v>81.470006690618618</v>
      </c>
      <c r="H236" s="1335">
        <v>74.857785450883682</v>
      </c>
      <c r="I236" s="1335">
        <v>63.797152371379973</v>
      </c>
      <c r="J236" s="1335">
        <f t="shared" si="16"/>
        <v>85.289891317722564</v>
      </c>
      <c r="K236" s="1442" t="str">
        <f t="shared" si="17"/>
        <v>TWD</v>
      </c>
      <c r="L236" s="1445" t="s">
        <v>3457</v>
      </c>
      <c r="M236" s="1443">
        <v>50</v>
      </c>
      <c r="N236" s="1442" t="s">
        <v>3455</v>
      </c>
    </row>
    <row r="237" spans="1:14">
      <c r="A237" s="1333" t="s">
        <v>3504</v>
      </c>
      <c r="B237" s="1335">
        <v>36.104519598619916</v>
      </c>
      <c r="C237" s="1335">
        <v>52.47124971000413</v>
      </c>
      <c r="D237" s="1335">
        <v>72.286629656781301</v>
      </c>
      <c r="E237" s="1335">
        <v>79.457520945933652</v>
      </c>
      <c r="F237" s="1335">
        <v>85.741867796920289</v>
      </c>
      <c r="G237" s="1335">
        <v>86.409832995770813</v>
      </c>
      <c r="H237" s="1335">
        <v>78.884820118955318</v>
      </c>
      <c r="I237" s="1335">
        <v>66.667113424814602</v>
      </c>
      <c r="J237" s="1335">
        <f t="shared" si="16"/>
        <v>90.307455311544643</v>
      </c>
      <c r="K237" s="1442" t="str">
        <f t="shared" si="17"/>
        <v>TWD</v>
      </c>
      <c r="L237" s="1446">
        <v>460</v>
      </c>
      <c r="M237" s="1443">
        <v>60</v>
      </c>
      <c r="N237" s="1442" t="s">
        <v>3455</v>
      </c>
    </row>
    <row r="238" spans="1:14">
      <c r="A238" s="1333" t="s">
        <v>3505</v>
      </c>
      <c r="B238" s="1335">
        <v>44.35</v>
      </c>
      <c r="C238" s="1335">
        <v>48.381720133807207</v>
      </c>
      <c r="D238" s="1335">
        <v>65.0883888401153</v>
      </c>
      <c r="E238" s="1335">
        <v>74.203554610294688</v>
      </c>
      <c r="F238" s="1335">
        <v>83.028206806966722</v>
      </c>
      <c r="G238" s="1335">
        <v>84.607679248173781</v>
      </c>
      <c r="H238" s="1335">
        <v>79.135442091066594</v>
      </c>
      <c r="I238" s="1335">
        <v>72.818485748418084</v>
      </c>
      <c r="J238" s="1335">
        <f t="shared" si="16"/>
        <v>88.429313479027272</v>
      </c>
      <c r="K238" s="1442" t="str">
        <f t="shared" si="17"/>
        <v>TWD</v>
      </c>
      <c r="L238" s="1445" t="s">
        <v>3457</v>
      </c>
      <c r="M238" s="1443">
        <v>50</v>
      </c>
      <c r="N238" s="1442" t="s">
        <v>3455</v>
      </c>
    </row>
    <row r="239" spans="1:14">
      <c r="A239" s="1333" t="s">
        <v>3505</v>
      </c>
      <c r="B239" s="1335">
        <v>31.35</v>
      </c>
      <c r="C239" s="1335">
        <v>46.25153542529609</v>
      </c>
      <c r="D239" s="1335">
        <v>69.416135295194053</v>
      </c>
      <c r="E239" s="1335">
        <v>78.139407531542574</v>
      </c>
      <c r="F239" s="1335">
        <v>85.778143020592225</v>
      </c>
      <c r="G239" s="1335">
        <v>87.892223922297674</v>
      </c>
      <c r="H239" s="1335">
        <v>81.503537431634385</v>
      </c>
      <c r="I239" s="1335">
        <v>72.822515542969967</v>
      </c>
      <c r="J239" s="1335">
        <f t="shared" si="16"/>
        <v>91.399050071394782</v>
      </c>
      <c r="K239" s="1442" t="str">
        <f t="shared" si="17"/>
        <v>TWD</v>
      </c>
      <c r="L239" s="1446">
        <v>460</v>
      </c>
      <c r="M239" s="1443">
        <v>60</v>
      </c>
      <c r="N239" s="1442" t="s">
        <v>3455</v>
      </c>
    </row>
    <row r="244" spans="1:2">
      <c r="A244" s="1333" t="s">
        <v>952</v>
      </c>
      <c r="B244" s="1333" t="s">
        <v>952</v>
      </c>
    </row>
    <row r="245" spans="1:2">
      <c r="A245" s="1340" t="s">
        <v>3384</v>
      </c>
      <c r="B245" s="1340">
        <v>1</v>
      </c>
    </row>
    <row r="246" spans="1:2">
      <c r="A246" s="1340">
        <v>1</v>
      </c>
      <c r="B246" s="1340">
        <v>2</v>
      </c>
    </row>
    <row r="247" spans="1:2">
      <c r="A247" s="1340">
        <v>2</v>
      </c>
      <c r="B247" s="1340">
        <v>3</v>
      </c>
    </row>
    <row r="248" spans="1:2">
      <c r="A248" s="1340">
        <v>3</v>
      </c>
      <c r="B248" s="1340">
        <v>4</v>
      </c>
    </row>
    <row r="249" spans="1:2">
      <c r="A249" s="1340">
        <v>4</v>
      </c>
      <c r="B249" s="1340">
        <v>5</v>
      </c>
    </row>
    <row r="250" spans="1:2">
      <c r="A250" s="1340">
        <v>5</v>
      </c>
      <c r="B250" s="1340">
        <v>6</v>
      </c>
    </row>
    <row r="251" spans="1:2">
      <c r="A251" s="1340">
        <v>6</v>
      </c>
      <c r="B251" s="1340">
        <v>7</v>
      </c>
    </row>
    <row r="252" spans="1:2">
      <c r="B252" s="1340">
        <v>8</v>
      </c>
    </row>
    <row r="253" spans="1:2">
      <c r="B253" s="1340">
        <v>9</v>
      </c>
    </row>
    <row r="254" spans="1:2">
      <c r="B254" s="1340">
        <v>10</v>
      </c>
    </row>
    <row r="255" spans="1:2">
      <c r="B255" s="1340">
        <v>12</v>
      </c>
    </row>
    <row r="256" spans="1:2">
      <c r="B256" s="1340">
        <v>14</v>
      </c>
    </row>
    <row r="257" spans="1:10">
      <c r="B257" s="1340">
        <v>15</v>
      </c>
    </row>
    <row r="258" spans="1:10">
      <c r="B258" s="1340">
        <v>16</v>
      </c>
    </row>
    <row r="259" spans="1:10">
      <c r="B259" s="1340">
        <v>18</v>
      </c>
    </row>
    <row r="260" spans="1:10">
      <c r="B260" s="1340">
        <v>20</v>
      </c>
    </row>
    <row r="263" spans="1:10">
      <c r="B263" s="1340"/>
    </row>
    <row r="264" spans="1:10">
      <c r="B264" s="1340"/>
    </row>
    <row r="265" spans="1:10">
      <c r="B265" s="1340"/>
    </row>
    <row r="266" spans="1:10">
      <c r="B266" s="1340"/>
    </row>
    <row r="267" spans="1:10">
      <c r="B267" s="1340"/>
    </row>
    <row r="268" spans="1:10">
      <c r="A268" s="1447" t="s">
        <v>3506</v>
      </c>
      <c r="B268" s="1447">
        <v>63</v>
      </c>
      <c r="C268" s="1447">
        <v>125</v>
      </c>
      <c r="D268" s="1447">
        <v>250</v>
      </c>
      <c r="E268" s="1447">
        <v>500</v>
      </c>
      <c r="F268" s="1447" t="s">
        <v>3172</v>
      </c>
      <c r="G268" s="1447" t="s">
        <v>3173</v>
      </c>
      <c r="H268" s="1447" t="s">
        <v>3174</v>
      </c>
      <c r="I268" s="1447" t="s">
        <v>3175</v>
      </c>
      <c r="J268" s="1447" t="s">
        <v>8</v>
      </c>
    </row>
    <row r="269" spans="1:10">
      <c r="A269" s="1447" t="s">
        <v>3507</v>
      </c>
      <c r="B269" s="1448">
        <v>49</v>
      </c>
      <c r="C269" s="1448">
        <v>55</v>
      </c>
      <c r="D269" s="1448">
        <v>61</v>
      </c>
      <c r="E269" s="1448">
        <v>69</v>
      </c>
      <c r="F269" s="1448">
        <v>74</v>
      </c>
      <c r="G269" s="1448">
        <v>74</v>
      </c>
      <c r="H269" s="1448">
        <v>66</v>
      </c>
      <c r="I269" s="1448">
        <v>55.6</v>
      </c>
      <c r="J269" s="1335">
        <f t="shared" ref="J269:J276" si="18">10*LOG(10^((B269-26)/10)+10^((C269-16)/10)+10^((D269-9)/10)+10^((E269-3)/10)+10^(F269/10)+10^((G269+1)/10)+10^((H269+1)/10)+10^((I269-1)/10))</f>
        <v>78.207898893286043</v>
      </c>
    </row>
    <row r="270" spans="1:10">
      <c r="A270" s="1447" t="s">
        <v>3508</v>
      </c>
      <c r="B270" s="1448">
        <v>57</v>
      </c>
      <c r="C270" s="1448">
        <v>52</v>
      </c>
      <c r="D270" s="1448">
        <v>58</v>
      </c>
      <c r="E270" s="1448">
        <v>65</v>
      </c>
      <c r="F270" s="1448">
        <v>70</v>
      </c>
      <c r="G270" s="1448">
        <v>70</v>
      </c>
      <c r="H270" s="1448">
        <v>62</v>
      </c>
      <c r="I270" s="1448">
        <v>53</v>
      </c>
      <c r="J270" s="1335">
        <f t="shared" si="18"/>
        <v>74.218106900770778</v>
      </c>
    </row>
    <row r="271" spans="1:10">
      <c r="A271" s="1447" t="s">
        <v>3509</v>
      </c>
      <c r="B271" s="1448">
        <v>62</v>
      </c>
      <c r="C271" s="1448">
        <v>60</v>
      </c>
      <c r="D271" s="1448">
        <v>60</v>
      </c>
      <c r="E271" s="1448">
        <v>67</v>
      </c>
      <c r="F271" s="1448">
        <v>69</v>
      </c>
      <c r="G271" s="1448">
        <v>70</v>
      </c>
      <c r="H271" s="1448">
        <v>63</v>
      </c>
      <c r="I271" s="1448">
        <v>50.6</v>
      </c>
      <c r="J271" s="1335">
        <f t="shared" si="18"/>
        <v>74.116618353549796</v>
      </c>
    </row>
    <row r="272" spans="1:10">
      <c r="A272" s="1447" t="s">
        <v>3510</v>
      </c>
      <c r="B272" s="1448">
        <v>45</v>
      </c>
      <c r="C272" s="1448">
        <v>47</v>
      </c>
      <c r="D272" s="1448">
        <v>57</v>
      </c>
      <c r="E272" s="1448">
        <v>62</v>
      </c>
      <c r="F272" s="1448">
        <v>67</v>
      </c>
      <c r="G272" s="1448">
        <v>64</v>
      </c>
      <c r="H272" s="1448">
        <v>60</v>
      </c>
      <c r="I272" s="1448">
        <v>49</v>
      </c>
      <c r="J272" s="1335">
        <f t="shared" si="18"/>
        <v>70.151473129189711</v>
      </c>
    </row>
    <row r="273" spans="1:10">
      <c r="A273" s="1447" t="s">
        <v>3511</v>
      </c>
      <c r="B273" s="1448">
        <v>38</v>
      </c>
      <c r="C273" s="1448">
        <v>42</v>
      </c>
      <c r="D273" s="1448">
        <v>59</v>
      </c>
      <c r="E273" s="1448">
        <v>68</v>
      </c>
      <c r="F273" s="1448">
        <v>74</v>
      </c>
      <c r="G273" s="1448">
        <v>75</v>
      </c>
      <c r="H273" s="1448">
        <v>69</v>
      </c>
      <c r="I273" s="1448">
        <v>51</v>
      </c>
      <c r="J273" s="1335">
        <f t="shared" si="18"/>
        <v>78.937189017153571</v>
      </c>
    </row>
    <row r="274" spans="1:10">
      <c r="A274" s="1447" t="s">
        <v>3512</v>
      </c>
      <c r="B274" s="1448">
        <f>B273-4</f>
        <v>34</v>
      </c>
      <c r="C274" s="1448">
        <f t="shared" ref="C274:I274" si="19">C273-4</f>
        <v>38</v>
      </c>
      <c r="D274" s="1448">
        <f t="shared" si="19"/>
        <v>55</v>
      </c>
      <c r="E274" s="1448">
        <f t="shared" si="19"/>
        <v>64</v>
      </c>
      <c r="F274" s="1448">
        <f t="shared" si="19"/>
        <v>70</v>
      </c>
      <c r="G274" s="1448">
        <f t="shared" si="19"/>
        <v>71</v>
      </c>
      <c r="H274" s="1448">
        <f t="shared" si="19"/>
        <v>65</v>
      </c>
      <c r="I274" s="1448">
        <f t="shared" si="19"/>
        <v>47</v>
      </c>
      <c r="J274" s="1335">
        <f t="shared" si="18"/>
        <v>74.937189017153557</v>
      </c>
    </row>
    <row r="275" spans="1:10">
      <c r="A275" s="1447" t="s">
        <v>3513</v>
      </c>
      <c r="B275" s="1448">
        <v>51</v>
      </c>
      <c r="C275" s="1448">
        <v>47</v>
      </c>
      <c r="D275" s="1448">
        <v>58</v>
      </c>
      <c r="E275" s="1448">
        <v>66</v>
      </c>
      <c r="F275" s="1448">
        <v>69</v>
      </c>
      <c r="G275" s="1448">
        <v>71</v>
      </c>
      <c r="H275" s="1448">
        <v>66</v>
      </c>
      <c r="I275" s="1448">
        <v>46</v>
      </c>
      <c r="J275" s="1335">
        <f t="shared" si="18"/>
        <v>74.901268192005574</v>
      </c>
    </row>
    <row r="276" spans="1:10">
      <c r="A276" s="1447" t="s">
        <v>3394</v>
      </c>
      <c r="B276" s="1448">
        <v>89</v>
      </c>
      <c r="C276" s="1448">
        <v>85</v>
      </c>
      <c r="D276" s="1448">
        <v>84</v>
      </c>
      <c r="E276" s="1448">
        <v>83</v>
      </c>
      <c r="F276" s="1448">
        <v>84</v>
      </c>
      <c r="G276" s="1448">
        <v>83</v>
      </c>
      <c r="H276" s="1448">
        <v>78</v>
      </c>
      <c r="I276" s="1448">
        <v>71</v>
      </c>
      <c r="J276" s="1335">
        <f t="shared" si="18"/>
        <v>88.653239877296954</v>
      </c>
    </row>
    <row r="277" spans="1:10">
      <c r="A277" s="1447" t="s">
        <v>3514</v>
      </c>
      <c r="B277" s="1448">
        <v>84</v>
      </c>
      <c r="C277" s="1448">
        <v>81</v>
      </c>
      <c r="D277" s="1448">
        <v>83</v>
      </c>
      <c r="E277" s="1448">
        <v>79</v>
      </c>
      <c r="F277" s="1448">
        <v>80</v>
      </c>
      <c r="G277" s="1448">
        <v>77</v>
      </c>
      <c r="H277" s="1448">
        <v>74</v>
      </c>
      <c r="I277" s="1448">
        <v>66</v>
      </c>
      <c r="J277" s="1335">
        <f>10*LOG(10^((B277-26)/10)+10^((C277-16)/10)+10^((D277-9)/10)+10^((E277-3)/10)+10^(F277/10)+10^((G277+1)/10)+10^((H277+1)/10)+10^((I277-1)/10))</f>
        <v>84.25866017763218</v>
      </c>
    </row>
    <row r="278" spans="1:10">
      <c r="A278" s="1447" t="s">
        <v>3515</v>
      </c>
      <c r="B278" s="1448">
        <v>84</v>
      </c>
      <c r="C278" s="1448">
        <v>81</v>
      </c>
      <c r="D278" s="1448">
        <v>83</v>
      </c>
      <c r="E278" s="1448">
        <v>79</v>
      </c>
      <c r="F278" s="1448">
        <v>80</v>
      </c>
      <c r="G278" s="1448">
        <v>77</v>
      </c>
      <c r="H278" s="1448">
        <v>74</v>
      </c>
      <c r="I278" s="1448">
        <v>66</v>
      </c>
      <c r="J278" s="1335">
        <f>10*LOG(10^((B278-26)/10)+10^((C278-16)/10)+10^((D278-9)/10)+10^((E278-3)/10)+10^(F278/10)+10^((G278+1)/10)+10^((H278+1)/10)+10^((I278-1)/10))</f>
        <v>84.25866017763218</v>
      </c>
    </row>
    <row r="279" spans="1:10">
      <c r="A279" s="1447" t="s">
        <v>3516</v>
      </c>
      <c r="B279" s="1448">
        <v>78</v>
      </c>
      <c r="C279" s="1448">
        <v>72</v>
      </c>
      <c r="D279" s="1448">
        <v>72</v>
      </c>
      <c r="E279" s="1448">
        <v>73</v>
      </c>
      <c r="F279" s="1448">
        <v>77</v>
      </c>
      <c r="G279" s="1448">
        <v>72</v>
      </c>
      <c r="H279" s="1448">
        <v>68</v>
      </c>
      <c r="I279" s="1448">
        <v>60</v>
      </c>
      <c r="J279" s="1335">
        <f>10*LOG(10^((B279-26)/10)+10^((C279-16)/10)+10^((D279-9)/10)+10^((E279-3)/10)+10^(F279/10)+10^((G279+1)/10)+10^((H279+1)/10)+10^((I279-1)/10))</f>
        <v>79.607599693925465</v>
      </c>
    </row>
    <row r="280" spans="1:10">
      <c r="A280" s="1447" t="s">
        <v>3384</v>
      </c>
      <c r="B280" s="1448">
        <v>-7</v>
      </c>
      <c r="C280" s="1448">
        <v>-7</v>
      </c>
      <c r="D280" s="1448">
        <v>-7</v>
      </c>
      <c r="E280" s="1448">
        <v>-7</v>
      </c>
      <c r="F280" s="1448">
        <v>-7</v>
      </c>
      <c r="G280" s="1448">
        <v>-7</v>
      </c>
      <c r="H280" s="1448">
        <v>-7</v>
      </c>
      <c r="I280" s="1448">
        <v>-7</v>
      </c>
      <c r="J280" s="1335">
        <f>10*LOG(10^((B280-26)/10)+10^((C280-16)/10)+10^((D280-9)/10)+10^((E280-3)/10)+10^(F280/10)+10^((G280+1)/10)+10^((H280+1)/10)+10^((I280-1)/10))</f>
        <v>-3.9154944542942292E-2</v>
      </c>
    </row>
    <row r="282" spans="1:10">
      <c r="A282" s="1328" t="s">
        <v>406</v>
      </c>
    </row>
    <row r="283" spans="1:10">
      <c r="A283" s="1328" t="s">
        <v>3517</v>
      </c>
      <c r="B283" s="1338">
        <v>-2</v>
      </c>
      <c r="C283" s="1338">
        <v>-2</v>
      </c>
      <c r="D283" s="1338">
        <v>-4</v>
      </c>
      <c r="E283" s="1338">
        <v>-1</v>
      </c>
      <c r="F283" s="1338">
        <v>-2</v>
      </c>
      <c r="G283" s="1338">
        <v>-2</v>
      </c>
      <c r="H283" s="1338">
        <v>-1</v>
      </c>
      <c r="I283" s="1338">
        <v>-3</v>
      </c>
    </row>
    <row r="284" spans="1:10">
      <c r="A284" s="1328" t="s">
        <v>3518</v>
      </c>
      <c r="B284" s="1337">
        <v>-5</v>
      </c>
      <c r="C284" s="1338">
        <v>-6</v>
      </c>
      <c r="D284" s="1338">
        <v>-8</v>
      </c>
      <c r="E284" s="1338">
        <v>-8</v>
      </c>
      <c r="F284" s="1338">
        <v>-10</v>
      </c>
      <c r="G284" s="1338">
        <v>-10</v>
      </c>
      <c r="H284" s="1338">
        <v>-8</v>
      </c>
      <c r="I284" s="1338">
        <v>-8</v>
      </c>
    </row>
    <row r="285" spans="1:10">
      <c r="A285" s="1328" t="s">
        <v>1506</v>
      </c>
      <c r="B285" s="1338">
        <v>0</v>
      </c>
      <c r="C285" s="1338">
        <v>0</v>
      </c>
      <c r="D285" s="1338">
        <v>-5</v>
      </c>
      <c r="E285" s="1338">
        <v>-3</v>
      </c>
      <c r="F285" s="1338">
        <v>-5</v>
      </c>
      <c r="G285" s="1338">
        <v>-4</v>
      </c>
      <c r="H285" s="1338">
        <v>-4</v>
      </c>
      <c r="I285" s="1338">
        <v>-2</v>
      </c>
    </row>
    <row r="286" spans="1:10">
      <c r="A286" s="1328" t="s">
        <v>3519</v>
      </c>
      <c r="B286" s="1338">
        <v>0</v>
      </c>
      <c r="C286" s="1338">
        <v>0</v>
      </c>
      <c r="D286" s="1338">
        <v>-1</v>
      </c>
      <c r="E286" s="1338">
        <v>-9</v>
      </c>
      <c r="F286" s="1338">
        <v>-11</v>
      </c>
      <c r="G286" s="1338">
        <v>-11</v>
      </c>
      <c r="H286" s="1338">
        <v>-9</v>
      </c>
      <c r="I286" s="1338">
        <v>-6</v>
      </c>
    </row>
    <row r="287" spans="1:10">
      <c r="A287" s="1328" t="s">
        <v>3384</v>
      </c>
      <c r="B287" s="1338">
        <v>0</v>
      </c>
      <c r="C287" s="1338">
        <v>0</v>
      </c>
      <c r="D287" s="1338">
        <v>0</v>
      </c>
      <c r="E287" s="1338">
        <v>0</v>
      </c>
      <c r="F287" s="1338">
        <v>0</v>
      </c>
      <c r="G287" s="1338">
        <v>0</v>
      </c>
      <c r="H287" s="1338">
        <v>0</v>
      </c>
      <c r="I287" s="1338">
        <v>0</v>
      </c>
    </row>
    <row r="288" spans="1:10">
      <c r="B288" s="1338"/>
      <c r="C288" s="1338"/>
      <c r="D288" s="1338"/>
      <c r="E288" s="1338"/>
      <c r="F288" s="1338"/>
      <c r="G288" s="1338"/>
      <c r="H288" s="1338"/>
      <c r="I288" s="1338"/>
    </row>
    <row r="289" spans="2:9">
      <c r="B289" s="1338"/>
      <c r="C289" s="1338"/>
      <c r="D289" s="1338"/>
      <c r="E289" s="1338"/>
      <c r="F289" s="1338"/>
      <c r="G289" s="1338"/>
      <c r="H289" s="1338"/>
      <c r="I289" s="1338"/>
    </row>
    <row r="290" spans="2:9">
      <c r="B290" s="1338"/>
      <c r="C290" s="1338"/>
      <c r="D290" s="1338"/>
      <c r="E290" s="1338"/>
      <c r="F290" s="1338"/>
      <c r="G290" s="1338"/>
      <c r="H290" s="1338"/>
      <c r="I290" s="1338"/>
    </row>
    <row r="291" spans="2:9">
      <c r="B291" s="1443">
        <v>52</v>
      </c>
      <c r="C291" s="1443">
        <v>56</v>
      </c>
      <c r="D291" s="1443">
        <v>63</v>
      </c>
      <c r="E291" s="1443">
        <v>70</v>
      </c>
      <c r="F291" s="1443">
        <v>77</v>
      </c>
      <c r="G291" s="1443">
        <v>73</v>
      </c>
      <c r="H291" s="1443">
        <v>69</v>
      </c>
      <c r="I291" s="1443">
        <v>59</v>
      </c>
    </row>
    <row r="292" spans="2:9">
      <c r="B292" s="1338"/>
      <c r="C292" s="1338"/>
      <c r="D292" s="1338"/>
      <c r="E292" s="1338"/>
      <c r="F292" s="1338"/>
      <c r="G292" s="1338"/>
      <c r="H292" s="1338"/>
      <c r="I292" s="1338"/>
    </row>
    <row r="293" spans="2:9">
      <c r="B293" s="1338"/>
      <c r="C293" s="1338"/>
      <c r="D293" s="1338"/>
      <c r="E293" s="1338"/>
      <c r="F293" s="1338"/>
      <c r="G293" s="1338"/>
      <c r="H293" s="1338"/>
      <c r="I293" s="1338"/>
    </row>
    <row r="294" spans="2:9">
      <c r="B294" s="1338"/>
      <c r="C294" s="1338"/>
      <c r="D294" s="1338"/>
      <c r="E294" s="1338"/>
      <c r="F294" s="1338"/>
      <c r="G294" s="1338"/>
      <c r="H294" s="1338"/>
      <c r="I294" s="1338"/>
    </row>
    <row r="295" spans="2:9">
      <c r="B295" s="1338"/>
      <c r="C295" s="1338"/>
      <c r="D295" s="1338"/>
      <c r="E295" s="1338"/>
      <c r="F295" s="1338"/>
      <c r="G295" s="1338"/>
      <c r="H295" s="1338"/>
      <c r="I295" s="1338"/>
    </row>
    <row r="296" spans="2:9">
      <c r="B296" s="1338"/>
      <c r="C296" s="1338"/>
      <c r="D296" s="1338"/>
      <c r="E296" s="1338"/>
      <c r="F296" s="1338"/>
      <c r="G296" s="1338"/>
      <c r="H296" s="1338"/>
      <c r="I296" s="1338"/>
    </row>
  </sheetData>
  <mergeCells count="10">
    <mergeCell ref="E28:F28"/>
    <mergeCell ref="G28:H28"/>
    <mergeCell ref="N28:O28"/>
    <mergeCell ref="S22:AC22"/>
    <mergeCell ref="E26:F26"/>
    <mergeCell ref="G26:H26"/>
    <mergeCell ref="N26:O26"/>
    <mergeCell ref="E27:F27"/>
    <mergeCell ref="G27:H27"/>
    <mergeCell ref="N27:O27"/>
  </mergeCells>
  <dataValidations disablePrompts="1" count="8">
    <dataValidation type="list" allowBlank="1" showInputMessage="1" showErrorMessage="1" sqref="B21 IX21 ST21 ACP21 AML21 AWH21 BGD21 BPZ21 BZV21 CJR21 CTN21 DDJ21 DNF21 DXB21 EGX21 EQT21 FAP21 FKL21 FUH21 GED21 GNZ21 GXV21 HHR21 HRN21 IBJ21 ILF21 IVB21 JEX21 JOT21 JYP21 KIL21 KSH21 LCD21 LLZ21 LVV21 MFR21 MPN21 MZJ21 NJF21 NTB21 OCX21 OMT21 OWP21 PGL21 PQH21 QAD21 QJZ21 QTV21 RDR21 RNN21 RXJ21 SHF21 SRB21 TAX21 TKT21 TUP21 UEL21 UOH21 UYD21 VHZ21 VRV21 WBR21 WLN21 WVJ21 B65557 IX65557 ST65557 ACP65557 AML65557 AWH65557 BGD65557 BPZ65557 BZV65557 CJR65557 CTN65557 DDJ65557 DNF65557 DXB65557 EGX65557 EQT65557 FAP65557 FKL65557 FUH65557 GED65557 GNZ65557 GXV65557 HHR65557 HRN65557 IBJ65557 ILF65557 IVB65557 JEX65557 JOT65557 JYP65557 KIL65557 KSH65557 LCD65557 LLZ65557 LVV65557 MFR65557 MPN65557 MZJ65557 NJF65557 NTB65557 OCX65557 OMT65557 OWP65557 PGL65557 PQH65557 QAD65557 QJZ65557 QTV65557 RDR65557 RNN65557 RXJ65557 SHF65557 SRB65557 TAX65557 TKT65557 TUP65557 UEL65557 UOH65557 UYD65557 VHZ65557 VRV65557 WBR65557 WLN65557 WVJ65557 B131093 IX131093 ST131093 ACP131093 AML131093 AWH131093 BGD131093 BPZ131093 BZV131093 CJR131093 CTN131093 DDJ131093 DNF131093 DXB131093 EGX131093 EQT131093 FAP131093 FKL131093 FUH131093 GED131093 GNZ131093 GXV131093 HHR131093 HRN131093 IBJ131093 ILF131093 IVB131093 JEX131093 JOT131093 JYP131093 KIL131093 KSH131093 LCD131093 LLZ131093 LVV131093 MFR131093 MPN131093 MZJ131093 NJF131093 NTB131093 OCX131093 OMT131093 OWP131093 PGL131093 PQH131093 QAD131093 QJZ131093 QTV131093 RDR131093 RNN131093 RXJ131093 SHF131093 SRB131093 TAX131093 TKT131093 TUP131093 UEL131093 UOH131093 UYD131093 VHZ131093 VRV131093 WBR131093 WLN131093 WVJ131093 B196629 IX196629 ST196629 ACP196629 AML196629 AWH196629 BGD196629 BPZ196629 BZV196629 CJR196629 CTN196629 DDJ196629 DNF196629 DXB196629 EGX196629 EQT196629 FAP196629 FKL196629 FUH196629 GED196629 GNZ196629 GXV196629 HHR196629 HRN196629 IBJ196629 ILF196629 IVB196629 JEX196629 JOT196629 JYP196629 KIL196629 KSH196629 LCD196629 LLZ196629 LVV196629 MFR196629 MPN196629 MZJ196629 NJF196629 NTB196629 OCX196629 OMT196629 OWP196629 PGL196629 PQH196629 QAD196629 QJZ196629 QTV196629 RDR196629 RNN196629 RXJ196629 SHF196629 SRB196629 TAX196629 TKT196629 TUP196629 UEL196629 UOH196629 UYD196629 VHZ196629 VRV196629 WBR196629 WLN196629 WVJ196629 B262165 IX262165 ST262165 ACP262165 AML262165 AWH262165 BGD262165 BPZ262165 BZV262165 CJR262165 CTN262165 DDJ262165 DNF262165 DXB262165 EGX262165 EQT262165 FAP262165 FKL262165 FUH262165 GED262165 GNZ262165 GXV262165 HHR262165 HRN262165 IBJ262165 ILF262165 IVB262165 JEX262165 JOT262165 JYP262165 KIL262165 KSH262165 LCD262165 LLZ262165 LVV262165 MFR262165 MPN262165 MZJ262165 NJF262165 NTB262165 OCX262165 OMT262165 OWP262165 PGL262165 PQH262165 QAD262165 QJZ262165 QTV262165 RDR262165 RNN262165 RXJ262165 SHF262165 SRB262165 TAX262165 TKT262165 TUP262165 UEL262165 UOH262165 UYD262165 VHZ262165 VRV262165 WBR262165 WLN262165 WVJ262165 B327701 IX327701 ST327701 ACP327701 AML327701 AWH327701 BGD327701 BPZ327701 BZV327701 CJR327701 CTN327701 DDJ327701 DNF327701 DXB327701 EGX327701 EQT327701 FAP327701 FKL327701 FUH327701 GED327701 GNZ327701 GXV327701 HHR327701 HRN327701 IBJ327701 ILF327701 IVB327701 JEX327701 JOT327701 JYP327701 KIL327701 KSH327701 LCD327701 LLZ327701 LVV327701 MFR327701 MPN327701 MZJ327701 NJF327701 NTB327701 OCX327701 OMT327701 OWP327701 PGL327701 PQH327701 QAD327701 QJZ327701 QTV327701 RDR327701 RNN327701 RXJ327701 SHF327701 SRB327701 TAX327701 TKT327701 TUP327701 UEL327701 UOH327701 UYD327701 VHZ327701 VRV327701 WBR327701 WLN327701 WVJ327701 B393237 IX393237 ST393237 ACP393237 AML393237 AWH393237 BGD393237 BPZ393237 BZV393237 CJR393237 CTN393237 DDJ393237 DNF393237 DXB393237 EGX393237 EQT393237 FAP393237 FKL393237 FUH393237 GED393237 GNZ393237 GXV393237 HHR393237 HRN393237 IBJ393237 ILF393237 IVB393237 JEX393237 JOT393237 JYP393237 KIL393237 KSH393237 LCD393237 LLZ393237 LVV393237 MFR393237 MPN393237 MZJ393237 NJF393237 NTB393237 OCX393237 OMT393237 OWP393237 PGL393237 PQH393237 QAD393237 QJZ393237 QTV393237 RDR393237 RNN393237 RXJ393237 SHF393237 SRB393237 TAX393237 TKT393237 TUP393237 UEL393237 UOH393237 UYD393237 VHZ393237 VRV393237 WBR393237 WLN393237 WVJ393237 B458773 IX458773 ST458773 ACP458773 AML458773 AWH458773 BGD458773 BPZ458773 BZV458773 CJR458773 CTN458773 DDJ458773 DNF458773 DXB458773 EGX458773 EQT458773 FAP458773 FKL458773 FUH458773 GED458773 GNZ458773 GXV458773 HHR458773 HRN458773 IBJ458773 ILF458773 IVB458773 JEX458773 JOT458773 JYP458773 KIL458773 KSH458773 LCD458773 LLZ458773 LVV458773 MFR458773 MPN458773 MZJ458773 NJF458773 NTB458773 OCX458773 OMT458773 OWP458773 PGL458773 PQH458773 QAD458773 QJZ458773 QTV458773 RDR458773 RNN458773 RXJ458773 SHF458773 SRB458773 TAX458773 TKT458773 TUP458773 UEL458773 UOH458773 UYD458773 VHZ458773 VRV458773 WBR458773 WLN458773 WVJ458773 B524309 IX524309 ST524309 ACP524309 AML524309 AWH524309 BGD524309 BPZ524309 BZV524309 CJR524309 CTN524309 DDJ524309 DNF524309 DXB524309 EGX524309 EQT524309 FAP524309 FKL524309 FUH524309 GED524309 GNZ524309 GXV524309 HHR524309 HRN524309 IBJ524309 ILF524309 IVB524309 JEX524309 JOT524309 JYP524309 KIL524309 KSH524309 LCD524309 LLZ524309 LVV524309 MFR524309 MPN524309 MZJ524309 NJF524309 NTB524309 OCX524309 OMT524309 OWP524309 PGL524309 PQH524309 QAD524309 QJZ524309 QTV524309 RDR524309 RNN524309 RXJ524309 SHF524309 SRB524309 TAX524309 TKT524309 TUP524309 UEL524309 UOH524309 UYD524309 VHZ524309 VRV524309 WBR524309 WLN524309 WVJ524309 B589845 IX589845 ST589845 ACP589845 AML589845 AWH589845 BGD589845 BPZ589845 BZV589845 CJR589845 CTN589845 DDJ589845 DNF589845 DXB589845 EGX589845 EQT589845 FAP589845 FKL589845 FUH589845 GED589845 GNZ589845 GXV589845 HHR589845 HRN589845 IBJ589845 ILF589845 IVB589845 JEX589845 JOT589845 JYP589845 KIL589845 KSH589845 LCD589845 LLZ589845 LVV589845 MFR589845 MPN589845 MZJ589845 NJF589845 NTB589845 OCX589845 OMT589845 OWP589845 PGL589845 PQH589845 QAD589845 QJZ589845 QTV589845 RDR589845 RNN589845 RXJ589845 SHF589845 SRB589845 TAX589845 TKT589845 TUP589845 UEL589845 UOH589845 UYD589845 VHZ589845 VRV589845 WBR589845 WLN589845 WVJ589845 B655381 IX655381 ST655381 ACP655381 AML655381 AWH655381 BGD655381 BPZ655381 BZV655381 CJR655381 CTN655381 DDJ655381 DNF655381 DXB655381 EGX655381 EQT655381 FAP655381 FKL655381 FUH655381 GED655381 GNZ655381 GXV655381 HHR655381 HRN655381 IBJ655381 ILF655381 IVB655381 JEX655381 JOT655381 JYP655381 KIL655381 KSH655381 LCD655381 LLZ655381 LVV655381 MFR655381 MPN655381 MZJ655381 NJF655381 NTB655381 OCX655381 OMT655381 OWP655381 PGL655381 PQH655381 QAD655381 QJZ655381 QTV655381 RDR655381 RNN655381 RXJ655381 SHF655381 SRB655381 TAX655381 TKT655381 TUP655381 UEL655381 UOH655381 UYD655381 VHZ655381 VRV655381 WBR655381 WLN655381 WVJ655381 B720917 IX720917 ST720917 ACP720917 AML720917 AWH720917 BGD720917 BPZ720917 BZV720917 CJR720917 CTN720917 DDJ720917 DNF720917 DXB720917 EGX720917 EQT720917 FAP720917 FKL720917 FUH720917 GED720917 GNZ720917 GXV720917 HHR720917 HRN720917 IBJ720917 ILF720917 IVB720917 JEX720917 JOT720917 JYP720917 KIL720917 KSH720917 LCD720917 LLZ720917 LVV720917 MFR720917 MPN720917 MZJ720917 NJF720917 NTB720917 OCX720917 OMT720917 OWP720917 PGL720917 PQH720917 QAD720917 QJZ720917 QTV720917 RDR720917 RNN720917 RXJ720917 SHF720917 SRB720917 TAX720917 TKT720917 TUP720917 UEL720917 UOH720917 UYD720917 VHZ720917 VRV720917 WBR720917 WLN720917 WVJ720917 B786453 IX786453 ST786453 ACP786453 AML786453 AWH786453 BGD786453 BPZ786453 BZV786453 CJR786453 CTN786453 DDJ786453 DNF786453 DXB786453 EGX786453 EQT786453 FAP786453 FKL786453 FUH786453 GED786453 GNZ786453 GXV786453 HHR786453 HRN786453 IBJ786453 ILF786453 IVB786453 JEX786453 JOT786453 JYP786453 KIL786453 KSH786453 LCD786453 LLZ786453 LVV786453 MFR786453 MPN786453 MZJ786453 NJF786453 NTB786453 OCX786453 OMT786453 OWP786453 PGL786453 PQH786453 QAD786453 QJZ786453 QTV786453 RDR786453 RNN786453 RXJ786453 SHF786453 SRB786453 TAX786453 TKT786453 TUP786453 UEL786453 UOH786453 UYD786453 VHZ786453 VRV786453 WBR786453 WLN786453 WVJ786453 B851989 IX851989 ST851989 ACP851989 AML851989 AWH851989 BGD851989 BPZ851989 BZV851989 CJR851989 CTN851989 DDJ851989 DNF851989 DXB851989 EGX851989 EQT851989 FAP851989 FKL851989 FUH851989 GED851989 GNZ851989 GXV851989 HHR851989 HRN851989 IBJ851989 ILF851989 IVB851989 JEX851989 JOT851989 JYP851989 KIL851989 KSH851989 LCD851989 LLZ851989 LVV851989 MFR851989 MPN851989 MZJ851989 NJF851989 NTB851989 OCX851989 OMT851989 OWP851989 PGL851989 PQH851989 QAD851989 QJZ851989 QTV851989 RDR851989 RNN851989 RXJ851989 SHF851989 SRB851989 TAX851989 TKT851989 TUP851989 UEL851989 UOH851989 UYD851989 VHZ851989 VRV851989 WBR851989 WLN851989 WVJ851989 B917525 IX917525 ST917525 ACP917525 AML917525 AWH917525 BGD917525 BPZ917525 BZV917525 CJR917525 CTN917525 DDJ917525 DNF917525 DXB917525 EGX917525 EQT917525 FAP917525 FKL917525 FUH917525 GED917525 GNZ917525 GXV917525 HHR917525 HRN917525 IBJ917525 ILF917525 IVB917525 JEX917525 JOT917525 JYP917525 KIL917525 KSH917525 LCD917525 LLZ917525 LVV917525 MFR917525 MPN917525 MZJ917525 NJF917525 NTB917525 OCX917525 OMT917525 OWP917525 PGL917525 PQH917525 QAD917525 QJZ917525 QTV917525 RDR917525 RNN917525 RXJ917525 SHF917525 SRB917525 TAX917525 TKT917525 TUP917525 UEL917525 UOH917525 UYD917525 VHZ917525 VRV917525 WBR917525 WLN917525 WVJ917525 B983061 IX983061 ST983061 ACP983061 AML983061 AWH983061 BGD983061 BPZ983061 BZV983061 CJR983061 CTN983061 DDJ983061 DNF983061 DXB983061 EGX983061 EQT983061 FAP983061 FKL983061 FUH983061 GED983061 GNZ983061 GXV983061 HHR983061 HRN983061 IBJ983061 ILF983061 IVB983061 JEX983061 JOT983061 JYP983061 KIL983061 KSH983061 LCD983061 LLZ983061 LVV983061 MFR983061 MPN983061 MZJ983061 NJF983061 NTB983061 OCX983061 OMT983061 OWP983061 PGL983061 PQH983061 QAD983061 QJZ983061 QTV983061 RDR983061 RNN983061 RXJ983061 SHF983061 SRB983061 TAX983061 TKT983061 TUP983061 UEL983061 UOH983061 UYD983061 VHZ983061 VRV983061 WBR983061 WLN983061 WVJ983061" xr:uid="{6D80B0CD-DAFC-4A8C-85A3-409A812474B6}">
      <formula1>$A$283:$A$287</formula1>
    </dataValidation>
    <dataValidation type="list" allowBlank="1" showInputMessage="1" showErrorMessage="1" sqref="B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B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B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B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B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B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B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B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B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B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B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B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B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B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B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B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xr:uid="{89A213BF-67C7-4556-8026-A824C42937FF}">
      <formula1>$A$269:$A$280</formula1>
    </dataValidation>
    <dataValidation type="list" allowBlank="1" showInputMessage="1" showErrorMessage="1" sqref="C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C65555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C131091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C196627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C262163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C327699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C393235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C458771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C524307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C589843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C655379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C720915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C786451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C851987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C917523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C983059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xr:uid="{4BF278EB-90A4-4EDE-AC54-544C0FFD3900}">
      <formula1>$B$245:$B$260</formula1>
    </dataValidation>
    <dataValidation type="list" allowBlank="1" showInputMessage="1" showErrorMessage="1" sqref="B6:B7 IX6:IX7 ST6:ST7 ACP6:ACP7 AML6:AML7 AWH6:AWH7 BGD6:BGD7 BPZ6:BPZ7 BZV6:BZV7 CJR6:CJR7 CTN6:CTN7 DDJ6:DDJ7 DNF6:DNF7 DXB6:DXB7 EGX6:EGX7 EQT6:EQT7 FAP6:FAP7 FKL6:FKL7 FUH6:FUH7 GED6:GED7 GNZ6:GNZ7 GXV6:GXV7 HHR6:HHR7 HRN6:HRN7 IBJ6:IBJ7 ILF6:ILF7 IVB6:IVB7 JEX6:JEX7 JOT6:JOT7 JYP6:JYP7 KIL6:KIL7 KSH6:KSH7 LCD6:LCD7 LLZ6:LLZ7 LVV6:LVV7 MFR6:MFR7 MPN6:MPN7 MZJ6:MZJ7 NJF6:NJF7 NTB6:NTB7 OCX6:OCX7 OMT6:OMT7 OWP6:OWP7 PGL6:PGL7 PQH6:PQH7 QAD6:QAD7 QJZ6:QJZ7 QTV6:QTV7 RDR6:RDR7 RNN6:RNN7 RXJ6:RXJ7 SHF6:SHF7 SRB6:SRB7 TAX6:TAX7 TKT6:TKT7 TUP6:TUP7 UEL6:UEL7 UOH6:UOH7 UYD6:UYD7 VHZ6:VHZ7 VRV6:VRV7 WBR6:WBR7 WLN6:WLN7 WVJ6:WVJ7 B65542:B65543 IX65542:IX65543 ST65542:ST65543 ACP65542:ACP65543 AML65542:AML65543 AWH65542:AWH65543 BGD65542:BGD65543 BPZ65542:BPZ65543 BZV65542:BZV65543 CJR65542:CJR65543 CTN65542:CTN65543 DDJ65542:DDJ65543 DNF65542:DNF65543 DXB65542:DXB65543 EGX65542:EGX65543 EQT65542:EQT65543 FAP65542:FAP65543 FKL65542:FKL65543 FUH65542:FUH65543 GED65542:GED65543 GNZ65542:GNZ65543 GXV65542:GXV65543 HHR65542:HHR65543 HRN65542:HRN65543 IBJ65542:IBJ65543 ILF65542:ILF65543 IVB65542:IVB65543 JEX65542:JEX65543 JOT65542:JOT65543 JYP65542:JYP65543 KIL65542:KIL65543 KSH65542:KSH65543 LCD65542:LCD65543 LLZ65542:LLZ65543 LVV65542:LVV65543 MFR65542:MFR65543 MPN65542:MPN65543 MZJ65542:MZJ65543 NJF65542:NJF65543 NTB65542:NTB65543 OCX65542:OCX65543 OMT65542:OMT65543 OWP65542:OWP65543 PGL65542:PGL65543 PQH65542:PQH65543 QAD65542:QAD65543 QJZ65542:QJZ65543 QTV65542:QTV65543 RDR65542:RDR65543 RNN65542:RNN65543 RXJ65542:RXJ65543 SHF65542:SHF65543 SRB65542:SRB65543 TAX65542:TAX65543 TKT65542:TKT65543 TUP65542:TUP65543 UEL65542:UEL65543 UOH65542:UOH65543 UYD65542:UYD65543 VHZ65542:VHZ65543 VRV65542:VRV65543 WBR65542:WBR65543 WLN65542:WLN65543 WVJ65542:WVJ65543 B131078:B131079 IX131078:IX131079 ST131078:ST131079 ACP131078:ACP131079 AML131078:AML131079 AWH131078:AWH131079 BGD131078:BGD131079 BPZ131078:BPZ131079 BZV131078:BZV131079 CJR131078:CJR131079 CTN131078:CTN131079 DDJ131078:DDJ131079 DNF131078:DNF131079 DXB131078:DXB131079 EGX131078:EGX131079 EQT131078:EQT131079 FAP131078:FAP131079 FKL131078:FKL131079 FUH131078:FUH131079 GED131078:GED131079 GNZ131078:GNZ131079 GXV131078:GXV131079 HHR131078:HHR131079 HRN131078:HRN131079 IBJ131078:IBJ131079 ILF131078:ILF131079 IVB131078:IVB131079 JEX131078:JEX131079 JOT131078:JOT131079 JYP131078:JYP131079 KIL131078:KIL131079 KSH131078:KSH131079 LCD131078:LCD131079 LLZ131078:LLZ131079 LVV131078:LVV131079 MFR131078:MFR131079 MPN131078:MPN131079 MZJ131078:MZJ131079 NJF131078:NJF131079 NTB131078:NTB131079 OCX131078:OCX131079 OMT131078:OMT131079 OWP131078:OWP131079 PGL131078:PGL131079 PQH131078:PQH131079 QAD131078:QAD131079 QJZ131078:QJZ131079 QTV131078:QTV131079 RDR131078:RDR131079 RNN131078:RNN131079 RXJ131078:RXJ131079 SHF131078:SHF131079 SRB131078:SRB131079 TAX131078:TAX131079 TKT131078:TKT131079 TUP131078:TUP131079 UEL131078:UEL131079 UOH131078:UOH131079 UYD131078:UYD131079 VHZ131078:VHZ131079 VRV131078:VRV131079 WBR131078:WBR131079 WLN131078:WLN131079 WVJ131078:WVJ131079 B196614:B196615 IX196614:IX196615 ST196614:ST196615 ACP196614:ACP196615 AML196614:AML196615 AWH196614:AWH196615 BGD196614:BGD196615 BPZ196614:BPZ196615 BZV196614:BZV196615 CJR196614:CJR196615 CTN196614:CTN196615 DDJ196614:DDJ196615 DNF196614:DNF196615 DXB196614:DXB196615 EGX196614:EGX196615 EQT196614:EQT196615 FAP196614:FAP196615 FKL196614:FKL196615 FUH196614:FUH196615 GED196614:GED196615 GNZ196614:GNZ196615 GXV196614:GXV196615 HHR196614:HHR196615 HRN196614:HRN196615 IBJ196614:IBJ196615 ILF196614:ILF196615 IVB196614:IVB196615 JEX196614:JEX196615 JOT196614:JOT196615 JYP196614:JYP196615 KIL196614:KIL196615 KSH196614:KSH196615 LCD196614:LCD196615 LLZ196614:LLZ196615 LVV196614:LVV196615 MFR196614:MFR196615 MPN196614:MPN196615 MZJ196614:MZJ196615 NJF196614:NJF196615 NTB196614:NTB196615 OCX196614:OCX196615 OMT196614:OMT196615 OWP196614:OWP196615 PGL196614:PGL196615 PQH196614:PQH196615 QAD196614:QAD196615 QJZ196614:QJZ196615 QTV196614:QTV196615 RDR196614:RDR196615 RNN196614:RNN196615 RXJ196614:RXJ196615 SHF196614:SHF196615 SRB196614:SRB196615 TAX196614:TAX196615 TKT196614:TKT196615 TUP196614:TUP196615 UEL196614:UEL196615 UOH196614:UOH196615 UYD196614:UYD196615 VHZ196614:VHZ196615 VRV196614:VRV196615 WBR196614:WBR196615 WLN196614:WLN196615 WVJ196614:WVJ196615 B262150:B262151 IX262150:IX262151 ST262150:ST262151 ACP262150:ACP262151 AML262150:AML262151 AWH262150:AWH262151 BGD262150:BGD262151 BPZ262150:BPZ262151 BZV262150:BZV262151 CJR262150:CJR262151 CTN262150:CTN262151 DDJ262150:DDJ262151 DNF262150:DNF262151 DXB262150:DXB262151 EGX262150:EGX262151 EQT262150:EQT262151 FAP262150:FAP262151 FKL262150:FKL262151 FUH262150:FUH262151 GED262150:GED262151 GNZ262150:GNZ262151 GXV262150:GXV262151 HHR262150:HHR262151 HRN262150:HRN262151 IBJ262150:IBJ262151 ILF262150:ILF262151 IVB262150:IVB262151 JEX262150:JEX262151 JOT262150:JOT262151 JYP262150:JYP262151 KIL262150:KIL262151 KSH262150:KSH262151 LCD262150:LCD262151 LLZ262150:LLZ262151 LVV262150:LVV262151 MFR262150:MFR262151 MPN262150:MPN262151 MZJ262150:MZJ262151 NJF262150:NJF262151 NTB262150:NTB262151 OCX262150:OCX262151 OMT262150:OMT262151 OWP262150:OWP262151 PGL262150:PGL262151 PQH262150:PQH262151 QAD262150:QAD262151 QJZ262150:QJZ262151 QTV262150:QTV262151 RDR262150:RDR262151 RNN262150:RNN262151 RXJ262150:RXJ262151 SHF262150:SHF262151 SRB262150:SRB262151 TAX262150:TAX262151 TKT262150:TKT262151 TUP262150:TUP262151 UEL262150:UEL262151 UOH262150:UOH262151 UYD262150:UYD262151 VHZ262150:VHZ262151 VRV262150:VRV262151 WBR262150:WBR262151 WLN262150:WLN262151 WVJ262150:WVJ262151 B327686:B327687 IX327686:IX327687 ST327686:ST327687 ACP327686:ACP327687 AML327686:AML327687 AWH327686:AWH327687 BGD327686:BGD327687 BPZ327686:BPZ327687 BZV327686:BZV327687 CJR327686:CJR327687 CTN327686:CTN327687 DDJ327686:DDJ327687 DNF327686:DNF327687 DXB327686:DXB327687 EGX327686:EGX327687 EQT327686:EQT327687 FAP327686:FAP327687 FKL327686:FKL327687 FUH327686:FUH327687 GED327686:GED327687 GNZ327686:GNZ327687 GXV327686:GXV327687 HHR327686:HHR327687 HRN327686:HRN327687 IBJ327686:IBJ327687 ILF327686:ILF327687 IVB327686:IVB327687 JEX327686:JEX327687 JOT327686:JOT327687 JYP327686:JYP327687 KIL327686:KIL327687 KSH327686:KSH327687 LCD327686:LCD327687 LLZ327686:LLZ327687 LVV327686:LVV327687 MFR327686:MFR327687 MPN327686:MPN327687 MZJ327686:MZJ327687 NJF327686:NJF327687 NTB327686:NTB327687 OCX327686:OCX327687 OMT327686:OMT327687 OWP327686:OWP327687 PGL327686:PGL327687 PQH327686:PQH327687 QAD327686:QAD327687 QJZ327686:QJZ327687 QTV327686:QTV327687 RDR327686:RDR327687 RNN327686:RNN327687 RXJ327686:RXJ327687 SHF327686:SHF327687 SRB327686:SRB327687 TAX327686:TAX327687 TKT327686:TKT327687 TUP327686:TUP327687 UEL327686:UEL327687 UOH327686:UOH327687 UYD327686:UYD327687 VHZ327686:VHZ327687 VRV327686:VRV327687 WBR327686:WBR327687 WLN327686:WLN327687 WVJ327686:WVJ327687 B393222:B393223 IX393222:IX393223 ST393222:ST393223 ACP393222:ACP393223 AML393222:AML393223 AWH393222:AWH393223 BGD393222:BGD393223 BPZ393222:BPZ393223 BZV393222:BZV393223 CJR393222:CJR393223 CTN393222:CTN393223 DDJ393222:DDJ393223 DNF393222:DNF393223 DXB393222:DXB393223 EGX393222:EGX393223 EQT393222:EQT393223 FAP393222:FAP393223 FKL393222:FKL393223 FUH393222:FUH393223 GED393222:GED393223 GNZ393222:GNZ393223 GXV393222:GXV393223 HHR393222:HHR393223 HRN393222:HRN393223 IBJ393222:IBJ393223 ILF393222:ILF393223 IVB393222:IVB393223 JEX393222:JEX393223 JOT393222:JOT393223 JYP393222:JYP393223 KIL393222:KIL393223 KSH393222:KSH393223 LCD393222:LCD393223 LLZ393222:LLZ393223 LVV393222:LVV393223 MFR393222:MFR393223 MPN393222:MPN393223 MZJ393222:MZJ393223 NJF393222:NJF393223 NTB393222:NTB393223 OCX393222:OCX393223 OMT393222:OMT393223 OWP393222:OWP393223 PGL393222:PGL393223 PQH393222:PQH393223 QAD393222:QAD393223 QJZ393222:QJZ393223 QTV393222:QTV393223 RDR393222:RDR393223 RNN393222:RNN393223 RXJ393222:RXJ393223 SHF393222:SHF393223 SRB393222:SRB393223 TAX393222:TAX393223 TKT393222:TKT393223 TUP393222:TUP393223 UEL393222:UEL393223 UOH393222:UOH393223 UYD393222:UYD393223 VHZ393222:VHZ393223 VRV393222:VRV393223 WBR393222:WBR393223 WLN393222:WLN393223 WVJ393222:WVJ393223 B458758:B458759 IX458758:IX458759 ST458758:ST458759 ACP458758:ACP458759 AML458758:AML458759 AWH458758:AWH458759 BGD458758:BGD458759 BPZ458758:BPZ458759 BZV458758:BZV458759 CJR458758:CJR458759 CTN458758:CTN458759 DDJ458758:DDJ458759 DNF458758:DNF458759 DXB458758:DXB458759 EGX458758:EGX458759 EQT458758:EQT458759 FAP458758:FAP458759 FKL458758:FKL458759 FUH458758:FUH458759 GED458758:GED458759 GNZ458758:GNZ458759 GXV458758:GXV458759 HHR458758:HHR458759 HRN458758:HRN458759 IBJ458758:IBJ458759 ILF458758:ILF458759 IVB458758:IVB458759 JEX458758:JEX458759 JOT458758:JOT458759 JYP458758:JYP458759 KIL458758:KIL458759 KSH458758:KSH458759 LCD458758:LCD458759 LLZ458758:LLZ458759 LVV458758:LVV458759 MFR458758:MFR458759 MPN458758:MPN458759 MZJ458758:MZJ458759 NJF458758:NJF458759 NTB458758:NTB458759 OCX458758:OCX458759 OMT458758:OMT458759 OWP458758:OWP458759 PGL458758:PGL458759 PQH458758:PQH458759 QAD458758:QAD458759 QJZ458758:QJZ458759 QTV458758:QTV458759 RDR458758:RDR458759 RNN458758:RNN458759 RXJ458758:RXJ458759 SHF458758:SHF458759 SRB458758:SRB458759 TAX458758:TAX458759 TKT458758:TKT458759 TUP458758:TUP458759 UEL458758:UEL458759 UOH458758:UOH458759 UYD458758:UYD458759 VHZ458758:VHZ458759 VRV458758:VRV458759 WBR458758:WBR458759 WLN458758:WLN458759 WVJ458758:WVJ458759 B524294:B524295 IX524294:IX524295 ST524294:ST524295 ACP524294:ACP524295 AML524294:AML524295 AWH524294:AWH524295 BGD524294:BGD524295 BPZ524294:BPZ524295 BZV524294:BZV524295 CJR524294:CJR524295 CTN524294:CTN524295 DDJ524294:DDJ524295 DNF524294:DNF524295 DXB524294:DXB524295 EGX524294:EGX524295 EQT524294:EQT524295 FAP524294:FAP524295 FKL524294:FKL524295 FUH524294:FUH524295 GED524294:GED524295 GNZ524294:GNZ524295 GXV524294:GXV524295 HHR524294:HHR524295 HRN524294:HRN524295 IBJ524294:IBJ524295 ILF524294:ILF524295 IVB524294:IVB524295 JEX524294:JEX524295 JOT524294:JOT524295 JYP524294:JYP524295 KIL524294:KIL524295 KSH524294:KSH524295 LCD524294:LCD524295 LLZ524294:LLZ524295 LVV524294:LVV524295 MFR524294:MFR524295 MPN524294:MPN524295 MZJ524294:MZJ524295 NJF524294:NJF524295 NTB524294:NTB524295 OCX524294:OCX524295 OMT524294:OMT524295 OWP524294:OWP524295 PGL524294:PGL524295 PQH524294:PQH524295 QAD524294:QAD524295 QJZ524294:QJZ524295 QTV524294:QTV524295 RDR524294:RDR524295 RNN524294:RNN524295 RXJ524294:RXJ524295 SHF524294:SHF524295 SRB524294:SRB524295 TAX524294:TAX524295 TKT524294:TKT524295 TUP524294:TUP524295 UEL524294:UEL524295 UOH524294:UOH524295 UYD524294:UYD524295 VHZ524294:VHZ524295 VRV524294:VRV524295 WBR524294:WBR524295 WLN524294:WLN524295 WVJ524294:WVJ524295 B589830:B589831 IX589830:IX589831 ST589830:ST589831 ACP589830:ACP589831 AML589830:AML589831 AWH589830:AWH589831 BGD589830:BGD589831 BPZ589830:BPZ589831 BZV589830:BZV589831 CJR589830:CJR589831 CTN589830:CTN589831 DDJ589830:DDJ589831 DNF589830:DNF589831 DXB589830:DXB589831 EGX589830:EGX589831 EQT589830:EQT589831 FAP589830:FAP589831 FKL589830:FKL589831 FUH589830:FUH589831 GED589830:GED589831 GNZ589830:GNZ589831 GXV589830:GXV589831 HHR589830:HHR589831 HRN589830:HRN589831 IBJ589830:IBJ589831 ILF589830:ILF589831 IVB589830:IVB589831 JEX589830:JEX589831 JOT589830:JOT589831 JYP589830:JYP589831 KIL589830:KIL589831 KSH589830:KSH589831 LCD589830:LCD589831 LLZ589830:LLZ589831 LVV589830:LVV589831 MFR589830:MFR589831 MPN589830:MPN589831 MZJ589830:MZJ589831 NJF589830:NJF589831 NTB589830:NTB589831 OCX589830:OCX589831 OMT589830:OMT589831 OWP589830:OWP589831 PGL589830:PGL589831 PQH589830:PQH589831 QAD589830:QAD589831 QJZ589830:QJZ589831 QTV589830:QTV589831 RDR589830:RDR589831 RNN589830:RNN589831 RXJ589830:RXJ589831 SHF589830:SHF589831 SRB589830:SRB589831 TAX589830:TAX589831 TKT589830:TKT589831 TUP589830:TUP589831 UEL589830:UEL589831 UOH589830:UOH589831 UYD589830:UYD589831 VHZ589830:VHZ589831 VRV589830:VRV589831 WBR589830:WBR589831 WLN589830:WLN589831 WVJ589830:WVJ589831 B655366:B655367 IX655366:IX655367 ST655366:ST655367 ACP655366:ACP655367 AML655366:AML655367 AWH655366:AWH655367 BGD655366:BGD655367 BPZ655366:BPZ655367 BZV655366:BZV655367 CJR655366:CJR655367 CTN655366:CTN655367 DDJ655366:DDJ655367 DNF655366:DNF655367 DXB655366:DXB655367 EGX655366:EGX655367 EQT655366:EQT655367 FAP655366:FAP655367 FKL655366:FKL655367 FUH655366:FUH655367 GED655366:GED655367 GNZ655366:GNZ655367 GXV655366:GXV655367 HHR655366:HHR655367 HRN655366:HRN655367 IBJ655366:IBJ655367 ILF655366:ILF655367 IVB655366:IVB655367 JEX655366:JEX655367 JOT655366:JOT655367 JYP655366:JYP655367 KIL655366:KIL655367 KSH655366:KSH655367 LCD655366:LCD655367 LLZ655366:LLZ655367 LVV655366:LVV655367 MFR655366:MFR655367 MPN655366:MPN655367 MZJ655366:MZJ655367 NJF655366:NJF655367 NTB655366:NTB655367 OCX655366:OCX655367 OMT655366:OMT655367 OWP655366:OWP655367 PGL655366:PGL655367 PQH655366:PQH655367 QAD655366:QAD655367 QJZ655366:QJZ655367 QTV655366:QTV655367 RDR655366:RDR655367 RNN655366:RNN655367 RXJ655366:RXJ655367 SHF655366:SHF655367 SRB655366:SRB655367 TAX655366:TAX655367 TKT655366:TKT655367 TUP655366:TUP655367 UEL655366:UEL655367 UOH655366:UOH655367 UYD655366:UYD655367 VHZ655366:VHZ655367 VRV655366:VRV655367 WBR655366:WBR655367 WLN655366:WLN655367 WVJ655366:WVJ655367 B720902:B720903 IX720902:IX720903 ST720902:ST720903 ACP720902:ACP720903 AML720902:AML720903 AWH720902:AWH720903 BGD720902:BGD720903 BPZ720902:BPZ720903 BZV720902:BZV720903 CJR720902:CJR720903 CTN720902:CTN720903 DDJ720902:DDJ720903 DNF720902:DNF720903 DXB720902:DXB720903 EGX720902:EGX720903 EQT720902:EQT720903 FAP720902:FAP720903 FKL720902:FKL720903 FUH720902:FUH720903 GED720902:GED720903 GNZ720902:GNZ720903 GXV720902:GXV720903 HHR720902:HHR720903 HRN720902:HRN720903 IBJ720902:IBJ720903 ILF720902:ILF720903 IVB720902:IVB720903 JEX720902:JEX720903 JOT720902:JOT720903 JYP720902:JYP720903 KIL720902:KIL720903 KSH720902:KSH720903 LCD720902:LCD720903 LLZ720902:LLZ720903 LVV720902:LVV720903 MFR720902:MFR720903 MPN720902:MPN720903 MZJ720902:MZJ720903 NJF720902:NJF720903 NTB720902:NTB720903 OCX720902:OCX720903 OMT720902:OMT720903 OWP720902:OWP720903 PGL720902:PGL720903 PQH720902:PQH720903 QAD720902:QAD720903 QJZ720902:QJZ720903 QTV720902:QTV720903 RDR720902:RDR720903 RNN720902:RNN720903 RXJ720902:RXJ720903 SHF720902:SHF720903 SRB720902:SRB720903 TAX720902:TAX720903 TKT720902:TKT720903 TUP720902:TUP720903 UEL720902:UEL720903 UOH720902:UOH720903 UYD720902:UYD720903 VHZ720902:VHZ720903 VRV720902:VRV720903 WBR720902:WBR720903 WLN720902:WLN720903 WVJ720902:WVJ720903 B786438:B786439 IX786438:IX786439 ST786438:ST786439 ACP786438:ACP786439 AML786438:AML786439 AWH786438:AWH786439 BGD786438:BGD786439 BPZ786438:BPZ786439 BZV786438:BZV786439 CJR786438:CJR786439 CTN786438:CTN786439 DDJ786438:DDJ786439 DNF786438:DNF786439 DXB786438:DXB786439 EGX786438:EGX786439 EQT786438:EQT786439 FAP786438:FAP786439 FKL786438:FKL786439 FUH786438:FUH786439 GED786438:GED786439 GNZ786438:GNZ786439 GXV786438:GXV786439 HHR786438:HHR786439 HRN786438:HRN786439 IBJ786438:IBJ786439 ILF786438:ILF786439 IVB786438:IVB786439 JEX786438:JEX786439 JOT786438:JOT786439 JYP786438:JYP786439 KIL786438:KIL786439 KSH786438:KSH786439 LCD786438:LCD786439 LLZ786438:LLZ786439 LVV786438:LVV786439 MFR786438:MFR786439 MPN786438:MPN786439 MZJ786438:MZJ786439 NJF786438:NJF786439 NTB786438:NTB786439 OCX786438:OCX786439 OMT786438:OMT786439 OWP786438:OWP786439 PGL786438:PGL786439 PQH786438:PQH786439 QAD786438:QAD786439 QJZ786438:QJZ786439 QTV786438:QTV786439 RDR786438:RDR786439 RNN786438:RNN786439 RXJ786438:RXJ786439 SHF786438:SHF786439 SRB786438:SRB786439 TAX786438:TAX786439 TKT786438:TKT786439 TUP786438:TUP786439 UEL786438:UEL786439 UOH786438:UOH786439 UYD786438:UYD786439 VHZ786438:VHZ786439 VRV786438:VRV786439 WBR786438:WBR786439 WLN786438:WLN786439 WVJ786438:WVJ786439 B851974:B851975 IX851974:IX851975 ST851974:ST851975 ACP851974:ACP851975 AML851974:AML851975 AWH851974:AWH851975 BGD851974:BGD851975 BPZ851974:BPZ851975 BZV851974:BZV851975 CJR851974:CJR851975 CTN851974:CTN851975 DDJ851974:DDJ851975 DNF851974:DNF851975 DXB851974:DXB851975 EGX851974:EGX851975 EQT851974:EQT851975 FAP851974:FAP851975 FKL851974:FKL851975 FUH851974:FUH851975 GED851974:GED851975 GNZ851974:GNZ851975 GXV851974:GXV851975 HHR851974:HHR851975 HRN851974:HRN851975 IBJ851974:IBJ851975 ILF851974:ILF851975 IVB851974:IVB851975 JEX851974:JEX851975 JOT851974:JOT851975 JYP851974:JYP851975 KIL851974:KIL851975 KSH851974:KSH851975 LCD851974:LCD851975 LLZ851974:LLZ851975 LVV851974:LVV851975 MFR851974:MFR851975 MPN851974:MPN851975 MZJ851974:MZJ851975 NJF851974:NJF851975 NTB851974:NTB851975 OCX851974:OCX851975 OMT851974:OMT851975 OWP851974:OWP851975 PGL851974:PGL851975 PQH851974:PQH851975 QAD851974:QAD851975 QJZ851974:QJZ851975 QTV851974:QTV851975 RDR851974:RDR851975 RNN851974:RNN851975 RXJ851974:RXJ851975 SHF851974:SHF851975 SRB851974:SRB851975 TAX851974:TAX851975 TKT851974:TKT851975 TUP851974:TUP851975 UEL851974:UEL851975 UOH851974:UOH851975 UYD851974:UYD851975 VHZ851974:VHZ851975 VRV851974:VRV851975 WBR851974:WBR851975 WLN851974:WLN851975 WVJ851974:WVJ851975 B917510:B917511 IX917510:IX917511 ST917510:ST917511 ACP917510:ACP917511 AML917510:AML917511 AWH917510:AWH917511 BGD917510:BGD917511 BPZ917510:BPZ917511 BZV917510:BZV917511 CJR917510:CJR917511 CTN917510:CTN917511 DDJ917510:DDJ917511 DNF917510:DNF917511 DXB917510:DXB917511 EGX917510:EGX917511 EQT917510:EQT917511 FAP917510:FAP917511 FKL917510:FKL917511 FUH917510:FUH917511 GED917510:GED917511 GNZ917510:GNZ917511 GXV917510:GXV917511 HHR917510:HHR917511 HRN917510:HRN917511 IBJ917510:IBJ917511 ILF917510:ILF917511 IVB917510:IVB917511 JEX917510:JEX917511 JOT917510:JOT917511 JYP917510:JYP917511 KIL917510:KIL917511 KSH917510:KSH917511 LCD917510:LCD917511 LLZ917510:LLZ917511 LVV917510:LVV917511 MFR917510:MFR917511 MPN917510:MPN917511 MZJ917510:MZJ917511 NJF917510:NJF917511 NTB917510:NTB917511 OCX917510:OCX917511 OMT917510:OMT917511 OWP917510:OWP917511 PGL917510:PGL917511 PQH917510:PQH917511 QAD917510:QAD917511 QJZ917510:QJZ917511 QTV917510:QTV917511 RDR917510:RDR917511 RNN917510:RNN917511 RXJ917510:RXJ917511 SHF917510:SHF917511 SRB917510:SRB917511 TAX917510:TAX917511 TKT917510:TKT917511 TUP917510:TUP917511 UEL917510:UEL917511 UOH917510:UOH917511 UYD917510:UYD917511 VHZ917510:VHZ917511 VRV917510:VRV917511 WBR917510:WBR917511 WLN917510:WLN917511 WVJ917510:WVJ917511 B983046:B983047 IX983046:IX983047 ST983046:ST983047 ACP983046:ACP983047 AML983046:AML983047 AWH983046:AWH983047 BGD983046:BGD983047 BPZ983046:BPZ983047 BZV983046:BZV983047 CJR983046:CJR983047 CTN983046:CTN983047 DDJ983046:DDJ983047 DNF983046:DNF983047 DXB983046:DXB983047 EGX983046:EGX983047 EQT983046:EQT983047 FAP983046:FAP983047 FKL983046:FKL983047 FUH983046:FUH983047 GED983046:GED983047 GNZ983046:GNZ983047 GXV983046:GXV983047 HHR983046:HHR983047 HRN983046:HRN983047 IBJ983046:IBJ983047 ILF983046:ILF983047 IVB983046:IVB983047 JEX983046:JEX983047 JOT983046:JOT983047 JYP983046:JYP983047 KIL983046:KIL983047 KSH983046:KSH983047 LCD983046:LCD983047 LLZ983046:LLZ983047 LVV983046:LVV983047 MFR983046:MFR983047 MPN983046:MPN983047 MZJ983046:MZJ983047 NJF983046:NJF983047 NTB983046:NTB983047 OCX983046:OCX983047 OMT983046:OMT983047 OWP983046:OWP983047 PGL983046:PGL983047 PQH983046:PQH983047 QAD983046:QAD983047 QJZ983046:QJZ983047 QTV983046:QTV983047 RDR983046:RDR983047 RNN983046:RNN983047 RXJ983046:RXJ983047 SHF983046:SHF983047 SRB983046:SRB983047 TAX983046:TAX983047 TKT983046:TKT983047 TUP983046:TUP983047 UEL983046:UEL983047 UOH983046:UOH983047 UYD983046:UYD983047 VHZ983046:VHZ983047 VRV983046:VRV983047 WBR983046:WBR983047 WLN983046:WLN983047 WVJ983046:WVJ983047" xr:uid="{8D429F5D-C812-4E2D-ADE8-495B64E71745}">
      <formula1>$A$105:$A$239</formula1>
    </dataValidation>
    <dataValidation type="list" allowBlank="1" showInputMessage="1" showErrorMessage="1" sqref="WVJ983048:WVJ983049 IX8:IX9 ST8:ST9 ACP8:ACP9 AML8:AML9 AWH8:AWH9 BGD8:BGD9 BPZ8:BPZ9 BZV8:BZV9 CJR8:CJR9 CTN8:CTN9 DDJ8:DDJ9 DNF8:DNF9 DXB8:DXB9 EGX8:EGX9 EQT8:EQT9 FAP8:FAP9 FKL8:FKL9 FUH8:FUH9 GED8:GED9 GNZ8:GNZ9 GXV8:GXV9 HHR8:HHR9 HRN8:HRN9 IBJ8:IBJ9 ILF8:ILF9 IVB8:IVB9 JEX8:JEX9 JOT8:JOT9 JYP8:JYP9 KIL8:KIL9 KSH8:KSH9 LCD8:LCD9 LLZ8:LLZ9 LVV8:LVV9 MFR8:MFR9 MPN8:MPN9 MZJ8:MZJ9 NJF8:NJF9 NTB8:NTB9 OCX8:OCX9 OMT8:OMT9 OWP8:OWP9 PGL8:PGL9 PQH8:PQH9 QAD8:QAD9 QJZ8:QJZ9 QTV8:QTV9 RDR8:RDR9 RNN8:RNN9 RXJ8:RXJ9 SHF8:SHF9 SRB8:SRB9 TAX8:TAX9 TKT8:TKT9 TUP8:TUP9 UEL8:UEL9 UOH8:UOH9 UYD8:UYD9 VHZ8:VHZ9 VRV8:VRV9 WBR8:WBR9 WLN8:WLN9 WVJ8:WVJ9 B65544:B65545 IX65544:IX65545 ST65544:ST65545 ACP65544:ACP65545 AML65544:AML65545 AWH65544:AWH65545 BGD65544:BGD65545 BPZ65544:BPZ65545 BZV65544:BZV65545 CJR65544:CJR65545 CTN65544:CTN65545 DDJ65544:DDJ65545 DNF65544:DNF65545 DXB65544:DXB65545 EGX65544:EGX65545 EQT65544:EQT65545 FAP65544:FAP65545 FKL65544:FKL65545 FUH65544:FUH65545 GED65544:GED65545 GNZ65544:GNZ65545 GXV65544:GXV65545 HHR65544:HHR65545 HRN65544:HRN65545 IBJ65544:IBJ65545 ILF65544:ILF65545 IVB65544:IVB65545 JEX65544:JEX65545 JOT65544:JOT65545 JYP65544:JYP65545 KIL65544:KIL65545 KSH65544:KSH65545 LCD65544:LCD65545 LLZ65544:LLZ65545 LVV65544:LVV65545 MFR65544:MFR65545 MPN65544:MPN65545 MZJ65544:MZJ65545 NJF65544:NJF65545 NTB65544:NTB65545 OCX65544:OCX65545 OMT65544:OMT65545 OWP65544:OWP65545 PGL65544:PGL65545 PQH65544:PQH65545 QAD65544:QAD65545 QJZ65544:QJZ65545 QTV65544:QTV65545 RDR65544:RDR65545 RNN65544:RNN65545 RXJ65544:RXJ65545 SHF65544:SHF65545 SRB65544:SRB65545 TAX65544:TAX65545 TKT65544:TKT65545 TUP65544:TUP65545 UEL65544:UEL65545 UOH65544:UOH65545 UYD65544:UYD65545 VHZ65544:VHZ65545 VRV65544:VRV65545 WBR65544:WBR65545 WLN65544:WLN65545 WVJ65544:WVJ65545 B131080:B131081 IX131080:IX131081 ST131080:ST131081 ACP131080:ACP131081 AML131080:AML131081 AWH131080:AWH131081 BGD131080:BGD131081 BPZ131080:BPZ131081 BZV131080:BZV131081 CJR131080:CJR131081 CTN131080:CTN131081 DDJ131080:DDJ131081 DNF131080:DNF131081 DXB131080:DXB131081 EGX131080:EGX131081 EQT131080:EQT131081 FAP131080:FAP131081 FKL131080:FKL131081 FUH131080:FUH131081 GED131080:GED131081 GNZ131080:GNZ131081 GXV131080:GXV131081 HHR131080:HHR131081 HRN131080:HRN131081 IBJ131080:IBJ131081 ILF131080:ILF131081 IVB131080:IVB131081 JEX131080:JEX131081 JOT131080:JOT131081 JYP131080:JYP131081 KIL131080:KIL131081 KSH131080:KSH131081 LCD131080:LCD131081 LLZ131080:LLZ131081 LVV131080:LVV131081 MFR131080:MFR131081 MPN131080:MPN131081 MZJ131080:MZJ131081 NJF131080:NJF131081 NTB131080:NTB131081 OCX131080:OCX131081 OMT131080:OMT131081 OWP131080:OWP131081 PGL131080:PGL131081 PQH131080:PQH131081 QAD131080:QAD131081 QJZ131080:QJZ131081 QTV131080:QTV131081 RDR131080:RDR131081 RNN131080:RNN131081 RXJ131080:RXJ131081 SHF131080:SHF131081 SRB131080:SRB131081 TAX131080:TAX131081 TKT131080:TKT131081 TUP131080:TUP131081 UEL131080:UEL131081 UOH131080:UOH131081 UYD131080:UYD131081 VHZ131080:VHZ131081 VRV131080:VRV131081 WBR131080:WBR131081 WLN131080:WLN131081 WVJ131080:WVJ131081 B196616:B196617 IX196616:IX196617 ST196616:ST196617 ACP196616:ACP196617 AML196616:AML196617 AWH196616:AWH196617 BGD196616:BGD196617 BPZ196616:BPZ196617 BZV196616:BZV196617 CJR196616:CJR196617 CTN196616:CTN196617 DDJ196616:DDJ196617 DNF196616:DNF196617 DXB196616:DXB196617 EGX196616:EGX196617 EQT196616:EQT196617 FAP196616:FAP196617 FKL196616:FKL196617 FUH196616:FUH196617 GED196616:GED196617 GNZ196616:GNZ196617 GXV196616:GXV196617 HHR196616:HHR196617 HRN196616:HRN196617 IBJ196616:IBJ196617 ILF196616:ILF196617 IVB196616:IVB196617 JEX196616:JEX196617 JOT196616:JOT196617 JYP196616:JYP196617 KIL196616:KIL196617 KSH196616:KSH196617 LCD196616:LCD196617 LLZ196616:LLZ196617 LVV196616:LVV196617 MFR196616:MFR196617 MPN196616:MPN196617 MZJ196616:MZJ196617 NJF196616:NJF196617 NTB196616:NTB196617 OCX196616:OCX196617 OMT196616:OMT196617 OWP196616:OWP196617 PGL196616:PGL196617 PQH196616:PQH196617 QAD196616:QAD196617 QJZ196616:QJZ196617 QTV196616:QTV196617 RDR196616:RDR196617 RNN196616:RNN196617 RXJ196616:RXJ196617 SHF196616:SHF196617 SRB196616:SRB196617 TAX196616:TAX196617 TKT196616:TKT196617 TUP196616:TUP196617 UEL196616:UEL196617 UOH196616:UOH196617 UYD196616:UYD196617 VHZ196616:VHZ196617 VRV196616:VRV196617 WBR196616:WBR196617 WLN196616:WLN196617 WVJ196616:WVJ196617 B262152:B262153 IX262152:IX262153 ST262152:ST262153 ACP262152:ACP262153 AML262152:AML262153 AWH262152:AWH262153 BGD262152:BGD262153 BPZ262152:BPZ262153 BZV262152:BZV262153 CJR262152:CJR262153 CTN262152:CTN262153 DDJ262152:DDJ262153 DNF262152:DNF262153 DXB262152:DXB262153 EGX262152:EGX262153 EQT262152:EQT262153 FAP262152:FAP262153 FKL262152:FKL262153 FUH262152:FUH262153 GED262152:GED262153 GNZ262152:GNZ262153 GXV262152:GXV262153 HHR262152:HHR262153 HRN262152:HRN262153 IBJ262152:IBJ262153 ILF262152:ILF262153 IVB262152:IVB262153 JEX262152:JEX262153 JOT262152:JOT262153 JYP262152:JYP262153 KIL262152:KIL262153 KSH262152:KSH262153 LCD262152:LCD262153 LLZ262152:LLZ262153 LVV262152:LVV262153 MFR262152:MFR262153 MPN262152:MPN262153 MZJ262152:MZJ262153 NJF262152:NJF262153 NTB262152:NTB262153 OCX262152:OCX262153 OMT262152:OMT262153 OWP262152:OWP262153 PGL262152:PGL262153 PQH262152:PQH262153 QAD262152:QAD262153 QJZ262152:QJZ262153 QTV262152:QTV262153 RDR262152:RDR262153 RNN262152:RNN262153 RXJ262152:RXJ262153 SHF262152:SHF262153 SRB262152:SRB262153 TAX262152:TAX262153 TKT262152:TKT262153 TUP262152:TUP262153 UEL262152:UEL262153 UOH262152:UOH262153 UYD262152:UYD262153 VHZ262152:VHZ262153 VRV262152:VRV262153 WBR262152:WBR262153 WLN262152:WLN262153 WVJ262152:WVJ262153 B327688:B327689 IX327688:IX327689 ST327688:ST327689 ACP327688:ACP327689 AML327688:AML327689 AWH327688:AWH327689 BGD327688:BGD327689 BPZ327688:BPZ327689 BZV327688:BZV327689 CJR327688:CJR327689 CTN327688:CTN327689 DDJ327688:DDJ327689 DNF327688:DNF327689 DXB327688:DXB327689 EGX327688:EGX327689 EQT327688:EQT327689 FAP327688:FAP327689 FKL327688:FKL327689 FUH327688:FUH327689 GED327688:GED327689 GNZ327688:GNZ327689 GXV327688:GXV327689 HHR327688:HHR327689 HRN327688:HRN327689 IBJ327688:IBJ327689 ILF327688:ILF327689 IVB327688:IVB327689 JEX327688:JEX327689 JOT327688:JOT327689 JYP327688:JYP327689 KIL327688:KIL327689 KSH327688:KSH327689 LCD327688:LCD327689 LLZ327688:LLZ327689 LVV327688:LVV327689 MFR327688:MFR327689 MPN327688:MPN327689 MZJ327688:MZJ327689 NJF327688:NJF327689 NTB327688:NTB327689 OCX327688:OCX327689 OMT327688:OMT327689 OWP327688:OWP327689 PGL327688:PGL327689 PQH327688:PQH327689 QAD327688:QAD327689 QJZ327688:QJZ327689 QTV327688:QTV327689 RDR327688:RDR327689 RNN327688:RNN327689 RXJ327688:RXJ327689 SHF327688:SHF327689 SRB327688:SRB327689 TAX327688:TAX327689 TKT327688:TKT327689 TUP327688:TUP327689 UEL327688:UEL327689 UOH327688:UOH327689 UYD327688:UYD327689 VHZ327688:VHZ327689 VRV327688:VRV327689 WBR327688:WBR327689 WLN327688:WLN327689 WVJ327688:WVJ327689 B393224:B393225 IX393224:IX393225 ST393224:ST393225 ACP393224:ACP393225 AML393224:AML393225 AWH393224:AWH393225 BGD393224:BGD393225 BPZ393224:BPZ393225 BZV393224:BZV393225 CJR393224:CJR393225 CTN393224:CTN393225 DDJ393224:DDJ393225 DNF393224:DNF393225 DXB393224:DXB393225 EGX393224:EGX393225 EQT393224:EQT393225 FAP393224:FAP393225 FKL393224:FKL393225 FUH393224:FUH393225 GED393224:GED393225 GNZ393224:GNZ393225 GXV393224:GXV393225 HHR393224:HHR393225 HRN393224:HRN393225 IBJ393224:IBJ393225 ILF393224:ILF393225 IVB393224:IVB393225 JEX393224:JEX393225 JOT393224:JOT393225 JYP393224:JYP393225 KIL393224:KIL393225 KSH393224:KSH393225 LCD393224:LCD393225 LLZ393224:LLZ393225 LVV393224:LVV393225 MFR393224:MFR393225 MPN393224:MPN393225 MZJ393224:MZJ393225 NJF393224:NJF393225 NTB393224:NTB393225 OCX393224:OCX393225 OMT393224:OMT393225 OWP393224:OWP393225 PGL393224:PGL393225 PQH393224:PQH393225 QAD393224:QAD393225 QJZ393224:QJZ393225 QTV393224:QTV393225 RDR393224:RDR393225 RNN393224:RNN393225 RXJ393224:RXJ393225 SHF393224:SHF393225 SRB393224:SRB393225 TAX393224:TAX393225 TKT393224:TKT393225 TUP393224:TUP393225 UEL393224:UEL393225 UOH393224:UOH393225 UYD393224:UYD393225 VHZ393224:VHZ393225 VRV393224:VRV393225 WBR393224:WBR393225 WLN393224:WLN393225 WVJ393224:WVJ393225 B458760:B458761 IX458760:IX458761 ST458760:ST458761 ACP458760:ACP458761 AML458760:AML458761 AWH458760:AWH458761 BGD458760:BGD458761 BPZ458760:BPZ458761 BZV458760:BZV458761 CJR458760:CJR458761 CTN458760:CTN458761 DDJ458760:DDJ458761 DNF458760:DNF458761 DXB458760:DXB458761 EGX458760:EGX458761 EQT458760:EQT458761 FAP458760:FAP458761 FKL458760:FKL458761 FUH458760:FUH458761 GED458760:GED458761 GNZ458760:GNZ458761 GXV458760:GXV458761 HHR458760:HHR458761 HRN458760:HRN458761 IBJ458760:IBJ458761 ILF458760:ILF458761 IVB458760:IVB458761 JEX458760:JEX458761 JOT458760:JOT458761 JYP458760:JYP458761 KIL458760:KIL458761 KSH458760:KSH458761 LCD458760:LCD458761 LLZ458760:LLZ458761 LVV458760:LVV458761 MFR458760:MFR458761 MPN458760:MPN458761 MZJ458760:MZJ458761 NJF458760:NJF458761 NTB458760:NTB458761 OCX458760:OCX458761 OMT458760:OMT458761 OWP458760:OWP458761 PGL458760:PGL458761 PQH458760:PQH458761 QAD458760:QAD458761 QJZ458760:QJZ458761 QTV458760:QTV458761 RDR458760:RDR458761 RNN458760:RNN458761 RXJ458760:RXJ458761 SHF458760:SHF458761 SRB458760:SRB458761 TAX458760:TAX458761 TKT458760:TKT458761 TUP458760:TUP458761 UEL458760:UEL458761 UOH458760:UOH458761 UYD458760:UYD458761 VHZ458760:VHZ458761 VRV458760:VRV458761 WBR458760:WBR458761 WLN458760:WLN458761 WVJ458760:WVJ458761 B524296:B524297 IX524296:IX524297 ST524296:ST524297 ACP524296:ACP524297 AML524296:AML524297 AWH524296:AWH524297 BGD524296:BGD524297 BPZ524296:BPZ524297 BZV524296:BZV524297 CJR524296:CJR524297 CTN524296:CTN524297 DDJ524296:DDJ524297 DNF524296:DNF524297 DXB524296:DXB524297 EGX524296:EGX524297 EQT524296:EQT524297 FAP524296:FAP524297 FKL524296:FKL524297 FUH524296:FUH524297 GED524296:GED524297 GNZ524296:GNZ524297 GXV524296:GXV524297 HHR524296:HHR524297 HRN524296:HRN524297 IBJ524296:IBJ524297 ILF524296:ILF524297 IVB524296:IVB524297 JEX524296:JEX524297 JOT524296:JOT524297 JYP524296:JYP524297 KIL524296:KIL524297 KSH524296:KSH524297 LCD524296:LCD524297 LLZ524296:LLZ524297 LVV524296:LVV524297 MFR524296:MFR524297 MPN524296:MPN524297 MZJ524296:MZJ524297 NJF524296:NJF524297 NTB524296:NTB524297 OCX524296:OCX524297 OMT524296:OMT524297 OWP524296:OWP524297 PGL524296:PGL524297 PQH524296:PQH524297 QAD524296:QAD524297 QJZ524296:QJZ524297 QTV524296:QTV524297 RDR524296:RDR524297 RNN524296:RNN524297 RXJ524296:RXJ524297 SHF524296:SHF524297 SRB524296:SRB524297 TAX524296:TAX524297 TKT524296:TKT524297 TUP524296:TUP524297 UEL524296:UEL524297 UOH524296:UOH524297 UYD524296:UYD524297 VHZ524296:VHZ524297 VRV524296:VRV524297 WBR524296:WBR524297 WLN524296:WLN524297 WVJ524296:WVJ524297 B589832:B589833 IX589832:IX589833 ST589832:ST589833 ACP589832:ACP589833 AML589832:AML589833 AWH589832:AWH589833 BGD589832:BGD589833 BPZ589832:BPZ589833 BZV589832:BZV589833 CJR589832:CJR589833 CTN589832:CTN589833 DDJ589832:DDJ589833 DNF589832:DNF589833 DXB589832:DXB589833 EGX589832:EGX589833 EQT589832:EQT589833 FAP589832:FAP589833 FKL589832:FKL589833 FUH589832:FUH589833 GED589832:GED589833 GNZ589832:GNZ589833 GXV589832:GXV589833 HHR589832:HHR589833 HRN589832:HRN589833 IBJ589832:IBJ589833 ILF589832:ILF589833 IVB589832:IVB589833 JEX589832:JEX589833 JOT589832:JOT589833 JYP589832:JYP589833 KIL589832:KIL589833 KSH589832:KSH589833 LCD589832:LCD589833 LLZ589832:LLZ589833 LVV589832:LVV589833 MFR589832:MFR589833 MPN589832:MPN589833 MZJ589832:MZJ589833 NJF589832:NJF589833 NTB589832:NTB589833 OCX589832:OCX589833 OMT589832:OMT589833 OWP589832:OWP589833 PGL589832:PGL589833 PQH589832:PQH589833 QAD589832:QAD589833 QJZ589832:QJZ589833 QTV589832:QTV589833 RDR589832:RDR589833 RNN589832:RNN589833 RXJ589832:RXJ589833 SHF589832:SHF589833 SRB589832:SRB589833 TAX589832:TAX589833 TKT589832:TKT589833 TUP589832:TUP589833 UEL589832:UEL589833 UOH589832:UOH589833 UYD589832:UYD589833 VHZ589832:VHZ589833 VRV589832:VRV589833 WBR589832:WBR589833 WLN589832:WLN589833 WVJ589832:WVJ589833 B655368:B655369 IX655368:IX655369 ST655368:ST655369 ACP655368:ACP655369 AML655368:AML655369 AWH655368:AWH655369 BGD655368:BGD655369 BPZ655368:BPZ655369 BZV655368:BZV655369 CJR655368:CJR655369 CTN655368:CTN655369 DDJ655368:DDJ655369 DNF655368:DNF655369 DXB655368:DXB655369 EGX655368:EGX655369 EQT655368:EQT655369 FAP655368:FAP655369 FKL655368:FKL655369 FUH655368:FUH655369 GED655368:GED655369 GNZ655368:GNZ655369 GXV655368:GXV655369 HHR655368:HHR655369 HRN655368:HRN655369 IBJ655368:IBJ655369 ILF655368:ILF655369 IVB655368:IVB655369 JEX655368:JEX655369 JOT655368:JOT655369 JYP655368:JYP655369 KIL655368:KIL655369 KSH655368:KSH655369 LCD655368:LCD655369 LLZ655368:LLZ655369 LVV655368:LVV655369 MFR655368:MFR655369 MPN655368:MPN655369 MZJ655368:MZJ655369 NJF655368:NJF655369 NTB655368:NTB655369 OCX655368:OCX655369 OMT655368:OMT655369 OWP655368:OWP655369 PGL655368:PGL655369 PQH655368:PQH655369 QAD655368:QAD655369 QJZ655368:QJZ655369 QTV655368:QTV655369 RDR655368:RDR655369 RNN655368:RNN655369 RXJ655368:RXJ655369 SHF655368:SHF655369 SRB655368:SRB655369 TAX655368:TAX655369 TKT655368:TKT655369 TUP655368:TUP655369 UEL655368:UEL655369 UOH655368:UOH655369 UYD655368:UYD655369 VHZ655368:VHZ655369 VRV655368:VRV655369 WBR655368:WBR655369 WLN655368:WLN655369 WVJ655368:WVJ655369 B720904:B720905 IX720904:IX720905 ST720904:ST720905 ACP720904:ACP720905 AML720904:AML720905 AWH720904:AWH720905 BGD720904:BGD720905 BPZ720904:BPZ720905 BZV720904:BZV720905 CJR720904:CJR720905 CTN720904:CTN720905 DDJ720904:DDJ720905 DNF720904:DNF720905 DXB720904:DXB720905 EGX720904:EGX720905 EQT720904:EQT720905 FAP720904:FAP720905 FKL720904:FKL720905 FUH720904:FUH720905 GED720904:GED720905 GNZ720904:GNZ720905 GXV720904:GXV720905 HHR720904:HHR720905 HRN720904:HRN720905 IBJ720904:IBJ720905 ILF720904:ILF720905 IVB720904:IVB720905 JEX720904:JEX720905 JOT720904:JOT720905 JYP720904:JYP720905 KIL720904:KIL720905 KSH720904:KSH720905 LCD720904:LCD720905 LLZ720904:LLZ720905 LVV720904:LVV720905 MFR720904:MFR720905 MPN720904:MPN720905 MZJ720904:MZJ720905 NJF720904:NJF720905 NTB720904:NTB720905 OCX720904:OCX720905 OMT720904:OMT720905 OWP720904:OWP720905 PGL720904:PGL720905 PQH720904:PQH720905 QAD720904:QAD720905 QJZ720904:QJZ720905 QTV720904:QTV720905 RDR720904:RDR720905 RNN720904:RNN720905 RXJ720904:RXJ720905 SHF720904:SHF720905 SRB720904:SRB720905 TAX720904:TAX720905 TKT720904:TKT720905 TUP720904:TUP720905 UEL720904:UEL720905 UOH720904:UOH720905 UYD720904:UYD720905 VHZ720904:VHZ720905 VRV720904:VRV720905 WBR720904:WBR720905 WLN720904:WLN720905 WVJ720904:WVJ720905 B786440:B786441 IX786440:IX786441 ST786440:ST786441 ACP786440:ACP786441 AML786440:AML786441 AWH786440:AWH786441 BGD786440:BGD786441 BPZ786440:BPZ786441 BZV786440:BZV786441 CJR786440:CJR786441 CTN786440:CTN786441 DDJ786440:DDJ786441 DNF786440:DNF786441 DXB786440:DXB786441 EGX786440:EGX786441 EQT786440:EQT786441 FAP786440:FAP786441 FKL786440:FKL786441 FUH786440:FUH786441 GED786440:GED786441 GNZ786440:GNZ786441 GXV786440:GXV786441 HHR786440:HHR786441 HRN786440:HRN786441 IBJ786440:IBJ786441 ILF786440:ILF786441 IVB786440:IVB786441 JEX786440:JEX786441 JOT786440:JOT786441 JYP786440:JYP786441 KIL786440:KIL786441 KSH786440:KSH786441 LCD786440:LCD786441 LLZ786440:LLZ786441 LVV786440:LVV786441 MFR786440:MFR786441 MPN786440:MPN786441 MZJ786440:MZJ786441 NJF786440:NJF786441 NTB786440:NTB786441 OCX786440:OCX786441 OMT786440:OMT786441 OWP786440:OWP786441 PGL786440:PGL786441 PQH786440:PQH786441 QAD786440:QAD786441 QJZ786440:QJZ786441 QTV786440:QTV786441 RDR786440:RDR786441 RNN786440:RNN786441 RXJ786440:RXJ786441 SHF786440:SHF786441 SRB786440:SRB786441 TAX786440:TAX786441 TKT786440:TKT786441 TUP786440:TUP786441 UEL786440:UEL786441 UOH786440:UOH786441 UYD786440:UYD786441 VHZ786440:VHZ786441 VRV786440:VRV786441 WBR786440:WBR786441 WLN786440:WLN786441 WVJ786440:WVJ786441 B851976:B851977 IX851976:IX851977 ST851976:ST851977 ACP851976:ACP851977 AML851976:AML851977 AWH851976:AWH851977 BGD851976:BGD851977 BPZ851976:BPZ851977 BZV851976:BZV851977 CJR851976:CJR851977 CTN851976:CTN851977 DDJ851976:DDJ851977 DNF851976:DNF851977 DXB851976:DXB851977 EGX851976:EGX851977 EQT851976:EQT851977 FAP851976:FAP851977 FKL851976:FKL851977 FUH851976:FUH851977 GED851976:GED851977 GNZ851976:GNZ851977 GXV851976:GXV851977 HHR851976:HHR851977 HRN851976:HRN851977 IBJ851976:IBJ851977 ILF851976:ILF851977 IVB851976:IVB851977 JEX851976:JEX851977 JOT851976:JOT851977 JYP851976:JYP851977 KIL851976:KIL851977 KSH851976:KSH851977 LCD851976:LCD851977 LLZ851976:LLZ851977 LVV851976:LVV851977 MFR851976:MFR851977 MPN851976:MPN851977 MZJ851976:MZJ851977 NJF851976:NJF851977 NTB851976:NTB851977 OCX851976:OCX851977 OMT851976:OMT851977 OWP851976:OWP851977 PGL851976:PGL851977 PQH851976:PQH851977 QAD851976:QAD851977 QJZ851976:QJZ851977 QTV851976:QTV851977 RDR851976:RDR851977 RNN851976:RNN851977 RXJ851976:RXJ851977 SHF851976:SHF851977 SRB851976:SRB851977 TAX851976:TAX851977 TKT851976:TKT851977 TUP851976:TUP851977 UEL851976:UEL851977 UOH851976:UOH851977 UYD851976:UYD851977 VHZ851976:VHZ851977 VRV851976:VRV851977 WBR851976:WBR851977 WLN851976:WLN851977 WVJ851976:WVJ851977 B917512:B917513 IX917512:IX917513 ST917512:ST917513 ACP917512:ACP917513 AML917512:AML917513 AWH917512:AWH917513 BGD917512:BGD917513 BPZ917512:BPZ917513 BZV917512:BZV917513 CJR917512:CJR917513 CTN917512:CTN917513 DDJ917512:DDJ917513 DNF917512:DNF917513 DXB917512:DXB917513 EGX917512:EGX917513 EQT917512:EQT917513 FAP917512:FAP917513 FKL917512:FKL917513 FUH917512:FUH917513 GED917512:GED917513 GNZ917512:GNZ917513 GXV917512:GXV917513 HHR917512:HHR917513 HRN917512:HRN917513 IBJ917512:IBJ917513 ILF917512:ILF917513 IVB917512:IVB917513 JEX917512:JEX917513 JOT917512:JOT917513 JYP917512:JYP917513 KIL917512:KIL917513 KSH917512:KSH917513 LCD917512:LCD917513 LLZ917512:LLZ917513 LVV917512:LVV917513 MFR917512:MFR917513 MPN917512:MPN917513 MZJ917512:MZJ917513 NJF917512:NJF917513 NTB917512:NTB917513 OCX917512:OCX917513 OMT917512:OMT917513 OWP917512:OWP917513 PGL917512:PGL917513 PQH917512:PQH917513 QAD917512:QAD917513 QJZ917512:QJZ917513 QTV917512:QTV917513 RDR917512:RDR917513 RNN917512:RNN917513 RXJ917512:RXJ917513 SHF917512:SHF917513 SRB917512:SRB917513 TAX917512:TAX917513 TKT917512:TKT917513 TUP917512:TUP917513 UEL917512:UEL917513 UOH917512:UOH917513 UYD917512:UYD917513 VHZ917512:VHZ917513 VRV917512:VRV917513 WBR917512:WBR917513 WLN917512:WLN917513 WVJ917512:WVJ917513 B983048:B983049 IX983048:IX983049 ST983048:ST983049 ACP983048:ACP983049 AML983048:AML983049 AWH983048:AWH983049 BGD983048:BGD983049 BPZ983048:BPZ983049 BZV983048:BZV983049 CJR983048:CJR983049 CTN983048:CTN983049 DDJ983048:DDJ983049 DNF983048:DNF983049 DXB983048:DXB983049 EGX983048:EGX983049 EQT983048:EQT983049 FAP983048:FAP983049 FKL983048:FKL983049 FUH983048:FUH983049 GED983048:GED983049 GNZ983048:GNZ983049 GXV983048:GXV983049 HHR983048:HHR983049 HRN983048:HRN983049 IBJ983048:IBJ983049 ILF983048:ILF983049 IVB983048:IVB983049 JEX983048:JEX983049 JOT983048:JOT983049 JYP983048:JYP983049 KIL983048:KIL983049 KSH983048:KSH983049 LCD983048:LCD983049 LLZ983048:LLZ983049 LVV983048:LVV983049 MFR983048:MFR983049 MPN983048:MPN983049 MZJ983048:MZJ983049 NJF983048:NJF983049 NTB983048:NTB983049 OCX983048:OCX983049 OMT983048:OMT983049 OWP983048:OWP983049 PGL983048:PGL983049 PQH983048:PQH983049 QAD983048:QAD983049 QJZ983048:QJZ983049 QTV983048:QTV983049 RDR983048:RDR983049 RNN983048:RNN983049 RXJ983048:RXJ983049 SHF983048:SHF983049 SRB983048:SRB983049 TAX983048:TAX983049 TKT983048:TKT983049 TUP983048:TUP983049 UEL983048:UEL983049 UOH983048:UOH983049 UYD983048:UYD983049 VHZ983048:VHZ983049 VRV983048:VRV983049 WBR983048:WBR983049 WLN983048:WLN983049 B8:B9" xr:uid="{FD550D90-8B4A-43D6-B816-6CAA28119E7F}">
      <formula1>$A$105:$A$131</formula1>
    </dataValidation>
    <dataValidation type="list" allowBlank="1"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C8:C9 IY8:IY9 SU8:SU9 ACQ8:ACQ9 AMM8:AMM9 AWI8:AWI9 BGE8:BGE9 BQA8:BQA9 BZW8:BZW9 CJS8:CJS9 CTO8:CTO9 DDK8:DDK9 DNG8:DNG9 DXC8:DXC9 EGY8:EGY9 EQU8:EQU9 FAQ8:FAQ9 FKM8:FKM9 FUI8:FUI9 GEE8:GEE9 GOA8:GOA9 GXW8:GXW9 HHS8:HHS9 HRO8:HRO9 IBK8:IBK9 ILG8:ILG9 IVC8:IVC9 JEY8:JEY9 JOU8:JOU9 JYQ8:JYQ9 KIM8:KIM9 KSI8:KSI9 LCE8:LCE9 LMA8:LMA9 LVW8:LVW9 MFS8:MFS9 MPO8:MPO9 MZK8:MZK9 NJG8:NJG9 NTC8:NTC9 OCY8:OCY9 OMU8:OMU9 OWQ8:OWQ9 PGM8:PGM9 PQI8:PQI9 QAE8:QAE9 QKA8:QKA9 QTW8:QTW9 RDS8:RDS9 RNO8:RNO9 RXK8:RXK9 SHG8:SHG9 SRC8:SRC9 TAY8:TAY9 TKU8:TKU9 TUQ8:TUQ9 UEM8:UEM9 UOI8:UOI9 UYE8:UYE9 VIA8:VIA9 VRW8:VRW9 WBS8:WBS9 WLO8:WLO9 WVK8:WVK9 C65544:C65545 IY65544:IY65545 SU65544:SU65545 ACQ65544:ACQ65545 AMM65544:AMM65545 AWI65544:AWI65545 BGE65544:BGE65545 BQA65544:BQA65545 BZW65544:BZW65545 CJS65544:CJS65545 CTO65544:CTO65545 DDK65544:DDK65545 DNG65544:DNG65545 DXC65544:DXC65545 EGY65544:EGY65545 EQU65544:EQU65545 FAQ65544:FAQ65545 FKM65544:FKM65545 FUI65544:FUI65545 GEE65544:GEE65545 GOA65544:GOA65545 GXW65544:GXW65545 HHS65544:HHS65545 HRO65544:HRO65545 IBK65544:IBK65545 ILG65544:ILG65545 IVC65544:IVC65545 JEY65544:JEY65545 JOU65544:JOU65545 JYQ65544:JYQ65545 KIM65544:KIM65545 KSI65544:KSI65545 LCE65544:LCE65545 LMA65544:LMA65545 LVW65544:LVW65545 MFS65544:MFS65545 MPO65544:MPO65545 MZK65544:MZK65545 NJG65544:NJG65545 NTC65544:NTC65545 OCY65544:OCY65545 OMU65544:OMU65545 OWQ65544:OWQ65545 PGM65544:PGM65545 PQI65544:PQI65545 QAE65544:QAE65545 QKA65544:QKA65545 QTW65544:QTW65545 RDS65544:RDS65545 RNO65544:RNO65545 RXK65544:RXK65545 SHG65544:SHG65545 SRC65544:SRC65545 TAY65544:TAY65545 TKU65544:TKU65545 TUQ65544:TUQ65545 UEM65544:UEM65545 UOI65544:UOI65545 UYE65544:UYE65545 VIA65544:VIA65545 VRW65544:VRW65545 WBS65544:WBS65545 WLO65544:WLO65545 WVK65544:WVK65545 C131080:C131081 IY131080:IY131081 SU131080:SU131081 ACQ131080:ACQ131081 AMM131080:AMM131081 AWI131080:AWI131081 BGE131080:BGE131081 BQA131080:BQA131081 BZW131080:BZW131081 CJS131080:CJS131081 CTO131080:CTO131081 DDK131080:DDK131081 DNG131080:DNG131081 DXC131080:DXC131081 EGY131080:EGY131081 EQU131080:EQU131081 FAQ131080:FAQ131081 FKM131080:FKM131081 FUI131080:FUI131081 GEE131080:GEE131081 GOA131080:GOA131081 GXW131080:GXW131081 HHS131080:HHS131081 HRO131080:HRO131081 IBK131080:IBK131081 ILG131080:ILG131081 IVC131080:IVC131081 JEY131080:JEY131081 JOU131080:JOU131081 JYQ131080:JYQ131081 KIM131080:KIM131081 KSI131080:KSI131081 LCE131080:LCE131081 LMA131080:LMA131081 LVW131080:LVW131081 MFS131080:MFS131081 MPO131080:MPO131081 MZK131080:MZK131081 NJG131080:NJG131081 NTC131080:NTC131081 OCY131080:OCY131081 OMU131080:OMU131081 OWQ131080:OWQ131081 PGM131080:PGM131081 PQI131080:PQI131081 QAE131080:QAE131081 QKA131080:QKA131081 QTW131080:QTW131081 RDS131080:RDS131081 RNO131080:RNO131081 RXK131080:RXK131081 SHG131080:SHG131081 SRC131080:SRC131081 TAY131080:TAY131081 TKU131080:TKU131081 TUQ131080:TUQ131081 UEM131080:UEM131081 UOI131080:UOI131081 UYE131080:UYE131081 VIA131080:VIA131081 VRW131080:VRW131081 WBS131080:WBS131081 WLO131080:WLO131081 WVK131080:WVK131081 C196616:C196617 IY196616:IY196617 SU196616:SU196617 ACQ196616:ACQ196617 AMM196616:AMM196617 AWI196616:AWI196617 BGE196616:BGE196617 BQA196616:BQA196617 BZW196616:BZW196617 CJS196616:CJS196617 CTO196616:CTO196617 DDK196616:DDK196617 DNG196616:DNG196617 DXC196616:DXC196617 EGY196616:EGY196617 EQU196616:EQU196617 FAQ196616:FAQ196617 FKM196616:FKM196617 FUI196616:FUI196617 GEE196616:GEE196617 GOA196616:GOA196617 GXW196616:GXW196617 HHS196616:HHS196617 HRO196616:HRO196617 IBK196616:IBK196617 ILG196616:ILG196617 IVC196616:IVC196617 JEY196616:JEY196617 JOU196616:JOU196617 JYQ196616:JYQ196617 KIM196616:KIM196617 KSI196616:KSI196617 LCE196616:LCE196617 LMA196616:LMA196617 LVW196616:LVW196617 MFS196616:MFS196617 MPO196616:MPO196617 MZK196616:MZK196617 NJG196616:NJG196617 NTC196616:NTC196617 OCY196616:OCY196617 OMU196616:OMU196617 OWQ196616:OWQ196617 PGM196616:PGM196617 PQI196616:PQI196617 QAE196616:QAE196617 QKA196616:QKA196617 QTW196616:QTW196617 RDS196616:RDS196617 RNO196616:RNO196617 RXK196616:RXK196617 SHG196616:SHG196617 SRC196616:SRC196617 TAY196616:TAY196617 TKU196616:TKU196617 TUQ196616:TUQ196617 UEM196616:UEM196617 UOI196616:UOI196617 UYE196616:UYE196617 VIA196616:VIA196617 VRW196616:VRW196617 WBS196616:WBS196617 WLO196616:WLO196617 WVK196616:WVK196617 C262152:C262153 IY262152:IY262153 SU262152:SU262153 ACQ262152:ACQ262153 AMM262152:AMM262153 AWI262152:AWI262153 BGE262152:BGE262153 BQA262152:BQA262153 BZW262152:BZW262153 CJS262152:CJS262153 CTO262152:CTO262153 DDK262152:DDK262153 DNG262152:DNG262153 DXC262152:DXC262153 EGY262152:EGY262153 EQU262152:EQU262153 FAQ262152:FAQ262153 FKM262152:FKM262153 FUI262152:FUI262153 GEE262152:GEE262153 GOA262152:GOA262153 GXW262152:GXW262153 HHS262152:HHS262153 HRO262152:HRO262153 IBK262152:IBK262153 ILG262152:ILG262153 IVC262152:IVC262153 JEY262152:JEY262153 JOU262152:JOU262153 JYQ262152:JYQ262153 KIM262152:KIM262153 KSI262152:KSI262153 LCE262152:LCE262153 LMA262152:LMA262153 LVW262152:LVW262153 MFS262152:MFS262153 MPO262152:MPO262153 MZK262152:MZK262153 NJG262152:NJG262153 NTC262152:NTC262153 OCY262152:OCY262153 OMU262152:OMU262153 OWQ262152:OWQ262153 PGM262152:PGM262153 PQI262152:PQI262153 QAE262152:QAE262153 QKA262152:QKA262153 QTW262152:QTW262153 RDS262152:RDS262153 RNO262152:RNO262153 RXK262152:RXK262153 SHG262152:SHG262153 SRC262152:SRC262153 TAY262152:TAY262153 TKU262152:TKU262153 TUQ262152:TUQ262153 UEM262152:UEM262153 UOI262152:UOI262153 UYE262152:UYE262153 VIA262152:VIA262153 VRW262152:VRW262153 WBS262152:WBS262153 WLO262152:WLO262153 WVK262152:WVK262153 C327688:C327689 IY327688:IY327689 SU327688:SU327689 ACQ327688:ACQ327689 AMM327688:AMM327689 AWI327688:AWI327689 BGE327688:BGE327689 BQA327688:BQA327689 BZW327688:BZW327689 CJS327688:CJS327689 CTO327688:CTO327689 DDK327688:DDK327689 DNG327688:DNG327689 DXC327688:DXC327689 EGY327688:EGY327689 EQU327688:EQU327689 FAQ327688:FAQ327689 FKM327688:FKM327689 FUI327688:FUI327689 GEE327688:GEE327689 GOA327688:GOA327689 GXW327688:GXW327689 HHS327688:HHS327689 HRO327688:HRO327689 IBK327688:IBK327689 ILG327688:ILG327689 IVC327688:IVC327689 JEY327688:JEY327689 JOU327688:JOU327689 JYQ327688:JYQ327689 KIM327688:KIM327689 KSI327688:KSI327689 LCE327688:LCE327689 LMA327688:LMA327689 LVW327688:LVW327689 MFS327688:MFS327689 MPO327688:MPO327689 MZK327688:MZK327689 NJG327688:NJG327689 NTC327688:NTC327689 OCY327688:OCY327689 OMU327688:OMU327689 OWQ327688:OWQ327689 PGM327688:PGM327689 PQI327688:PQI327689 QAE327688:QAE327689 QKA327688:QKA327689 QTW327688:QTW327689 RDS327688:RDS327689 RNO327688:RNO327689 RXK327688:RXK327689 SHG327688:SHG327689 SRC327688:SRC327689 TAY327688:TAY327689 TKU327688:TKU327689 TUQ327688:TUQ327689 UEM327688:UEM327689 UOI327688:UOI327689 UYE327688:UYE327689 VIA327688:VIA327689 VRW327688:VRW327689 WBS327688:WBS327689 WLO327688:WLO327689 WVK327688:WVK327689 C393224:C393225 IY393224:IY393225 SU393224:SU393225 ACQ393224:ACQ393225 AMM393224:AMM393225 AWI393224:AWI393225 BGE393224:BGE393225 BQA393224:BQA393225 BZW393224:BZW393225 CJS393224:CJS393225 CTO393224:CTO393225 DDK393224:DDK393225 DNG393224:DNG393225 DXC393224:DXC393225 EGY393224:EGY393225 EQU393224:EQU393225 FAQ393224:FAQ393225 FKM393224:FKM393225 FUI393224:FUI393225 GEE393224:GEE393225 GOA393224:GOA393225 GXW393224:GXW393225 HHS393224:HHS393225 HRO393224:HRO393225 IBK393224:IBK393225 ILG393224:ILG393225 IVC393224:IVC393225 JEY393224:JEY393225 JOU393224:JOU393225 JYQ393224:JYQ393225 KIM393224:KIM393225 KSI393224:KSI393225 LCE393224:LCE393225 LMA393224:LMA393225 LVW393224:LVW393225 MFS393224:MFS393225 MPO393224:MPO393225 MZK393224:MZK393225 NJG393224:NJG393225 NTC393224:NTC393225 OCY393224:OCY393225 OMU393224:OMU393225 OWQ393224:OWQ393225 PGM393224:PGM393225 PQI393224:PQI393225 QAE393224:QAE393225 QKA393224:QKA393225 QTW393224:QTW393225 RDS393224:RDS393225 RNO393224:RNO393225 RXK393224:RXK393225 SHG393224:SHG393225 SRC393224:SRC393225 TAY393224:TAY393225 TKU393224:TKU393225 TUQ393224:TUQ393225 UEM393224:UEM393225 UOI393224:UOI393225 UYE393224:UYE393225 VIA393224:VIA393225 VRW393224:VRW393225 WBS393224:WBS393225 WLO393224:WLO393225 WVK393224:WVK393225 C458760:C458761 IY458760:IY458761 SU458760:SU458761 ACQ458760:ACQ458761 AMM458760:AMM458761 AWI458760:AWI458761 BGE458760:BGE458761 BQA458760:BQA458761 BZW458760:BZW458761 CJS458760:CJS458761 CTO458760:CTO458761 DDK458760:DDK458761 DNG458760:DNG458761 DXC458760:DXC458761 EGY458760:EGY458761 EQU458760:EQU458761 FAQ458760:FAQ458761 FKM458760:FKM458761 FUI458760:FUI458761 GEE458760:GEE458761 GOA458760:GOA458761 GXW458760:GXW458761 HHS458760:HHS458761 HRO458760:HRO458761 IBK458760:IBK458761 ILG458760:ILG458761 IVC458760:IVC458761 JEY458760:JEY458761 JOU458760:JOU458761 JYQ458760:JYQ458761 KIM458760:KIM458761 KSI458760:KSI458761 LCE458760:LCE458761 LMA458760:LMA458761 LVW458760:LVW458761 MFS458760:MFS458761 MPO458760:MPO458761 MZK458760:MZK458761 NJG458760:NJG458761 NTC458760:NTC458761 OCY458760:OCY458761 OMU458760:OMU458761 OWQ458760:OWQ458761 PGM458760:PGM458761 PQI458760:PQI458761 QAE458760:QAE458761 QKA458760:QKA458761 QTW458760:QTW458761 RDS458760:RDS458761 RNO458760:RNO458761 RXK458760:RXK458761 SHG458760:SHG458761 SRC458760:SRC458761 TAY458760:TAY458761 TKU458760:TKU458761 TUQ458760:TUQ458761 UEM458760:UEM458761 UOI458760:UOI458761 UYE458760:UYE458761 VIA458760:VIA458761 VRW458760:VRW458761 WBS458760:WBS458761 WLO458760:WLO458761 WVK458760:WVK458761 C524296:C524297 IY524296:IY524297 SU524296:SU524297 ACQ524296:ACQ524297 AMM524296:AMM524297 AWI524296:AWI524297 BGE524296:BGE524297 BQA524296:BQA524297 BZW524296:BZW524297 CJS524296:CJS524297 CTO524296:CTO524297 DDK524296:DDK524297 DNG524296:DNG524297 DXC524296:DXC524297 EGY524296:EGY524297 EQU524296:EQU524297 FAQ524296:FAQ524297 FKM524296:FKM524297 FUI524296:FUI524297 GEE524296:GEE524297 GOA524296:GOA524297 GXW524296:GXW524297 HHS524296:HHS524297 HRO524296:HRO524297 IBK524296:IBK524297 ILG524296:ILG524297 IVC524296:IVC524297 JEY524296:JEY524297 JOU524296:JOU524297 JYQ524296:JYQ524297 KIM524296:KIM524297 KSI524296:KSI524297 LCE524296:LCE524297 LMA524296:LMA524297 LVW524296:LVW524297 MFS524296:MFS524297 MPO524296:MPO524297 MZK524296:MZK524297 NJG524296:NJG524297 NTC524296:NTC524297 OCY524296:OCY524297 OMU524296:OMU524297 OWQ524296:OWQ524297 PGM524296:PGM524297 PQI524296:PQI524297 QAE524296:QAE524297 QKA524296:QKA524297 QTW524296:QTW524297 RDS524296:RDS524297 RNO524296:RNO524297 RXK524296:RXK524297 SHG524296:SHG524297 SRC524296:SRC524297 TAY524296:TAY524297 TKU524296:TKU524297 TUQ524296:TUQ524297 UEM524296:UEM524297 UOI524296:UOI524297 UYE524296:UYE524297 VIA524296:VIA524297 VRW524296:VRW524297 WBS524296:WBS524297 WLO524296:WLO524297 WVK524296:WVK524297 C589832:C589833 IY589832:IY589833 SU589832:SU589833 ACQ589832:ACQ589833 AMM589832:AMM589833 AWI589832:AWI589833 BGE589832:BGE589833 BQA589832:BQA589833 BZW589832:BZW589833 CJS589832:CJS589833 CTO589832:CTO589833 DDK589832:DDK589833 DNG589832:DNG589833 DXC589832:DXC589833 EGY589832:EGY589833 EQU589832:EQU589833 FAQ589832:FAQ589833 FKM589832:FKM589833 FUI589832:FUI589833 GEE589832:GEE589833 GOA589832:GOA589833 GXW589832:GXW589833 HHS589832:HHS589833 HRO589832:HRO589833 IBK589832:IBK589833 ILG589832:ILG589833 IVC589832:IVC589833 JEY589832:JEY589833 JOU589832:JOU589833 JYQ589832:JYQ589833 KIM589832:KIM589833 KSI589832:KSI589833 LCE589832:LCE589833 LMA589832:LMA589833 LVW589832:LVW589833 MFS589832:MFS589833 MPO589832:MPO589833 MZK589832:MZK589833 NJG589832:NJG589833 NTC589832:NTC589833 OCY589832:OCY589833 OMU589832:OMU589833 OWQ589832:OWQ589833 PGM589832:PGM589833 PQI589832:PQI589833 QAE589832:QAE589833 QKA589832:QKA589833 QTW589832:QTW589833 RDS589832:RDS589833 RNO589832:RNO589833 RXK589832:RXK589833 SHG589832:SHG589833 SRC589832:SRC589833 TAY589832:TAY589833 TKU589832:TKU589833 TUQ589832:TUQ589833 UEM589832:UEM589833 UOI589832:UOI589833 UYE589832:UYE589833 VIA589832:VIA589833 VRW589832:VRW589833 WBS589832:WBS589833 WLO589832:WLO589833 WVK589832:WVK589833 C655368:C655369 IY655368:IY655369 SU655368:SU655369 ACQ655368:ACQ655369 AMM655368:AMM655369 AWI655368:AWI655369 BGE655368:BGE655369 BQA655368:BQA655369 BZW655368:BZW655369 CJS655368:CJS655369 CTO655368:CTO655369 DDK655368:DDK655369 DNG655368:DNG655369 DXC655368:DXC655369 EGY655368:EGY655369 EQU655368:EQU655369 FAQ655368:FAQ655369 FKM655368:FKM655369 FUI655368:FUI655369 GEE655368:GEE655369 GOA655368:GOA655369 GXW655368:GXW655369 HHS655368:HHS655369 HRO655368:HRO655369 IBK655368:IBK655369 ILG655368:ILG655369 IVC655368:IVC655369 JEY655368:JEY655369 JOU655368:JOU655369 JYQ655368:JYQ655369 KIM655368:KIM655369 KSI655368:KSI655369 LCE655368:LCE655369 LMA655368:LMA655369 LVW655368:LVW655369 MFS655368:MFS655369 MPO655368:MPO655369 MZK655368:MZK655369 NJG655368:NJG655369 NTC655368:NTC655369 OCY655368:OCY655369 OMU655368:OMU655369 OWQ655368:OWQ655369 PGM655368:PGM655369 PQI655368:PQI655369 QAE655368:QAE655369 QKA655368:QKA655369 QTW655368:QTW655369 RDS655368:RDS655369 RNO655368:RNO655369 RXK655368:RXK655369 SHG655368:SHG655369 SRC655368:SRC655369 TAY655368:TAY655369 TKU655368:TKU655369 TUQ655368:TUQ655369 UEM655368:UEM655369 UOI655368:UOI655369 UYE655368:UYE655369 VIA655368:VIA655369 VRW655368:VRW655369 WBS655368:WBS655369 WLO655368:WLO655369 WVK655368:WVK655369 C720904:C720905 IY720904:IY720905 SU720904:SU720905 ACQ720904:ACQ720905 AMM720904:AMM720905 AWI720904:AWI720905 BGE720904:BGE720905 BQA720904:BQA720905 BZW720904:BZW720905 CJS720904:CJS720905 CTO720904:CTO720905 DDK720904:DDK720905 DNG720904:DNG720905 DXC720904:DXC720905 EGY720904:EGY720905 EQU720904:EQU720905 FAQ720904:FAQ720905 FKM720904:FKM720905 FUI720904:FUI720905 GEE720904:GEE720905 GOA720904:GOA720905 GXW720904:GXW720905 HHS720904:HHS720905 HRO720904:HRO720905 IBK720904:IBK720905 ILG720904:ILG720905 IVC720904:IVC720905 JEY720904:JEY720905 JOU720904:JOU720905 JYQ720904:JYQ720905 KIM720904:KIM720905 KSI720904:KSI720905 LCE720904:LCE720905 LMA720904:LMA720905 LVW720904:LVW720905 MFS720904:MFS720905 MPO720904:MPO720905 MZK720904:MZK720905 NJG720904:NJG720905 NTC720904:NTC720905 OCY720904:OCY720905 OMU720904:OMU720905 OWQ720904:OWQ720905 PGM720904:PGM720905 PQI720904:PQI720905 QAE720904:QAE720905 QKA720904:QKA720905 QTW720904:QTW720905 RDS720904:RDS720905 RNO720904:RNO720905 RXK720904:RXK720905 SHG720904:SHG720905 SRC720904:SRC720905 TAY720904:TAY720905 TKU720904:TKU720905 TUQ720904:TUQ720905 UEM720904:UEM720905 UOI720904:UOI720905 UYE720904:UYE720905 VIA720904:VIA720905 VRW720904:VRW720905 WBS720904:WBS720905 WLO720904:WLO720905 WVK720904:WVK720905 C786440:C786441 IY786440:IY786441 SU786440:SU786441 ACQ786440:ACQ786441 AMM786440:AMM786441 AWI786440:AWI786441 BGE786440:BGE786441 BQA786440:BQA786441 BZW786440:BZW786441 CJS786440:CJS786441 CTO786440:CTO786441 DDK786440:DDK786441 DNG786440:DNG786441 DXC786440:DXC786441 EGY786440:EGY786441 EQU786440:EQU786441 FAQ786440:FAQ786441 FKM786440:FKM786441 FUI786440:FUI786441 GEE786440:GEE786441 GOA786440:GOA786441 GXW786440:GXW786441 HHS786440:HHS786441 HRO786440:HRO786441 IBK786440:IBK786441 ILG786440:ILG786441 IVC786440:IVC786441 JEY786440:JEY786441 JOU786440:JOU786441 JYQ786440:JYQ786441 KIM786440:KIM786441 KSI786440:KSI786441 LCE786440:LCE786441 LMA786440:LMA786441 LVW786440:LVW786441 MFS786440:MFS786441 MPO786440:MPO786441 MZK786440:MZK786441 NJG786440:NJG786441 NTC786440:NTC786441 OCY786440:OCY786441 OMU786440:OMU786441 OWQ786440:OWQ786441 PGM786440:PGM786441 PQI786440:PQI786441 QAE786440:QAE786441 QKA786440:QKA786441 QTW786440:QTW786441 RDS786440:RDS786441 RNO786440:RNO786441 RXK786440:RXK786441 SHG786440:SHG786441 SRC786440:SRC786441 TAY786440:TAY786441 TKU786440:TKU786441 TUQ786440:TUQ786441 UEM786440:UEM786441 UOI786440:UOI786441 UYE786440:UYE786441 VIA786440:VIA786441 VRW786440:VRW786441 WBS786440:WBS786441 WLO786440:WLO786441 WVK786440:WVK786441 C851976:C851977 IY851976:IY851977 SU851976:SU851977 ACQ851976:ACQ851977 AMM851976:AMM851977 AWI851976:AWI851977 BGE851976:BGE851977 BQA851976:BQA851977 BZW851976:BZW851977 CJS851976:CJS851977 CTO851976:CTO851977 DDK851976:DDK851977 DNG851976:DNG851977 DXC851976:DXC851977 EGY851976:EGY851977 EQU851976:EQU851977 FAQ851976:FAQ851977 FKM851976:FKM851977 FUI851976:FUI851977 GEE851976:GEE851977 GOA851976:GOA851977 GXW851976:GXW851977 HHS851976:HHS851977 HRO851976:HRO851977 IBK851976:IBK851977 ILG851976:ILG851977 IVC851976:IVC851977 JEY851976:JEY851977 JOU851976:JOU851977 JYQ851976:JYQ851977 KIM851976:KIM851977 KSI851976:KSI851977 LCE851976:LCE851977 LMA851976:LMA851977 LVW851976:LVW851977 MFS851976:MFS851977 MPO851976:MPO851977 MZK851976:MZK851977 NJG851976:NJG851977 NTC851976:NTC851977 OCY851976:OCY851977 OMU851976:OMU851977 OWQ851976:OWQ851977 PGM851976:PGM851977 PQI851976:PQI851977 QAE851976:QAE851977 QKA851976:QKA851977 QTW851976:QTW851977 RDS851976:RDS851977 RNO851976:RNO851977 RXK851976:RXK851977 SHG851976:SHG851977 SRC851976:SRC851977 TAY851976:TAY851977 TKU851976:TKU851977 TUQ851976:TUQ851977 UEM851976:UEM851977 UOI851976:UOI851977 UYE851976:UYE851977 VIA851976:VIA851977 VRW851976:VRW851977 WBS851976:WBS851977 WLO851976:WLO851977 WVK851976:WVK851977 C917512:C917513 IY917512:IY917513 SU917512:SU917513 ACQ917512:ACQ917513 AMM917512:AMM917513 AWI917512:AWI917513 BGE917512:BGE917513 BQA917512:BQA917513 BZW917512:BZW917513 CJS917512:CJS917513 CTO917512:CTO917513 DDK917512:DDK917513 DNG917512:DNG917513 DXC917512:DXC917513 EGY917512:EGY917513 EQU917512:EQU917513 FAQ917512:FAQ917513 FKM917512:FKM917513 FUI917512:FUI917513 GEE917512:GEE917513 GOA917512:GOA917513 GXW917512:GXW917513 HHS917512:HHS917513 HRO917512:HRO917513 IBK917512:IBK917513 ILG917512:ILG917513 IVC917512:IVC917513 JEY917512:JEY917513 JOU917512:JOU917513 JYQ917512:JYQ917513 KIM917512:KIM917513 KSI917512:KSI917513 LCE917512:LCE917513 LMA917512:LMA917513 LVW917512:LVW917513 MFS917512:MFS917513 MPO917512:MPO917513 MZK917512:MZK917513 NJG917512:NJG917513 NTC917512:NTC917513 OCY917512:OCY917513 OMU917512:OMU917513 OWQ917512:OWQ917513 PGM917512:PGM917513 PQI917512:PQI917513 QAE917512:QAE917513 QKA917512:QKA917513 QTW917512:QTW917513 RDS917512:RDS917513 RNO917512:RNO917513 RXK917512:RXK917513 SHG917512:SHG917513 SRC917512:SRC917513 TAY917512:TAY917513 TKU917512:TKU917513 TUQ917512:TUQ917513 UEM917512:UEM917513 UOI917512:UOI917513 UYE917512:UYE917513 VIA917512:VIA917513 VRW917512:VRW917513 WBS917512:WBS917513 WLO917512:WLO917513 WVK917512:WVK917513 C983048:C983049 IY983048:IY983049 SU983048:SU983049 ACQ983048:ACQ983049 AMM983048:AMM983049 AWI983048:AWI983049 BGE983048:BGE983049 BQA983048:BQA983049 BZW983048:BZW983049 CJS983048:CJS983049 CTO983048:CTO983049 DDK983048:DDK983049 DNG983048:DNG983049 DXC983048:DXC983049 EGY983048:EGY983049 EQU983048:EQU983049 FAQ983048:FAQ983049 FKM983048:FKM983049 FUI983048:FUI983049 GEE983048:GEE983049 GOA983048:GOA983049 GXW983048:GXW983049 HHS983048:HHS983049 HRO983048:HRO983049 IBK983048:IBK983049 ILG983048:ILG983049 IVC983048:IVC983049 JEY983048:JEY983049 JOU983048:JOU983049 JYQ983048:JYQ983049 KIM983048:KIM983049 KSI983048:KSI983049 LCE983048:LCE983049 LMA983048:LMA983049 LVW983048:LVW983049 MFS983048:MFS983049 MPO983048:MPO983049 MZK983048:MZK983049 NJG983048:NJG983049 NTC983048:NTC983049 OCY983048:OCY983049 OMU983048:OMU983049 OWQ983048:OWQ983049 PGM983048:PGM983049 PQI983048:PQI983049 QAE983048:QAE983049 QKA983048:QKA983049 QTW983048:QTW983049 RDS983048:RDS983049 RNO983048:RNO983049 RXK983048:RXK983049 SHG983048:SHG983049 SRC983048:SRC983049 TAY983048:TAY983049 TKU983048:TKU983049 TUQ983048:TUQ983049 UEM983048:UEM983049 UOI983048:UOI983049 UYE983048:UYE983049 VIA983048:VIA983049 VRW983048:VRW983049 WBS983048:WBS983049 WLO983048:WLO983049 WVK983048:WVK983049" xr:uid="{B1182F80-FEC7-4B49-B15A-4D280AF46897}">
      <formula1>$A$246:$A$251</formula1>
    </dataValidation>
    <dataValidation type="list" allowBlank="1" showInputMessage="1" showErrorMessage="1"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xr:uid="{E4C6F0BE-B8AD-43FD-8B88-F3DE5AA5AD38}">
      <formula1>$A$245:$A$251</formula1>
    </dataValidation>
    <dataValidation allowBlank="1" showInputMessage="1" showErrorMessage="1" sqref="C11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xr:uid="{4CA7BA13-9C48-42D2-A6B8-77073F3D54FA}"/>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CC035-EC2C-432F-92FC-F6F92AF832E7}">
  <sheetPr codeName="K2_AHU_MultiCoil"/>
  <dimension ref="A1:P5"/>
  <sheetViews>
    <sheetView workbookViewId="0">
      <selection activeCell="H25" sqref="H25"/>
    </sheetView>
  </sheetViews>
  <sheetFormatPr defaultRowHeight="15"/>
  <cols>
    <col min="10" max="10" width="10.85546875" customWidth="1"/>
    <col min="13" max="13" width="9.5703125" customWidth="1"/>
  </cols>
  <sheetData>
    <row r="1" spans="1:16" ht="25.5">
      <c r="A1" s="1082" t="s">
        <v>2648</v>
      </c>
      <c r="B1" s="1082" t="s">
        <v>2649</v>
      </c>
      <c r="C1" s="1082" t="s">
        <v>9</v>
      </c>
      <c r="D1" s="1082" t="s">
        <v>694</v>
      </c>
      <c r="E1" s="1082" t="s">
        <v>0</v>
      </c>
      <c r="F1" s="1082" t="s">
        <v>2697</v>
      </c>
      <c r="G1" s="1082" t="s">
        <v>2654</v>
      </c>
      <c r="H1" s="1082" t="s">
        <v>2655</v>
      </c>
      <c r="I1" s="1082" t="s">
        <v>2656</v>
      </c>
      <c r="J1" s="1082" t="s">
        <v>2698</v>
      </c>
      <c r="K1" s="1082" t="s">
        <v>980</v>
      </c>
      <c r="L1" s="1082" t="s">
        <v>953</v>
      </c>
      <c r="M1" s="1082" t="s">
        <v>813</v>
      </c>
      <c r="N1" s="1082" t="s">
        <v>2699</v>
      </c>
      <c r="O1" s="1082" t="s">
        <v>981</v>
      </c>
      <c r="P1" s="1082" t="s">
        <v>982</v>
      </c>
    </row>
    <row r="2" spans="1:16">
      <c r="A2">
        <v>1</v>
      </c>
      <c r="B2" t="s">
        <v>49</v>
      </c>
      <c r="C2" t="s">
        <v>49</v>
      </c>
      <c r="D2">
        <v>1</v>
      </c>
      <c r="E2" t="s">
        <v>2700</v>
      </c>
      <c r="F2">
        <v>500</v>
      </c>
      <c r="G2">
        <v>12</v>
      </c>
      <c r="H2">
        <v>28</v>
      </c>
      <c r="I2">
        <v>19</v>
      </c>
      <c r="J2">
        <v>12</v>
      </c>
      <c r="K2">
        <v>4</v>
      </c>
      <c r="L2">
        <v>12</v>
      </c>
      <c r="M2" t="s">
        <v>2686</v>
      </c>
      <c r="N2" t="s">
        <v>2701</v>
      </c>
      <c r="O2">
        <v>0</v>
      </c>
      <c r="P2">
        <v>0</v>
      </c>
    </row>
    <row r="3" spans="1:16">
      <c r="A3">
        <v>2</v>
      </c>
      <c r="B3" t="s">
        <v>49</v>
      </c>
      <c r="C3" t="s">
        <v>49</v>
      </c>
      <c r="D3">
        <v>1</v>
      </c>
      <c r="E3" t="s">
        <v>2700</v>
      </c>
      <c r="F3">
        <v>500</v>
      </c>
      <c r="G3">
        <v>12</v>
      </c>
      <c r="H3">
        <v>28</v>
      </c>
      <c r="I3">
        <v>19</v>
      </c>
      <c r="J3">
        <v>12</v>
      </c>
      <c r="K3">
        <v>4</v>
      </c>
      <c r="L3">
        <v>12</v>
      </c>
      <c r="M3" t="s">
        <v>2686</v>
      </c>
      <c r="N3" t="s">
        <v>2701</v>
      </c>
      <c r="O3">
        <v>0</v>
      </c>
      <c r="P3">
        <v>0</v>
      </c>
    </row>
    <row r="4" spans="1:16">
      <c r="A4">
        <v>3</v>
      </c>
      <c r="B4" t="s">
        <v>49</v>
      </c>
      <c r="C4" t="s">
        <v>49</v>
      </c>
      <c r="D4">
        <v>1</v>
      </c>
      <c r="E4" t="s">
        <v>2700</v>
      </c>
      <c r="F4">
        <v>500</v>
      </c>
      <c r="G4">
        <v>12</v>
      </c>
      <c r="H4">
        <v>28</v>
      </c>
      <c r="I4">
        <v>19</v>
      </c>
      <c r="J4">
        <v>12</v>
      </c>
      <c r="K4">
        <v>4</v>
      </c>
      <c r="L4">
        <v>12</v>
      </c>
      <c r="M4" t="s">
        <v>2686</v>
      </c>
      <c r="N4" t="s">
        <v>2701</v>
      </c>
      <c r="O4">
        <v>0</v>
      </c>
      <c r="P4">
        <v>0</v>
      </c>
    </row>
    <row r="5" spans="1:16">
      <c r="A5">
        <v>4</v>
      </c>
      <c r="B5" t="s">
        <v>58</v>
      </c>
      <c r="C5" t="s">
        <v>58</v>
      </c>
      <c r="D5">
        <v>1</v>
      </c>
      <c r="E5" t="s">
        <v>2702</v>
      </c>
      <c r="F5">
        <v>500</v>
      </c>
      <c r="G5">
        <v>12</v>
      </c>
      <c r="H5">
        <v>28</v>
      </c>
      <c r="I5">
        <v>19</v>
      </c>
      <c r="J5">
        <v>12</v>
      </c>
      <c r="K5">
        <v>3</v>
      </c>
      <c r="L5">
        <v>12</v>
      </c>
      <c r="M5" t="s">
        <v>2686</v>
      </c>
      <c r="N5" t="s">
        <v>2701</v>
      </c>
      <c r="O5">
        <v>0</v>
      </c>
      <c r="P5">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A22C2-7F9D-456C-8D96-034175C531CB}">
  <sheetPr codeName="K1_FCU_MultiCoil"/>
  <dimension ref="A1:R4"/>
  <sheetViews>
    <sheetView workbookViewId="0">
      <selection activeCell="A4" sqref="A4"/>
    </sheetView>
  </sheetViews>
  <sheetFormatPr defaultRowHeight="15"/>
  <cols>
    <col min="8" max="8" width="10.28515625" bestFit="1" customWidth="1"/>
    <col min="17" max="17" width="9.7109375" bestFit="1" customWidth="1"/>
    <col min="18" max="18" width="10.5703125" bestFit="1" customWidth="1"/>
  </cols>
  <sheetData>
    <row r="1" spans="1:18" ht="30" customHeight="1">
      <c r="A1" s="1082" t="s">
        <v>2648</v>
      </c>
      <c r="B1" s="1082" t="s">
        <v>2649</v>
      </c>
      <c r="C1" s="1082" t="s">
        <v>9</v>
      </c>
      <c r="D1" s="1082" t="s">
        <v>2650</v>
      </c>
      <c r="E1" s="1082" t="s">
        <v>2651</v>
      </c>
      <c r="F1" s="1082" t="s">
        <v>0</v>
      </c>
      <c r="G1" s="1082" t="s">
        <v>2652</v>
      </c>
      <c r="H1" s="1082" t="s">
        <v>130</v>
      </c>
      <c r="I1" s="1082" t="s">
        <v>694</v>
      </c>
      <c r="J1" s="1082" t="s">
        <v>2653</v>
      </c>
      <c r="K1" s="1082" t="s">
        <v>2654</v>
      </c>
      <c r="L1" s="1082" t="s">
        <v>2655</v>
      </c>
      <c r="M1" s="1082" t="s">
        <v>2656</v>
      </c>
      <c r="N1" s="1082" t="s">
        <v>2657</v>
      </c>
      <c r="O1" s="1082" t="s">
        <v>980</v>
      </c>
      <c r="P1" s="1082" t="s">
        <v>953</v>
      </c>
      <c r="Q1" s="1082" t="s">
        <v>813</v>
      </c>
      <c r="R1" s="1082" t="s">
        <v>2663</v>
      </c>
    </row>
    <row r="2" spans="1:18">
      <c r="A2" s="163" t="s">
        <v>2672</v>
      </c>
      <c r="B2" t="s">
        <v>90</v>
      </c>
      <c r="C2" t="s">
        <v>2665</v>
      </c>
      <c r="D2" t="s">
        <v>2666</v>
      </c>
      <c r="E2" t="s">
        <v>2664</v>
      </c>
      <c r="F2" t="s">
        <v>2675</v>
      </c>
      <c r="G2" t="s">
        <v>2667</v>
      </c>
      <c r="H2" t="s">
        <v>2692</v>
      </c>
      <c r="I2">
        <v>1</v>
      </c>
      <c r="J2">
        <v>50</v>
      </c>
      <c r="K2">
        <v>12</v>
      </c>
      <c r="L2">
        <v>28</v>
      </c>
      <c r="M2">
        <v>19</v>
      </c>
      <c r="N2">
        <v>12</v>
      </c>
      <c r="O2">
        <v>3</v>
      </c>
      <c r="P2">
        <v>12</v>
      </c>
      <c r="Q2" t="s">
        <v>821</v>
      </c>
      <c r="R2" t="s">
        <v>2668</v>
      </c>
    </row>
    <row r="3" spans="1:18">
      <c r="A3" s="163" t="s">
        <v>2673</v>
      </c>
      <c r="B3" t="s">
        <v>90</v>
      </c>
      <c r="C3" t="s">
        <v>2665</v>
      </c>
      <c r="D3" t="s">
        <v>2666</v>
      </c>
      <c r="E3" t="s">
        <v>2664</v>
      </c>
      <c r="F3" t="s">
        <v>2683</v>
      </c>
      <c r="G3" t="s">
        <v>2667</v>
      </c>
      <c r="H3" t="s">
        <v>2692</v>
      </c>
      <c r="I3">
        <v>1</v>
      </c>
      <c r="J3">
        <v>50</v>
      </c>
      <c r="K3">
        <v>20</v>
      </c>
      <c r="L3">
        <v>28</v>
      </c>
      <c r="M3">
        <v>19</v>
      </c>
      <c r="N3">
        <v>12</v>
      </c>
      <c r="O3">
        <v>3</v>
      </c>
      <c r="P3">
        <v>12</v>
      </c>
      <c r="Q3" t="s">
        <v>2686</v>
      </c>
      <c r="R3" t="s">
        <v>2668</v>
      </c>
    </row>
    <row r="4" spans="1:18">
      <c r="A4" s="163" t="s">
        <v>2674</v>
      </c>
      <c r="B4" t="s">
        <v>90</v>
      </c>
      <c r="C4" t="s">
        <v>2670</v>
      </c>
      <c r="D4" t="s">
        <v>2666</v>
      </c>
      <c r="E4" t="s">
        <v>2669</v>
      </c>
      <c r="F4" t="s">
        <v>2687</v>
      </c>
      <c r="G4" t="s">
        <v>2667</v>
      </c>
      <c r="H4" t="s">
        <v>2692</v>
      </c>
      <c r="I4">
        <v>1</v>
      </c>
      <c r="J4">
        <v>50</v>
      </c>
      <c r="K4">
        <v>5</v>
      </c>
      <c r="L4">
        <v>28</v>
      </c>
      <c r="M4">
        <v>19</v>
      </c>
      <c r="N4">
        <v>12</v>
      </c>
      <c r="O4">
        <v>3</v>
      </c>
      <c r="P4">
        <v>12</v>
      </c>
      <c r="Q4" t="s">
        <v>821</v>
      </c>
      <c r="R4" t="s">
        <v>2668</v>
      </c>
    </row>
  </sheetData>
  <phoneticPr fontId="9"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5163A-0057-49CD-BCF0-02E106BB6D8F}">
  <sheetPr codeName="B1_APSa2"/>
  <dimension ref="A1:AW56"/>
  <sheetViews>
    <sheetView zoomScale="80" zoomScaleNormal="80" workbookViewId="0">
      <pane xSplit="1" topLeftCell="B1" activePane="topRight" state="frozen"/>
      <selection pane="topRight" activeCell="A44" sqref="A44"/>
    </sheetView>
  </sheetViews>
  <sheetFormatPr defaultColWidth="9.140625" defaultRowHeight="15"/>
  <cols>
    <col min="1" max="1" width="55.7109375" style="1" customWidth="1"/>
    <col min="2" max="2" width="4.140625" style="1" customWidth="1"/>
    <col min="3" max="3" width="13.140625" style="1" customWidth="1"/>
    <col min="4" max="4" width="15.28515625" style="1" customWidth="1"/>
    <col min="5" max="5" width="13.42578125" style="1" customWidth="1"/>
    <col min="6" max="6" width="12.42578125" style="1" customWidth="1"/>
    <col min="7" max="8" width="13.140625" style="1" customWidth="1"/>
    <col min="9" max="10" width="6.28515625" style="1" customWidth="1"/>
    <col min="11" max="14" width="7.42578125" style="1" customWidth="1"/>
    <col min="15" max="15" width="10.85546875" style="1" customWidth="1"/>
    <col min="16" max="16" width="4.140625" style="1" customWidth="1"/>
    <col min="17" max="21" width="9.140625" style="1" customWidth="1"/>
    <col min="22" max="22" width="13.85546875" style="1" customWidth="1"/>
    <col min="23" max="23" width="10.28515625" style="1" customWidth="1"/>
    <col min="24" max="25" width="9.140625" style="1" customWidth="1"/>
    <col min="26" max="26" width="12.85546875" style="1" customWidth="1"/>
    <col min="27" max="192" width="9.140625" style="1" customWidth="1"/>
    <col min="193" max="16384" width="9.140625" style="1"/>
  </cols>
  <sheetData>
    <row r="1" spans="1:49" ht="15.75" customHeight="1" thickBot="1">
      <c r="A1" s="159" t="s">
        <v>394</v>
      </c>
      <c r="B1" s="160">
        <v>0</v>
      </c>
      <c r="C1" s="160">
        <v>1</v>
      </c>
      <c r="D1" s="160">
        <v>2</v>
      </c>
      <c r="E1" s="160">
        <v>3</v>
      </c>
      <c r="F1" s="160">
        <v>0</v>
      </c>
      <c r="G1" s="160">
        <v>0</v>
      </c>
      <c r="H1" s="160">
        <v>0</v>
      </c>
      <c r="I1" s="160">
        <v>4</v>
      </c>
      <c r="J1" s="160">
        <v>5</v>
      </c>
      <c r="K1" s="160">
        <v>6</v>
      </c>
      <c r="L1" s="160">
        <v>0</v>
      </c>
      <c r="M1" s="160">
        <v>0</v>
      </c>
      <c r="N1" s="160">
        <v>0</v>
      </c>
      <c r="O1" s="160">
        <v>7</v>
      </c>
      <c r="P1" s="160">
        <v>0</v>
      </c>
      <c r="Q1" s="160">
        <v>0</v>
      </c>
      <c r="R1" s="160">
        <v>0</v>
      </c>
      <c r="S1" s="160">
        <v>0</v>
      </c>
      <c r="T1" s="160">
        <v>0</v>
      </c>
      <c r="U1" s="160">
        <v>0</v>
      </c>
      <c r="V1" s="160">
        <v>0</v>
      </c>
      <c r="W1" s="160">
        <v>0</v>
      </c>
      <c r="X1" s="160">
        <v>0</v>
      </c>
      <c r="Y1" s="160">
        <v>0</v>
      </c>
      <c r="Z1" s="160">
        <v>0</v>
      </c>
      <c r="AA1" s="160">
        <v>0</v>
      </c>
      <c r="AB1" s="160">
        <v>0</v>
      </c>
      <c r="AC1" s="160">
        <v>0</v>
      </c>
      <c r="AD1" s="160">
        <v>0</v>
      </c>
      <c r="AE1" s="160">
        <v>8</v>
      </c>
      <c r="AF1" s="160">
        <v>9</v>
      </c>
      <c r="AG1" s="160">
        <v>10</v>
      </c>
      <c r="AH1" s="160">
        <v>0</v>
      </c>
      <c r="AI1" s="160">
        <v>0</v>
      </c>
      <c r="AJ1" s="160">
        <v>11</v>
      </c>
      <c r="AK1" s="160">
        <v>0</v>
      </c>
      <c r="AL1" s="160">
        <v>0</v>
      </c>
      <c r="AM1" s="7"/>
      <c r="AN1" s="7"/>
      <c r="AO1" s="7"/>
      <c r="AP1" s="7"/>
      <c r="AQ1" s="7"/>
      <c r="AR1" s="7"/>
      <c r="AS1" s="7"/>
      <c r="AT1" s="7"/>
      <c r="AU1" s="7"/>
      <c r="AV1" s="7"/>
      <c r="AW1" s="7"/>
    </row>
    <row r="2" spans="1:49" ht="14.25" customHeight="1" thickBot="1">
      <c r="A2" s="62"/>
      <c r="B2" s="1">
        <v>0</v>
      </c>
      <c r="C2" s="1" t="s">
        <v>427</v>
      </c>
      <c r="D2" s="1" t="s">
        <v>428</v>
      </c>
      <c r="E2" s="1" t="s">
        <v>2098</v>
      </c>
      <c r="F2" s="1">
        <v>0</v>
      </c>
      <c r="G2" s="1">
        <v>0</v>
      </c>
      <c r="H2" s="1" t="s">
        <v>1335</v>
      </c>
      <c r="I2" s="1">
        <v>0</v>
      </c>
      <c r="J2" s="1">
        <v>0</v>
      </c>
      <c r="K2" s="1">
        <v>0</v>
      </c>
      <c r="L2" s="1">
        <v>0</v>
      </c>
      <c r="M2" s="1">
        <v>0</v>
      </c>
      <c r="N2" s="1">
        <v>0</v>
      </c>
      <c r="O2" s="1" t="s">
        <v>2142</v>
      </c>
      <c r="P2" s="1">
        <v>0</v>
      </c>
      <c r="Q2" s="1">
        <v>0</v>
      </c>
      <c r="R2" s="1">
        <v>0</v>
      </c>
      <c r="S2" s="1">
        <v>0</v>
      </c>
      <c r="T2" s="1">
        <v>0</v>
      </c>
      <c r="U2" s="1">
        <v>0</v>
      </c>
      <c r="V2" s="1">
        <v>0</v>
      </c>
      <c r="W2" s="1">
        <v>0</v>
      </c>
      <c r="X2" s="1" t="s">
        <v>2102</v>
      </c>
      <c r="Y2" s="1" t="s">
        <v>2100</v>
      </c>
      <c r="Z2" s="1" t="s">
        <v>2101</v>
      </c>
      <c r="AA2" s="1">
        <v>0</v>
      </c>
      <c r="AB2" s="1">
        <v>0</v>
      </c>
      <c r="AC2" s="1">
        <v>0</v>
      </c>
      <c r="AD2" s="1">
        <v>0</v>
      </c>
      <c r="AE2" s="1" t="s">
        <v>39</v>
      </c>
      <c r="AF2" s="1" t="s">
        <v>40</v>
      </c>
      <c r="AG2" s="1" t="s">
        <v>38</v>
      </c>
      <c r="AH2" s="1" t="s">
        <v>645</v>
      </c>
      <c r="AI2" s="1" t="s">
        <v>2136</v>
      </c>
      <c r="AJ2" s="1" t="s">
        <v>41</v>
      </c>
      <c r="AK2" s="1">
        <v>0</v>
      </c>
      <c r="AL2" s="1">
        <v>0</v>
      </c>
      <c r="AM2" s="7"/>
      <c r="AN2" s="7"/>
      <c r="AO2" s="7"/>
      <c r="AP2" s="7"/>
      <c r="AQ2" s="7"/>
      <c r="AR2" s="7"/>
      <c r="AS2" s="7"/>
      <c r="AT2" s="7"/>
      <c r="AU2" s="7"/>
      <c r="AV2" s="7"/>
      <c r="AW2" s="7"/>
    </row>
    <row r="3" spans="1:49" s="7" customFormat="1" ht="19.5" customHeight="1" thickTop="1" thickBot="1">
      <c r="A3" s="60" t="s">
        <v>80</v>
      </c>
      <c r="B3" s="1776" t="s">
        <v>21</v>
      </c>
      <c r="C3" s="1776"/>
      <c r="D3" s="1776"/>
      <c r="E3" s="1776"/>
      <c r="F3" s="1620" t="s">
        <v>17</v>
      </c>
      <c r="G3" s="1621"/>
      <c r="H3" s="1621"/>
      <c r="I3" s="1621"/>
      <c r="J3" s="1621"/>
      <c r="K3" s="1621"/>
      <c r="L3" s="1621"/>
      <c r="M3" s="1621"/>
      <c r="N3" s="1621"/>
      <c r="O3" s="1621"/>
      <c r="P3" s="68"/>
      <c r="Q3" s="1777" t="s">
        <v>24</v>
      </c>
      <c r="R3" s="1778"/>
      <c r="S3" s="1778"/>
      <c r="T3" s="1778"/>
      <c r="U3" s="1778"/>
      <c r="V3" s="1778"/>
      <c r="W3" s="1778"/>
      <c r="X3" s="1778"/>
      <c r="Y3" s="1778"/>
      <c r="Z3" s="1779"/>
      <c r="AB3" s="1780" t="s">
        <v>42</v>
      </c>
      <c r="AC3" s="1781"/>
      <c r="AD3" s="1781"/>
      <c r="AE3" s="1781"/>
      <c r="AF3" s="1781"/>
      <c r="AG3" s="1781"/>
      <c r="AH3" s="1781"/>
      <c r="AI3" s="1781"/>
      <c r="AJ3" s="1782"/>
    </row>
    <row r="4" spans="1:49" s="7" customFormat="1" ht="50.25" thickTop="1">
      <c r="A4" s="98"/>
      <c r="B4" s="90" t="s">
        <v>2</v>
      </c>
      <c r="C4" s="79" t="s">
        <v>3</v>
      </c>
      <c r="D4" s="79" t="s">
        <v>0</v>
      </c>
      <c r="E4" s="80" t="s">
        <v>72</v>
      </c>
      <c r="F4" s="81" t="s">
        <v>66</v>
      </c>
      <c r="G4" s="81" t="s">
        <v>22</v>
      </c>
      <c r="H4" s="82" t="s">
        <v>1336</v>
      </c>
      <c r="I4" s="82" t="s">
        <v>585</v>
      </c>
      <c r="J4" s="82" t="s">
        <v>586</v>
      </c>
      <c r="K4" s="82" t="s">
        <v>2150</v>
      </c>
      <c r="L4" s="82" t="s">
        <v>587</v>
      </c>
      <c r="M4" s="82" t="s">
        <v>588</v>
      </c>
      <c r="N4" s="82" t="s">
        <v>2151</v>
      </c>
      <c r="O4" s="83" t="s">
        <v>65</v>
      </c>
      <c r="P4" s="69"/>
      <c r="Q4" s="84" t="s">
        <v>68</v>
      </c>
      <c r="R4" s="85" t="s">
        <v>69</v>
      </c>
      <c r="S4" s="86" t="s">
        <v>16</v>
      </c>
      <c r="T4" s="86" t="s">
        <v>67</v>
      </c>
      <c r="U4" s="87" t="s">
        <v>26</v>
      </c>
      <c r="V4" s="88" t="s">
        <v>11</v>
      </c>
      <c r="W4" s="88" t="s">
        <v>15</v>
      </c>
      <c r="X4" s="88" t="s">
        <v>2490</v>
      </c>
      <c r="Y4" s="88" t="s">
        <v>5</v>
      </c>
      <c r="Z4" s="89" t="s">
        <v>2491</v>
      </c>
      <c r="AB4" s="48" t="str">
        <f t="shared" ref="AB4:AD9" si="0">B4</f>
        <v>No.</v>
      </c>
      <c r="AC4" s="49" t="str">
        <f t="shared" si="0"/>
        <v>Ref.</v>
      </c>
      <c r="AD4" s="49" t="str">
        <f t="shared" si="0"/>
        <v>Model</v>
      </c>
      <c r="AE4" s="49" t="s">
        <v>39</v>
      </c>
      <c r="AF4" s="50" t="s">
        <v>40</v>
      </c>
      <c r="AG4" s="50" t="s">
        <v>38</v>
      </c>
      <c r="AH4" s="243" t="s">
        <v>645</v>
      </c>
      <c r="AI4" s="243" t="s">
        <v>2136</v>
      </c>
      <c r="AJ4" s="51" t="s">
        <v>41</v>
      </c>
    </row>
    <row r="5" spans="1:49" s="7" customFormat="1" ht="16.5">
      <c r="A5" s="99"/>
      <c r="B5" s="12">
        <v>1</v>
      </c>
      <c r="C5" s="6" t="s">
        <v>2839</v>
      </c>
      <c r="D5" s="6" t="s">
        <v>2840</v>
      </c>
      <c r="E5" s="566" t="s">
        <v>2840</v>
      </c>
      <c r="F5" s="26"/>
      <c r="G5" s="8">
        <f>F5*3.517</f>
        <v>0</v>
      </c>
      <c r="H5" s="8"/>
      <c r="I5" s="8"/>
      <c r="J5" s="8"/>
      <c r="K5" s="8"/>
      <c r="L5" s="8">
        <f t="shared" ref="L5:N9" si="1">I5*1.8+32</f>
        <v>32</v>
      </c>
      <c r="M5" s="8">
        <f t="shared" si="1"/>
        <v>32</v>
      </c>
      <c r="N5" s="8">
        <f t="shared" si="1"/>
        <v>32</v>
      </c>
      <c r="O5" s="8"/>
      <c r="P5" s="69"/>
      <c r="Q5" s="20"/>
      <c r="R5" s="43"/>
      <c r="S5" s="9"/>
      <c r="T5" s="9"/>
      <c r="U5" s="9">
        <f>SUM(Q5:T5)</f>
        <v>0</v>
      </c>
      <c r="V5" s="22">
        <f>U5*3.75</f>
        <v>0</v>
      </c>
      <c r="W5" s="22">
        <f>V5*1.25</f>
        <v>0</v>
      </c>
      <c r="X5" s="22">
        <f>CEILING(W5,5)</f>
        <v>0</v>
      </c>
      <c r="Y5" s="22">
        <v>1</v>
      </c>
      <c r="Z5" s="23">
        <f>Y5*X5</f>
        <v>0</v>
      </c>
      <c r="AB5" s="12">
        <f t="shared" si="0"/>
        <v>1</v>
      </c>
      <c r="AC5" s="8" t="str">
        <f t="shared" si="0"/>
        <v>CH-01</v>
      </c>
      <c r="AD5" s="8" t="str">
        <f t="shared" si="0"/>
        <v>XX</v>
      </c>
      <c r="AE5" s="8"/>
      <c r="AF5" s="9"/>
      <c r="AG5" s="9"/>
      <c r="AH5" s="170"/>
      <c r="AI5" s="170"/>
      <c r="AJ5" s="13"/>
    </row>
    <row r="6" spans="1:49" s="7" customFormat="1" ht="16.5">
      <c r="A6" s="99"/>
      <c r="B6" s="12">
        <v>2</v>
      </c>
      <c r="C6" s="6"/>
      <c r="D6" s="6"/>
      <c r="E6" s="566"/>
      <c r="F6" s="26"/>
      <c r="G6" s="8">
        <f>F6*3.517</f>
        <v>0</v>
      </c>
      <c r="H6" s="8"/>
      <c r="I6" s="8"/>
      <c r="J6" s="8"/>
      <c r="K6" s="8"/>
      <c r="L6" s="8">
        <f t="shared" si="1"/>
        <v>32</v>
      </c>
      <c r="M6" s="8">
        <f t="shared" si="1"/>
        <v>32</v>
      </c>
      <c r="N6" s="8">
        <f t="shared" si="1"/>
        <v>32</v>
      </c>
      <c r="O6" s="8"/>
      <c r="P6" s="69"/>
      <c r="Q6" s="20"/>
      <c r="R6" s="43"/>
      <c r="S6" s="9"/>
      <c r="T6" s="9"/>
      <c r="U6" s="9">
        <f>SUM(Q6:T6)</f>
        <v>0</v>
      </c>
      <c r="V6" s="9">
        <f>U6*3.75</f>
        <v>0</v>
      </c>
      <c r="W6" s="9">
        <f>V6*1.25</f>
        <v>0</v>
      </c>
      <c r="X6" s="9">
        <f>CEILING(W6,5)</f>
        <v>0</v>
      </c>
      <c r="Y6" s="9"/>
      <c r="Z6" s="10">
        <f>Y6*X6</f>
        <v>0</v>
      </c>
      <c r="AB6" s="12">
        <f t="shared" si="0"/>
        <v>2</v>
      </c>
      <c r="AC6" s="8">
        <f t="shared" si="0"/>
        <v>0</v>
      </c>
      <c r="AD6" s="8">
        <f t="shared" si="0"/>
        <v>0</v>
      </c>
      <c r="AE6" s="8"/>
      <c r="AF6" s="9"/>
      <c r="AG6" s="9"/>
      <c r="AH6" s="170"/>
      <c r="AI6" s="170"/>
      <c r="AJ6" s="13"/>
    </row>
    <row r="7" spans="1:49" s="7" customFormat="1" ht="16.5">
      <c r="A7" s="99"/>
      <c r="B7" s="12">
        <v>3</v>
      </c>
      <c r="C7" s="6"/>
      <c r="D7" s="6"/>
      <c r="E7" s="566"/>
      <c r="F7" s="26"/>
      <c r="G7" s="8">
        <f>F7*3.517</f>
        <v>0</v>
      </c>
      <c r="H7" s="8"/>
      <c r="I7" s="8"/>
      <c r="J7" s="8"/>
      <c r="K7" s="8"/>
      <c r="L7" s="8">
        <f t="shared" si="1"/>
        <v>32</v>
      </c>
      <c r="M7" s="8">
        <f t="shared" si="1"/>
        <v>32</v>
      </c>
      <c r="N7" s="8">
        <f t="shared" si="1"/>
        <v>32</v>
      </c>
      <c r="O7" s="8"/>
      <c r="P7" s="69"/>
      <c r="Q7" s="20"/>
      <c r="R7" s="43"/>
      <c r="S7" s="9"/>
      <c r="T7" s="9"/>
      <c r="U7" s="9">
        <f>SUM(Q7:T7)</f>
        <v>0</v>
      </c>
      <c r="V7" s="9">
        <f>U7*3.75</f>
        <v>0</v>
      </c>
      <c r="W7" s="9">
        <f>V7*1.25</f>
        <v>0</v>
      </c>
      <c r="X7" s="9">
        <f>CEILING(W7,5)</f>
        <v>0</v>
      </c>
      <c r="Y7" s="9"/>
      <c r="Z7" s="10">
        <f>Y7*X7</f>
        <v>0</v>
      </c>
      <c r="AB7" s="12">
        <f t="shared" si="0"/>
        <v>3</v>
      </c>
      <c r="AC7" s="8">
        <f t="shared" si="0"/>
        <v>0</v>
      </c>
      <c r="AD7" s="8">
        <f t="shared" si="0"/>
        <v>0</v>
      </c>
      <c r="AE7" s="8"/>
      <c r="AF7" s="9"/>
      <c r="AG7" s="9"/>
      <c r="AH7" s="170"/>
      <c r="AI7" s="170"/>
      <c r="AJ7" s="13"/>
    </row>
    <row r="8" spans="1:49" s="7" customFormat="1" ht="16.5">
      <c r="A8" s="99"/>
      <c r="B8" s="12">
        <v>4</v>
      </c>
      <c r="C8" s="6"/>
      <c r="D8" s="6"/>
      <c r="E8" s="566"/>
      <c r="F8" s="26"/>
      <c r="G8" s="8">
        <f>F8*3.517</f>
        <v>0</v>
      </c>
      <c r="H8" s="8"/>
      <c r="I8" s="8"/>
      <c r="J8" s="8"/>
      <c r="K8" s="8"/>
      <c r="L8" s="8">
        <f t="shared" si="1"/>
        <v>32</v>
      </c>
      <c r="M8" s="8">
        <f t="shared" si="1"/>
        <v>32</v>
      </c>
      <c r="N8" s="8">
        <f t="shared" si="1"/>
        <v>32</v>
      </c>
      <c r="O8" s="8"/>
      <c r="P8" s="69"/>
      <c r="Q8" s="20"/>
      <c r="R8" s="43"/>
      <c r="S8" s="9"/>
      <c r="T8" s="9"/>
      <c r="U8" s="9">
        <f>SUM(Q8:T8)</f>
        <v>0</v>
      </c>
      <c r="V8" s="9">
        <f>U8*3.75</f>
        <v>0</v>
      </c>
      <c r="W8" s="9">
        <f>V8*1.25</f>
        <v>0</v>
      </c>
      <c r="X8" s="9">
        <f>CEILING(W8,5)</f>
        <v>0</v>
      </c>
      <c r="Y8" s="9"/>
      <c r="Z8" s="10">
        <f>Y8*X8</f>
        <v>0</v>
      </c>
      <c r="AB8" s="12">
        <f t="shared" si="0"/>
        <v>4</v>
      </c>
      <c r="AC8" s="8">
        <f t="shared" si="0"/>
        <v>0</v>
      </c>
      <c r="AD8" s="8">
        <f t="shared" si="0"/>
        <v>0</v>
      </c>
      <c r="AE8" s="8"/>
      <c r="AF8" s="9"/>
      <c r="AG8" s="9"/>
      <c r="AH8" s="170"/>
      <c r="AI8" s="170"/>
      <c r="AJ8" s="13"/>
    </row>
    <row r="9" spans="1:49" s="7" customFormat="1" ht="15.75" customHeight="1" thickBot="1">
      <c r="A9" s="99"/>
      <c r="B9" s="38">
        <v>5</v>
      </c>
      <c r="C9" s="17"/>
      <c r="D9" s="17"/>
      <c r="E9" s="567"/>
      <c r="F9" s="27"/>
      <c r="G9" s="15">
        <f>F9*3.517</f>
        <v>0</v>
      </c>
      <c r="H9" s="15"/>
      <c r="I9" s="15"/>
      <c r="J9" s="15"/>
      <c r="K9" s="15"/>
      <c r="L9" s="15">
        <f t="shared" si="1"/>
        <v>32</v>
      </c>
      <c r="M9" s="15">
        <f t="shared" si="1"/>
        <v>32</v>
      </c>
      <c r="N9" s="15">
        <f t="shared" si="1"/>
        <v>32</v>
      </c>
      <c r="O9" s="15"/>
      <c r="P9" s="70"/>
      <c r="Q9" s="21"/>
      <c r="R9" s="56"/>
      <c r="S9" s="18"/>
      <c r="T9" s="18"/>
      <c r="U9" s="18">
        <f>SUM(Q9:T9)</f>
        <v>0</v>
      </c>
      <c r="V9" s="18">
        <f>U9*3.75</f>
        <v>0</v>
      </c>
      <c r="W9" s="18">
        <f>V9*1.25</f>
        <v>0</v>
      </c>
      <c r="X9" s="18">
        <f>CEILING(W9,5)</f>
        <v>0</v>
      </c>
      <c r="Y9" s="18"/>
      <c r="Z9" s="19">
        <f>Y9*X9</f>
        <v>0</v>
      </c>
      <c r="AB9" s="14">
        <f t="shared" si="0"/>
        <v>5</v>
      </c>
      <c r="AC9" s="15">
        <f t="shared" si="0"/>
        <v>0</v>
      </c>
      <c r="AD9" s="15">
        <f t="shared" si="0"/>
        <v>0</v>
      </c>
      <c r="AE9" s="15"/>
      <c r="AF9" s="18"/>
      <c r="AG9" s="18"/>
      <c r="AH9" s="171"/>
      <c r="AI9" s="171"/>
      <c r="AJ9" s="16"/>
    </row>
    <row r="10" spans="1:49" s="7" customFormat="1" ht="17.25" thickBot="1">
      <c r="A10" s="62"/>
      <c r="E10" s="11"/>
      <c r="U10" s="11"/>
      <c r="V10" s="11"/>
      <c r="W10" s="11"/>
      <c r="X10" s="11"/>
      <c r="Y10" s="172">
        <f>SUM(Y5:Y9)</f>
        <v>1</v>
      </c>
      <c r="Z10" s="173">
        <f>SUM(Z5:Z9)</f>
        <v>0</v>
      </c>
    </row>
    <row r="11" spans="1:49" ht="15.75" customHeight="1">
      <c r="A11" s="62"/>
    </row>
    <row r="12" spans="1:49" ht="15.75">
      <c r="A12" s="62"/>
    </row>
    <row r="13" spans="1:49" ht="16.5" thickBot="1">
      <c r="A13" s="62"/>
    </row>
    <row r="14" spans="1:49" ht="15" customHeight="1" thickBot="1">
      <c r="A14" s="62"/>
      <c r="C14" s="1783" t="s">
        <v>2146</v>
      </c>
      <c r="D14" s="1784"/>
      <c r="E14" s="1784"/>
      <c r="F14" s="1784"/>
      <c r="G14" s="1784"/>
      <c r="H14" s="1784"/>
      <c r="I14" s="1785"/>
    </row>
    <row r="15" spans="1:49" ht="15" customHeight="1">
      <c r="A15" s="62"/>
      <c r="C15" s="59" t="s">
        <v>3</v>
      </c>
      <c r="D15" s="39"/>
      <c r="E15" s="39"/>
      <c r="F15" s="39"/>
      <c r="G15" s="39"/>
      <c r="H15" s="39"/>
      <c r="I15" s="39"/>
    </row>
    <row r="16" spans="1:49" ht="15" customHeight="1">
      <c r="A16" s="62"/>
    </row>
    <row r="17" spans="1:1" ht="15" customHeight="1">
      <c r="A17" s="62"/>
    </row>
    <row r="18" spans="1:1" ht="15" customHeight="1">
      <c r="A18" s="62"/>
    </row>
    <row r="19" spans="1:1" ht="15" customHeight="1">
      <c r="A19" s="62"/>
    </row>
    <row r="20" spans="1:1" ht="15" customHeight="1">
      <c r="A20" s="62"/>
    </row>
    <row r="21" spans="1:1" ht="15" customHeight="1">
      <c r="A21" s="62"/>
    </row>
    <row r="22" spans="1:1" ht="15" customHeight="1">
      <c r="A22" s="62"/>
    </row>
    <row r="23" spans="1:1" ht="15" customHeight="1">
      <c r="A23" s="62"/>
    </row>
    <row r="24" spans="1:1" ht="15" customHeight="1">
      <c r="A24" s="62"/>
    </row>
    <row r="25" spans="1:1" ht="15" customHeight="1">
      <c r="A25" s="62"/>
    </row>
    <row r="26" spans="1:1" ht="15" customHeight="1">
      <c r="A26" s="62"/>
    </row>
    <row r="27" spans="1:1" ht="15" customHeight="1">
      <c r="A27" s="62"/>
    </row>
    <row r="28" spans="1:1" ht="15" customHeight="1">
      <c r="A28" s="62"/>
    </row>
    <row r="29" spans="1:1" ht="15" customHeight="1">
      <c r="A29" s="62"/>
    </row>
    <row r="30" spans="1:1" ht="15" customHeight="1">
      <c r="A30" s="62"/>
    </row>
    <row r="31" spans="1:1" ht="15" customHeight="1">
      <c r="A31" s="62"/>
    </row>
    <row r="32" spans="1:1" ht="15" customHeight="1">
      <c r="A32" s="62"/>
    </row>
    <row r="33" spans="1:1" ht="15" customHeight="1">
      <c r="A33" s="62"/>
    </row>
    <row r="34" spans="1:1" ht="15" customHeight="1">
      <c r="A34" s="62"/>
    </row>
    <row r="35" spans="1:1" ht="15" customHeight="1">
      <c r="A35" s="62"/>
    </row>
    <row r="36" spans="1:1" ht="15" customHeight="1">
      <c r="A36" s="62"/>
    </row>
    <row r="37" spans="1:1" ht="15" customHeight="1">
      <c r="A37" s="62"/>
    </row>
    <row r="38" spans="1:1" ht="15" customHeight="1">
      <c r="A38" s="62"/>
    </row>
    <row r="39" spans="1:1" ht="15" customHeight="1">
      <c r="A39" s="62"/>
    </row>
    <row r="40" spans="1:1" ht="15" customHeight="1">
      <c r="A40" s="62"/>
    </row>
    <row r="41" spans="1:1" ht="15" customHeight="1">
      <c r="A41" s="62"/>
    </row>
    <row r="42" spans="1:1" ht="15" customHeight="1">
      <c r="A42" s="62"/>
    </row>
    <row r="43" spans="1:1" ht="15" customHeight="1">
      <c r="A43" s="62"/>
    </row>
    <row r="44" spans="1:1" ht="15" customHeight="1">
      <c r="A44" s="62"/>
    </row>
    <row r="45" spans="1:1" ht="15" customHeight="1">
      <c r="A45" s="62"/>
    </row>
    <row r="46" spans="1:1" ht="15" customHeight="1">
      <c r="A46" s="62"/>
    </row>
    <row r="47" spans="1:1" ht="15" customHeight="1">
      <c r="A47" s="62"/>
    </row>
    <row r="48" spans="1:1" ht="15" customHeight="1">
      <c r="A48" s="62"/>
    </row>
    <row r="49" spans="1:1" ht="15" customHeight="1">
      <c r="A49" s="62"/>
    </row>
    <row r="50" spans="1:1" ht="15" customHeight="1">
      <c r="A50" s="62"/>
    </row>
    <row r="51" spans="1:1" ht="15" customHeight="1">
      <c r="A51" s="62"/>
    </row>
    <row r="52" spans="1:1" ht="15" customHeight="1">
      <c r="A52" s="62"/>
    </row>
    <row r="53" spans="1:1" ht="15" customHeight="1">
      <c r="A53" s="62"/>
    </row>
    <row r="54" spans="1:1" ht="15" customHeight="1">
      <c r="A54" s="62"/>
    </row>
    <row r="55" spans="1:1" ht="15.75" customHeight="1" thickBot="1">
      <c r="A55" s="63"/>
    </row>
    <row r="56" spans="1:1" ht="15.75" thickTop="1"/>
  </sheetData>
  <mergeCells count="5">
    <mergeCell ref="B3:E3"/>
    <mergeCell ref="F3:O3"/>
    <mergeCell ref="Q3:Z3"/>
    <mergeCell ref="AB3:AJ3"/>
    <mergeCell ref="C14:I1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32099" r:id="rId4" name="Technical">
          <controlPr defaultSize="0" autoLine="0" r:id="rId5">
            <anchor moveWithCells="1">
              <from>
                <xdr:col>0</xdr:col>
                <xdr:colOff>1838325</xdr:colOff>
                <xdr:row>3</xdr:row>
                <xdr:rowOff>133350</xdr:rowOff>
              </from>
              <to>
                <xdr:col>0</xdr:col>
                <xdr:colOff>3362325</xdr:colOff>
                <xdr:row>3</xdr:row>
                <xdr:rowOff>447675</xdr:rowOff>
              </to>
            </anchor>
          </controlPr>
        </control>
      </mc:Choice>
      <mc:Fallback>
        <control shapeId="132099" r:id="rId4" name="Technical"/>
      </mc:Fallback>
    </mc:AlternateContent>
    <mc:AlternateContent xmlns:mc="http://schemas.openxmlformats.org/markup-compatibility/2006">
      <mc:Choice Requires="x14">
        <control shapeId="132098" r:id="rId6" name="Specs">
          <controlPr defaultSize="0" autoLine="0" r:id="rId7">
            <anchor moveWithCells="1">
              <from>
                <xdr:col>0</xdr:col>
                <xdr:colOff>123825</xdr:colOff>
                <xdr:row>3</xdr:row>
                <xdr:rowOff>133350</xdr:rowOff>
              </from>
              <to>
                <xdr:col>0</xdr:col>
                <xdr:colOff>1647825</xdr:colOff>
                <xdr:row>3</xdr:row>
                <xdr:rowOff>447675</xdr:rowOff>
              </to>
            </anchor>
          </controlPr>
        </control>
      </mc:Choice>
      <mc:Fallback>
        <control shapeId="132098" r:id="rId6" name="Specs"/>
      </mc:Fallback>
    </mc:AlternateContent>
    <mc:AlternateContent xmlns:mc="http://schemas.openxmlformats.org/markup-compatibility/2006">
      <mc:Choice Requires="x14">
        <control shapeId="132097" r:id="rId8" name="Hide">
          <controlPr defaultSize="0" autoLine="0" r:id="rId9">
            <anchor moveWithCells="1">
              <from>
                <xdr:col>0</xdr:col>
                <xdr:colOff>0</xdr:colOff>
                <xdr:row>2</xdr:row>
                <xdr:rowOff>0</xdr:rowOff>
              </from>
              <to>
                <xdr:col>0</xdr:col>
                <xdr:colOff>504825</xdr:colOff>
                <xdr:row>3</xdr:row>
                <xdr:rowOff>66675</xdr:rowOff>
              </to>
            </anchor>
          </controlPr>
        </control>
      </mc:Choice>
      <mc:Fallback>
        <control shapeId="132097" r:id="rId8" name="Hid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7A81-4526-4835-86B1-7B467B3DE57A}">
  <sheetPr codeName="B1_APSa1"/>
  <dimension ref="A1:AW56"/>
  <sheetViews>
    <sheetView zoomScale="80" zoomScaleNormal="80" workbookViewId="0">
      <pane xSplit="1" topLeftCell="B1" activePane="topRight" state="frozen"/>
      <selection pane="topRight" activeCell="C5" sqref="C5:E5"/>
    </sheetView>
  </sheetViews>
  <sheetFormatPr defaultColWidth="9.140625" defaultRowHeight="15"/>
  <cols>
    <col min="1" max="1" width="55.7109375" style="1" customWidth="1"/>
    <col min="2" max="2" width="4.140625" style="1" customWidth="1"/>
    <col min="3" max="3" width="13.140625" style="1" customWidth="1"/>
    <col min="4" max="4" width="15.28515625" style="1" customWidth="1"/>
    <col min="5" max="5" width="13.42578125" style="1" customWidth="1"/>
    <col min="6" max="6" width="12.42578125" style="1" customWidth="1"/>
    <col min="7" max="8" width="13.140625" style="1" customWidth="1"/>
    <col min="9" max="10" width="6.28515625" style="1" customWidth="1"/>
    <col min="11" max="14" width="7.42578125" style="1" customWidth="1"/>
    <col min="15" max="15" width="10.85546875" style="1" customWidth="1"/>
    <col min="16" max="16" width="4.140625" style="1" customWidth="1"/>
    <col min="17" max="21" width="9.140625" style="1" customWidth="1"/>
    <col min="22" max="22" width="13.85546875" style="1" customWidth="1"/>
    <col min="23" max="23" width="10.28515625" style="1" customWidth="1"/>
    <col min="24" max="25" width="9.140625" style="1" customWidth="1"/>
    <col min="26" max="26" width="12.85546875" style="1" customWidth="1"/>
    <col min="27" max="192" width="9.140625" style="1" customWidth="1"/>
    <col min="193" max="16384" width="9.140625" style="1"/>
  </cols>
  <sheetData>
    <row r="1" spans="1:49" ht="15.75" customHeight="1" thickBot="1">
      <c r="A1" s="159" t="s">
        <v>394</v>
      </c>
      <c r="B1" s="160">
        <v>0</v>
      </c>
      <c r="C1" s="160">
        <v>1</v>
      </c>
      <c r="D1" s="160">
        <v>2</v>
      </c>
      <c r="E1" s="160">
        <v>3</v>
      </c>
      <c r="F1" s="160">
        <v>0</v>
      </c>
      <c r="G1" s="160">
        <v>0</v>
      </c>
      <c r="H1" s="160">
        <v>0</v>
      </c>
      <c r="I1" s="160">
        <v>4</v>
      </c>
      <c r="J1" s="160">
        <v>5</v>
      </c>
      <c r="K1" s="160">
        <v>6</v>
      </c>
      <c r="L1" s="160">
        <v>0</v>
      </c>
      <c r="M1" s="160">
        <v>0</v>
      </c>
      <c r="N1" s="160">
        <v>0</v>
      </c>
      <c r="O1" s="160">
        <v>7</v>
      </c>
      <c r="P1" s="160">
        <v>0</v>
      </c>
      <c r="Q1" s="160">
        <v>0</v>
      </c>
      <c r="R1" s="160">
        <v>0</v>
      </c>
      <c r="S1" s="160">
        <v>0</v>
      </c>
      <c r="T1" s="160">
        <v>0</v>
      </c>
      <c r="U1" s="160">
        <v>0</v>
      </c>
      <c r="V1" s="160">
        <v>0</v>
      </c>
      <c r="W1" s="160">
        <v>0</v>
      </c>
      <c r="X1" s="160">
        <v>0</v>
      </c>
      <c r="Y1" s="160">
        <v>0</v>
      </c>
      <c r="Z1" s="160">
        <v>0</v>
      </c>
      <c r="AA1" s="160">
        <v>0</v>
      </c>
      <c r="AB1" s="160">
        <v>0</v>
      </c>
      <c r="AC1" s="160">
        <v>0</v>
      </c>
      <c r="AD1" s="160">
        <v>0</v>
      </c>
      <c r="AE1" s="160">
        <v>8</v>
      </c>
      <c r="AF1" s="160">
        <v>9</v>
      </c>
      <c r="AG1" s="160">
        <v>10</v>
      </c>
      <c r="AH1" s="160">
        <v>0</v>
      </c>
      <c r="AI1" s="160">
        <v>0</v>
      </c>
      <c r="AJ1" s="160">
        <v>11</v>
      </c>
      <c r="AK1" s="160">
        <v>0</v>
      </c>
      <c r="AL1" s="160">
        <v>0</v>
      </c>
      <c r="AM1" s="7"/>
      <c r="AN1" s="7"/>
      <c r="AO1" s="7"/>
      <c r="AP1" s="7"/>
      <c r="AQ1" s="7"/>
      <c r="AR1" s="7"/>
      <c r="AS1" s="7"/>
      <c r="AT1" s="7"/>
      <c r="AU1" s="7"/>
      <c r="AV1" s="7"/>
      <c r="AW1" s="7"/>
    </row>
    <row r="2" spans="1:49" ht="14.25" customHeight="1" thickBot="1">
      <c r="A2" s="62"/>
      <c r="B2" s="1">
        <v>0</v>
      </c>
      <c r="C2" s="1" t="s">
        <v>427</v>
      </c>
      <c r="D2" s="1" t="s">
        <v>428</v>
      </c>
      <c r="E2" s="1" t="s">
        <v>2098</v>
      </c>
      <c r="F2" s="1">
        <v>0</v>
      </c>
      <c r="G2" s="1">
        <v>0</v>
      </c>
      <c r="H2" s="1" t="s">
        <v>1335</v>
      </c>
      <c r="I2" s="1">
        <v>0</v>
      </c>
      <c r="J2" s="1">
        <v>0</v>
      </c>
      <c r="K2" s="1">
        <v>0</v>
      </c>
      <c r="L2" s="1">
        <v>0</v>
      </c>
      <c r="M2" s="1">
        <v>0</v>
      </c>
      <c r="N2" s="1">
        <v>0</v>
      </c>
      <c r="O2" s="1" t="s">
        <v>2142</v>
      </c>
      <c r="P2" s="1">
        <v>0</v>
      </c>
      <c r="Q2" s="1">
        <v>0</v>
      </c>
      <c r="R2" s="1">
        <v>0</v>
      </c>
      <c r="S2" s="1">
        <v>0</v>
      </c>
      <c r="T2" s="1">
        <v>0</v>
      </c>
      <c r="U2" s="1">
        <v>0</v>
      </c>
      <c r="V2" s="1">
        <v>0</v>
      </c>
      <c r="W2" s="1">
        <v>0</v>
      </c>
      <c r="X2" s="1" t="s">
        <v>2102</v>
      </c>
      <c r="Y2" s="1" t="s">
        <v>2100</v>
      </c>
      <c r="Z2" s="1" t="s">
        <v>2101</v>
      </c>
      <c r="AA2" s="1">
        <v>0</v>
      </c>
      <c r="AB2" s="1">
        <v>0</v>
      </c>
      <c r="AC2" s="1">
        <v>0</v>
      </c>
      <c r="AD2" s="1">
        <v>0</v>
      </c>
      <c r="AE2" s="1" t="s">
        <v>39</v>
      </c>
      <c r="AF2" s="1" t="s">
        <v>40</v>
      </c>
      <c r="AG2" s="1" t="s">
        <v>38</v>
      </c>
      <c r="AH2" s="1" t="s">
        <v>645</v>
      </c>
      <c r="AI2" s="1" t="s">
        <v>2136</v>
      </c>
      <c r="AJ2" s="1" t="s">
        <v>41</v>
      </c>
      <c r="AK2" s="1">
        <v>0</v>
      </c>
      <c r="AL2" s="1">
        <v>0</v>
      </c>
      <c r="AM2" s="7"/>
      <c r="AN2" s="7"/>
      <c r="AO2" s="7"/>
      <c r="AP2" s="7"/>
      <c r="AQ2" s="7"/>
      <c r="AR2" s="7"/>
      <c r="AS2" s="7"/>
      <c r="AT2" s="7"/>
      <c r="AU2" s="7"/>
      <c r="AV2" s="7"/>
      <c r="AW2" s="7"/>
    </row>
    <row r="3" spans="1:49" s="7" customFormat="1" ht="19.5" customHeight="1" thickTop="1" thickBot="1">
      <c r="A3" s="60" t="s">
        <v>80</v>
      </c>
      <c r="B3" s="1776" t="s">
        <v>21</v>
      </c>
      <c r="C3" s="1776"/>
      <c r="D3" s="1776"/>
      <c r="E3" s="1776"/>
      <c r="F3" s="1620" t="s">
        <v>17</v>
      </c>
      <c r="G3" s="1621"/>
      <c r="H3" s="1621"/>
      <c r="I3" s="1621"/>
      <c r="J3" s="1621"/>
      <c r="K3" s="1621"/>
      <c r="L3" s="1621"/>
      <c r="M3" s="1621"/>
      <c r="N3" s="1621"/>
      <c r="O3" s="1621"/>
      <c r="P3" s="68"/>
      <c r="Q3" s="1777" t="s">
        <v>24</v>
      </c>
      <c r="R3" s="1778"/>
      <c r="S3" s="1778"/>
      <c r="T3" s="1778"/>
      <c r="U3" s="1778"/>
      <c r="V3" s="1778"/>
      <c r="W3" s="1778"/>
      <c r="X3" s="1778"/>
      <c r="Y3" s="1778"/>
      <c r="Z3" s="1779"/>
      <c r="AB3" s="1780" t="s">
        <v>42</v>
      </c>
      <c r="AC3" s="1781"/>
      <c r="AD3" s="1781"/>
      <c r="AE3" s="1781"/>
      <c r="AF3" s="1781"/>
      <c r="AG3" s="1781"/>
      <c r="AH3" s="1781"/>
      <c r="AI3" s="1781"/>
      <c r="AJ3" s="1782"/>
    </row>
    <row r="4" spans="1:49" s="7" customFormat="1" ht="50.25" thickTop="1">
      <c r="A4" s="98"/>
      <c r="B4" s="90" t="s">
        <v>2</v>
      </c>
      <c r="C4" s="79" t="s">
        <v>3</v>
      </c>
      <c r="D4" s="79" t="s">
        <v>0</v>
      </c>
      <c r="E4" s="80" t="s">
        <v>72</v>
      </c>
      <c r="F4" s="81" t="s">
        <v>66</v>
      </c>
      <c r="G4" s="81" t="s">
        <v>22</v>
      </c>
      <c r="H4" s="82" t="s">
        <v>1336</v>
      </c>
      <c r="I4" s="82" t="s">
        <v>585</v>
      </c>
      <c r="J4" s="82" t="s">
        <v>586</v>
      </c>
      <c r="K4" s="82" t="s">
        <v>2150</v>
      </c>
      <c r="L4" s="82" t="s">
        <v>587</v>
      </c>
      <c r="M4" s="82" t="s">
        <v>588</v>
      </c>
      <c r="N4" s="82" t="s">
        <v>2151</v>
      </c>
      <c r="O4" s="83" t="s">
        <v>65</v>
      </c>
      <c r="P4" s="69"/>
      <c r="Q4" s="84" t="s">
        <v>68</v>
      </c>
      <c r="R4" s="85" t="s">
        <v>69</v>
      </c>
      <c r="S4" s="86" t="s">
        <v>16</v>
      </c>
      <c r="T4" s="86" t="s">
        <v>67</v>
      </c>
      <c r="U4" s="87" t="s">
        <v>26</v>
      </c>
      <c r="V4" s="88" t="s">
        <v>11</v>
      </c>
      <c r="W4" s="88" t="s">
        <v>15</v>
      </c>
      <c r="X4" s="88" t="s">
        <v>2490</v>
      </c>
      <c r="Y4" s="88" t="s">
        <v>5</v>
      </c>
      <c r="Z4" s="89" t="s">
        <v>2491</v>
      </c>
      <c r="AB4" s="48" t="str">
        <f t="shared" ref="AB4:AD9" si="0">B4</f>
        <v>No.</v>
      </c>
      <c r="AC4" s="49" t="str">
        <f t="shared" si="0"/>
        <v>Ref.</v>
      </c>
      <c r="AD4" s="49" t="str">
        <f t="shared" si="0"/>
        <v>Model</v>
      </c>
      <c r="AE4" s="49" t="s">
        <v>39</v>
      </c>
      <c r="AF4" s="50" t="s">
        <v>40</v>
      </c>
      <c r="AG4" s="50" t="s">
        <v>38</v>
      </c>
      <c r="AH4" s="243" t="s">
        <v>645</v>
      </c>
      <c r="AI4" s="243" t="s">
        <v>2136</v>
      </c>
      <c r="AJ4" s="51" t="s">
        <v>41</v>
      </c>
    </row>
    <row r="5" spans="1:49" s="7" customFormat="1" ht="16.5">
      <c r="A5" s="99"/>
      <c r="B5" s="12">
        <v>1</v>
      </c>
      <c r="C5" s="6" t="s">
        <v>2839</v>
      </c>
      <c r="D5" s="6" t="s">
        <v>2840</v>
      </c>
      <c r="E5" s="566" t="s">
        <v>2840</v>
      </c>
      <c r="F5" s="26"/>
      <c r="G5" s="8">
        <f>F5*3.517</f>
        <v>0</v>
      </c>
      <c r="H5" s="8"/>
      <c r="I5" s="8"/>
      <c r="J5" s="8"/>
      <c r="K5" s="8"/>
      <c r="L5" s="8">
        <f t="shared" ref="L5:N9" si="1">I5*1.8+32</f>
        <v>32</v>
      </c>
      <c r="M5" s="8">
        <f t="shared" si="1"/>
        <v>32</v>
      </c>
      <c r="N5" s="8">
        <f t="shared" si="1"/>
        <v>32</v>
      </c>
      <c r="O5" s="8"/>
      <c r="P5" s="69"/>
      <c r="Q5" s="20"/>
      <c r="R5" s="43"/>
      <c r="S5" s="9"/>
      <c r="T5" s="9"/>
      <c r="U5" s="9">
        <f>SUM(Q5:T5)</f>
        <v>0</v>
      </c>
      <c r="V5" s="22">
        <f>U5*3.75</f>
        <v>0</v>
      </c>
      <c r="W5" s="22">
        <f>V5*1.25</f>
        <v>0</v>
      </c>
      <c r="X5" s="22">
        <f>CEILING(W5,5)</f>
        <v>0</v>
      </c>
      <c r="Y5" s="22">
        <v>1</v>
      </c>
      <c r="Z5" s="23">
        <f>Y5*X5</f>
        <v>0</v>
      </c>
      <c r="AB5" s="12">
        <f t="shared" si="0"/>
        <v>1</v>
      </c>
      <c r="AC5" s="8" t="str">
        <f t="shared" si="0"/>
        <v>CH-01</v>
      </c>
      <c r="AD5" s="8" t="str">
        <f t="shared" si="0"/>
        <v>XX</v>
      </c>
      <c r="AE5" s="8"/>
      <c r="AF5" s="9"/>
      <c r="AG5" s="9"/>
      <c r="AH5" s="170"/>
      <c r="AI5" s="170"/>
      <c r="AJ5" s="13"/>
    </row>
    <row r="6" spans="1:49" s="7" customFormat="1" ht="16.5">
      <c r="A6" s="99"/>
      <c r="B6" s="12">
        <v>2</v>
      </c>
      <c r="C6" s="6"/>
      <c r="D6" s="6"/>
      <c r="E6" s="566"/>
      <c r="F6" s="26"/>
      <c r="G6" s="8">
        <f>F6*3.517</f>
        <v>0</v>
      </c>
      <c r="H6" s="8"/>
      <c r="I6" s="8"/>
      <c r="J6" s="8"/>
      <c r="K6" s="8"/>
      <c r="L6" s="8">
        <f t="shared" si="1"/>
        <v>32</v>
      </c>
      <c r="M6" s="8">
        <f t="shared" si="1"/>
        <v>32</v>
      </c>
      <c r="N6" s="8">
        <f t="shared" si="1"/>
        <v>32</v>
      </c>
      <c r="O6" s="8"/>
      <c r="P6" s="69"/>
      <c r="Q6" s="20"/>
      <c r="R6" s="43"/>
      <c r="S6" s="9"/>
      <c r="T6" s="9"/>
      <c r="U6" s="9">
        <f>SUM(Q6:T6)</f>
        <v>0</v>
      </c>
      <c r="V6" s="9">
        <f>U6*3.75</f>
        <v>0</v>
      </c>
      <c r="W6" s="9">
        <f>V6*1.25</f>
        <v>0</v>
      </c>
      <c r="X6" s="9">
        <f>CEILING(W6,5)</f>
        <v>0</v>
      </c>
      <c r="Y6" s="9"/>
      <c r="Z6" s="10">
        <f>Y6*X6</f>
        <v>0</v>
      </c>
      <c r="AB6" s="12">
        <f t="shared" si="0"/>
        <v>2</v>
      </c>
      <c r="AC6" s="8">
        <f t="shared" si="0"/>
        <v>0</v>
      </c>
      <c r="AD6" s="8">
        <f t="shared" si="0"/>
        <v>0</v>
      </c>
      <c r="AE6" s="8"/>
      <c r="AF6" s="9"/>
      <c r="AG6" s="9"/>
      <c r="AH6" s="170"/>
      <c r="AI6" s="170"/>
      <c r="AJ6" s="13"/>
    </row>
    <row r="7" spans="1:49" s="7" customFormat="1" ht="16.5">
      <c r="A7" s="99"/>
      <c r="B7" s="12">
        <v>3</v>
      </c>
      <c r="C7" s="6"/>
      <c r="D7" s="6"/>
      <c r="E7" s="566"/>
      <c r="F7" s="26"/>
      <c r="G7" s="8">
        <f>F7*3.517</f>
        <v>0</v>
      </c>
      <c r="H7" s="8"/>
      <c r="I7" s="8"/>
      <c r="J7" s="8"/>
      <c r="K7" s="8"/>
      <c r="L7" s="8">
        <f t="shared" si="1"/>
        <v>32</v>
      </c>
      <c r="M7" s="8">
        <f t="shared" si="1"/>
        <v>32</v>
      </c>
      <c r="N7" s="8">
        <f t="shared" si="1"/>
        <v>32</v>
      </c>
      <c r="O7" s="8"/>
      <c r="P7" s="69"/>
      <c r="Q7" s="20"/>
      <c r="R7" s="43"/>
      <c r="S7" s="9"/>
      <c r="T7" s="9"/>
      <c r="U7" s="9">
        <f>SUM(Q7:T7)</f>
        <v>0</v>
      </c>
      <c r="V7" s="9">
        <f>U7*3.75</f>
        <v>0</v>
      </c>
      <c r="W7" s="9">
        <f>V7*1.25</f>
        <v>0</v>
      </c>
      <c r="X7" s="9">
        <f>CEILING(W7,5)</f>
        <v>0</v>
      </c>
      <c r="Y7" s="9"/>
      <c r="Z7" s="10">
        <f>Y7*X7</f>
        <v>0</v>
      </c>
      <c r="AB7" s="12">
        <f t="shared" si="0"/>
        <v>3</v>
      </c>
      <c r="AC7" s="8">
        <f t="shared" si="0"/>
        <v>0</v>
      </c>
      <c r="AD7" s="8">
        <f t="shared" si="0"/>
        <v>0</v>
      </c>
      <c r="AE7" s="8"/>
      <c r="AF7" s="9"/>
      <c r="AG7" s="9"/>
      <c r="AH7" s="170"/>
      <c r="AI7" s="170"/>
      <c r="AJ7" s="13"/>
    </row>
    <row r="8" spans="1:49" s="7" customFormat="1" ht="16.5">
      <c r="A8" s="99"/>
      <c r="B8" s="12">
        <v>4</v>
      </c>
      <c r="C8" s="6"/>
      <c r="D8" s="6"/>
      <c r="E8" s="566"/>
      <c r="F8" s="26"/>
      <c r="G8" s="8">
        <f>F8*3.517</f>
        <v>0</v>
      </c>
      <c r="H8" s="8"/>
      <c r="I8" s="8"/>
      <c r="J8" s="8"/>
      <c r="K8" s="8"/>
      <c r="L8" s="8">
        <f t="shared" si="1"/>
        <v>32</v>
      </c>
      <c r="M8" s="8">
        <f t="shared" si="1"/>
        <v>32</v>
      </c>
      <c r="N8" s="8">
        <f t="shared" si="1"/>
        <v>32</v>
      </c>
      <c r="O8" s="8"/>
      <c r="P8" s="69"/>
      <c r="Q8" s="20"/>
      <c r="R8" s="43"/>
      <c r="S8" s="9"/>
      <c r="T8" s="9"/>
      <c r="U8" s="9">
        <f>SUM(Q8:T8)</f>
        <v>0</v>
      </c>
      <c r="V8" s="9">
        <f>U8*3.75</f>
        <v>0</v>
      </c>
      <c r="W8" s="9">
        <f>V8*1.25</f>
        <v>0</v>
      </c>
      <c r="X8" s="9">
        <f>CEILING(W8,5)</f>
        <v>0</v>
      </c>
      <c r="Y8" s="9"/>
      <c r="Z8" s="10">
        <f>Y8*X8</f>
        <v>0</v>
      </c>
      <c r="AB8" s="12">
        <f t="shared" si="0"/>
        <v>4</v>
      </c>
      <c r="AC8" s="8">
        <f t="shared" si="0"/>
        <v>0</v>
      </c>
      <c r="AD8" s="8">
        <f t="shared" si="0"/>
        <v>0</v>
      </c>
      <c r="AE8" s="8"/>
      <c r="AF8" s="9"/>
      <c r="AG8" s="9"/>
      <c r="AH8" s="170"/>
      <c r="AI8" s="170"/>
      <c r="AJ8" s="13"/>
    </row>
    <row r="9" spans="1:49" s="7" customFormat="1" ht="15.75" customHeight="1" thickBot="1">
      <c r="A9" s="99"/>
      <c r="B9" s="38">
        <v>5</v>
      </c>
      <c r="C9" s="17"/>
      <c r="D9" s="17"/>
      <c r="E9" s="567"/>
      <c r="F9" s="27"/>
      <c r="G9" s="15">
        <f>F9*3.517</f>
        <v>0</v>
      </c>
      <c r="H9" s="15"/>
      <c r="I9" s="15"/>
      <c r="J9" s="15"/>
      <c r="K9" s="15"/>
      <c r="L9" s="15">
        <f t="shared" si="1"/>
        <v>32</v>
      </c>
      <c r="M9" s="15">
        <f t="shared" si="1"/>
        <v>32</v>
      </c>
      <c r="N9" s="15">
        <f t="shared" si="1"/>
        <v>32</v>
      </c>
      <c r="O9" s="15"/>
      <c r="P9" s="70"/>
      <c r="Q9" s="21"/>
      <c r="R9" s="56"/>
      <c r="S9" s="18"/>
      <c r="T9" s="18"/>
      <c r="U9" s="18">
        <f>SUM(Q9:T9)</f>
        <v>0</v>
      </c>
      <c r="V9" s="18">
        <f>U9*3.75</f>
        <v>0</v>
      </c>
      <c r="W9" s="18">
        <f>V9*1.25</f>
        <v>0</v>
      </c>
      <c r="X9" s="18">
        <f>CEILING(W9,5)</f>
        <v>0</v>
      </c>
      <c r="Y9" s="18"/>
      <c r="Z9" s="19">
        <f>Y9*X9</f>
        <v>0</v>
      </c>
      <c r="AB9" s="14">
        <f t="shared" si="0"/>
        <v>5</v>
      </c>
      <c r="AC9" s="15">
        <f t="shared" si="0"/>
        <v>0</v>
      </c>
      <c r="AD9" s="15">
        <f t="shared" si="0"/>
        <v>0</v>
      </c>
      <c r="AE9" s="15"/>
      <c r="AF9" s="18"/>
      <c r="AG9" s="18"/>
      <c r="AH9" s="171"/>
      <c r="AI9" s="171"/>
      <c r="AJ9" s="16"/>
    </row>
    <row r="10" spans="1:49" s="7" customFormat="1" ht="17.25" thickBot="1">
      <c r="A10" s="62"/>
      <c r="E10" s="11"/>
      <c r="U10" s="11"/>
      <c r="V10" s="11"/>
      <c r="W10" s="11"/>
      <c r="X10" s="11"/>
      <c r="Y10" s="172">
        <f>SUM(Y5:Y9)</f>
        <v>1</v>
      </c>
      <c r="Z10" s="173">
        <f>SUM(Z5:Z9)</f>
        <v>0</v>
      </c>
    </row>
    <row r="11" spans="1:49" ht="15.75" customHeight="1">
      <c r="A11" s="62"/>
    </row>
    <row r="12" spans="1:49" ht="15.75">
      <c r="A12" s="62"/>
    </row>
    <row r="13" spans="1:49" ht="16.5" thickBot="1">
      <c r="A13" s="62"/>
    </row>
    <row r="14" spans="1:49" ht="15" customHeight="1" thickBot="1">
      <c r="A14" s="62"/>
      <c r="C14" s="1783" t="s">
        <v>2146</v>
      </c>
      <c r="D14" s="1784"/>
      <c r="E14" s="1784"/>
      <c r="F14" s="1784"/>
      <c r="G14" s="1784"/>
      <c r="H14" s="1784"/>
      <c r="I14" s="1785"/>
    </row>
    <row r="15" spans="1:49" ht="15" customHeight="1">
      <c r="A15" s="62"/>
      <c r="C15" s="59" t="s">
        <v>3</v>
      </c>
      <c r="D15" s="39"/>
      <c r="E15" s="39"/>
      <c r="F15" s="39"/>
      <c r="G15" s="39"/>
      <c r="H15" s="39"/>
      <c r="I15" s="39"/>
    </row>
    <row r="16" spans="1:49" ht="15" customHeight="1">
      <c r="A16" s="62"/>
    </row>
    <row r="17" spans="1:1" ht="15" customHeight="1">
      <c r="A17" s="62"/>
    </row>
    <row r="18" spans="1:1" ht="15" customHeight="1">
      <c r="A18" s="62"/>
    </row>
    <row r="19" spans="1:1" ht="15" customHeight="1">
      <c r="A19" s="62"/>
    </row>
    <row r="20" spans="1:1" ht="15" customHeight="1">
      <c r="A20" s="62"/>
    </row>
    <row r="21" spans="1:1" ht="15" customHeight="1">
      <c r="A21" s="62"/>
    </row>
    <row r="22" spans="1:1" ht="15" customHeight="1">
      <c r="A22" s="62"/>
    </row>
    <row r="23" spans="1:1" ht="15" customHeight="1">
      <c r="A23" s="62"/>
    </row>
    <row r="24" spans="1:1" ht="15" customHeight="1">
      <c r="A24" s="62"/>
    </row>
    <row r="25" spans="1:1" ht="15" customHeight="1">
      <c r="A25" s="62"/>
    </row>
    <row r="26" spans="1:1" ht="15" customHeight="1">
      <c r="A26" s="62"/>
    </row>
    <row r="27" spans="1:1" ht="15" customHeight="1">
      <c r="A27" s="62"/>
    </row>
    <row r="28" spans="1:1" ht="15" customHeight="1">
      <c r="A28" s="62"/>
    </row>
    <row r="29" spans="1:1" ht="15" customHeight="1">
      <c r="A29" s="62"/>
    </row>
    <row r="30" spans="1:1" ht="15" customHeight="1">
      <c r="A30" s="62"/>
    </row>
    <row r="31" spans="1:1" ht="15" customHeight="1">
      <c r="A31" s="62"/>
    </row>
    <row r="32" spans="1:1" ht="15" customHeight="1">
      <c r="A32" s="62"/>
    </row>
    <row r="33" spans="1:1" ht="15" customHeight="1">
      <c r="A33" s="62"/>
    </row>
    <row r="34" spans="1:1" ht="15" customHeight="1">
      <c r="A34" s="62"/>
    </row>
    <row r="35" spans="1:1" ht="15" customHeight="1">
      <c r="A35" s="62"/>
    </row>
    <row r="36" spans="1:1" ht="15" customHeight="1">
      <c r="A36" s="62"/>
    </row>
    <row r="37" spans="1:1" ht="15" customHeight="1">
      <c r="A37" s="62"/>
    </row>
    <row r="38" spans="1:1" ht="15" customHeight="1">
      <c r="A38" s="62"/>
    </row>
    <row r="39" spans="1:1" ht="15" customHeight="1">
      <c r="A39" s="62"/>
    </row>
    <row r="40" spans="1:1" ht="15" customHeight="1">
      <c r="A40" s="62"/>
    </row>
    <row r="41" spans="1:1" ht="15" customHeight="1">
      <c r="A41" s="62"/>
    </row>
    <row r="42" spans="1:1" ht="15" customHeight="1">
      <c r="A42" s="62"/>
    </row>
    <row r="43" spans="1:1" ht="15" customHeight="1">
      <c r="A43" s="62"/>
    </row>
    <row r="44" spans="1:1" ht="15" customHeight="1">
      <c r="A44" s="62"/>
    </row>
    <row r="45" spans="1:1" ht="15" customHeight="1">
      <c r="A45" s="62"/>
    </row>
    <row r="46" spans="1:1" ht="15" customHeight="1">
      <c r="A46" s="62"/>
    </row>
    <row r="47" spans="1:1" ht="15" customHeight="1">
      <c r="A47" s="62"/>
    </row>
    <row r="48" spans="1:1" ht="15" customHeight="1">
      <c r="A48" s="62"/>
    </row>
    <row r="49" spans="1:1" ht="15" customHeight="1">
      <c r="A49" s="62"/>
    </row>
    <row r="50" spans="1:1" ht="15" customHeight="1">
      <c r="A50" s="62"/>
    </row>
    <row r="51" spans="1:1" ht="15" customHeight="1">
      <c r="A51" s="62"/>
    </row>
    <row r="52" spans="1:1" ht="15" customHeight="1">
      <c r="A52" s="62"/>
    </row>
    <row r="53" spans="1:1" ht="15" customHeight="1">
      <c r="A53" s="62"/>
    </row>
    <row r="54" spans="1:1" ht="15" customHeight="1">
      <c r="A54" s="62"/>
    </row>
    <row r="55" spans="1:1" ht="15.75" customHeight="1" thickBot="1">
      <c r="A55" s="63"/>
    </row>
    <row r="56" spans="1:1" ht="15.75" thickTop="1"/>
  </sheetData>
  <mergeCells count="5">
    <mergeCell ref="B3:E3"/>
    <mergeCell ref="F3:O3"/>
    <mergeCell ref="Q3:Z3"/>
    <mergeCell ref="AB3:AJ3"/>
    <mergeCell ref="C14:I1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30051" r:id="rId4" name="Technical">
          <controlPr defaultSize="0" autoLine="0" r:id="rId5">
            <anchor moveWithCells="1">
              <from>
                <xdr:col>0</xdr:col>
                <xdr:colOff>1838325</xdr:colOff>
                <xdr:row>3</xdr:row>
                <xdr:rowOff>133350</xdr:rowOff>
              </from>
              <to>
                <xdr:col>0</xdr:col>
                <xdr:colOff>3362325</xdr:colOff>
                <xdr:row>3</xdr:row>
                <xdr:rowOff>447675</xdr:rowOff>
              </to>
            </anchor>
          </controlPr>
        </control>
      </mc:Choice>
      <mc:Fallback>
        <control shapeId="130051" r:id="rId4" name="Technical"/>
      </mc:Fallback>
    </mc:AlternateContent>
    <mc:AlternateContent xmlns:mc="http://schemas.openxmlformats.org/markup-compatibility/2006">
      <mc:Choice Requires="x14">
        <control shapeId="130050" r:id="rId6" name="Specs">
          <controlPr defaultSize="0" autoLine="0" r:id="rId7">
            <anchor moveWithCells="1">
              <from>
                <xdr:col>0</xdr:col>
                <xdr:colOff>123825</xdr:colOff>
                <xdr:row>3</xdr:row>
                <xdr:rowOff>133350</xdr:rowOff>
              </from>
              <to>
                <xdr:col>0</xdr:col>
                <xdr:colOff>1647825</xdr:colOff>
                <xdr:row>3</xdr:row>
                <xdr:rowOff>447675</xdr:rowOff>
              </to>
            </anchor>
          </controlPr>
        </control>
      </mc:Choice>
      <mc:Fallback>
        <control shapeId="130050" r:id="rId6" name="Specs"/>
      </mc:Fallback>
    </mc:AlternateContent>
    <mc:AlternateContent xmlns:mc="http://schemas.openxmlformats.org/markup-compatibility/2006">
      <mc:Choice Requires="x14">
        <control shapeId="130049" r:id="rId8" name="Hide">
          <controlPr defaultSize="0" autoLine="0" r:id="rId9">
            <anchor moveWithCells="1">
              <from>
                <xdr:col>0</xdr:col>
                <xdr:colOff>0</xdr:colOff>
                <xdr:row>2</xdr:row>
                <xdr:rowOff>0</xdr:rowOff>
              </from>
              <to>
                <xdr:col>0</xdr:col>
                <xdr:colOff>504825</xdr:colOff>
                <xdr:row>3</xdr:row>
                <xdr:rowOff>66675</xdr:rowOff>
              </to>
            </anchor>
          </controlPr>
        </control>
      </mc:Choice>
      <mc:Fallback>
        <control shapeId="130049" r:id="rId8" name="Hid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1_APSa"/>
  <dimension ref="A1:AW56"/>
  <sheetViews>
    <sheetView zoomScale="80" zoomScaleNormal="80" workbookViewId="0">
      <pane xSplit="1" topLeftCell="B1" activePane="topRight" state="frozen"/>
      <selection pane="topRight" activeCell="G27" sqref="G27"/>
    </sheetView>
  </sheetViews>
  <sheetFormatPr defaultColWidth="9.140625" defaultRowHeight="15"/>
  <cols>
    <col min="1" max="1" width="55.7109375" style="1" hidden="1" customWidth="1"/>
    <col min="2" max="2" width="4.140625" style="1" customWidth="1"/>
    <col min="3" max="3" width="13.140625" style="1" customWidth="1"/>
    <col min="4" max="4" width="15.28515625" style="1" customWidth="1"/>
    <col min="5" max="5" width="13.42578125" style="1" customWidth="1"/>
    <col min="6" max="6" width="12.42578125" style="1" customWidth="1"/>
    <col min="7" max="8" width="13.140625" style="1" customWidth="1"/>
    <col min="9" max="10" width="6.28515625" style="1" customWidth="1"/>
    <col min="11" max="14" width="7.42578125" style="1" customWidth="1"/>
    <col min="15" max="15" width="10.85546875" style="1" customWidth="1"/>
    <col min="16" max="16" width="4.140625" style="1" customWidth="1"/>
    <col min="17" max="21" width="9.140625" style="1" customWidth="1"/>
    <col min="22" max="22" width="13.85546875" style="1" customWidth="1"/>
    <col min="23" max="23" width="10.28515625" style="1" customWidth="1"/>
    <col min="24" max="25" width="9.140625" style="1" customWidth="1"/>
    <col min="26" max="26" width="12.85546875" style="1" customWidth="1"/>
    <col min="27" max="192" width="9.140625" style="1" customWidth="1"/>
    <col min="193" max="16384" width="9.140625" style="1"/>
  </cols>
  <sheetData>
    <row r="1" spans="1:49" ht="15.75" hidden="1" customHeight="1" thickBot="1">
      <c r="A1" s="159" t="s">
        <v>394</v>
      </c>
      <c r="B1" s="160">
        <v>0</v>
      </c>
      <c r="C1" s="160">
        <v>1</v>
      </c>
      <c r="D1" s="160">
        <v>2</v>
      </c>
      <c r="E1" s="160">
        <v>3</v>
      </c>
      <c r="F1" s="160">
        <v>0</v>
      </c>
      <c r="G1" s="160">
        <v>0</v>
      </c>
      <c r="H1" s="160">
        <v>0</v>
      </c>
      <c r="I1" s="160">
        <v>4</v>
      </c>
      <c r="J1" s="160">
        <v>5</v>
      </c>
      <c r="K1" s="160">
        <v>6</v>
      </c>
      <c r="L1" s="160">
        <v>0</v>
      </c>
      <c r="M1" s="160">
        <v>0</v>
      </c>
      <c r="N1" s="160">
        <v>0</v>
      </c>
      <c r="O1" s="160">
        <v>7</v>
      </c>
      <c r="P1" s="160">
        <v>0</v>
      </c>
      <c r="Q1" s="160">
        <v>0</v>
      </c>
      <c r="R1" s="160">
        <v>0</v>
      </c>
      <c r="S1" s="160">
        <v>0</v>
      </c>
      <c r="T1" s="160">
        <v>0</v>
      </c>
      <c r="U1" s="160">
        <v>0</v>
      </c>
      <c r="V1" s="160">
        <v>0</v>
      </c>
      <c r="W1" s="160">
        <v>0</v>
      </c>
      <c r="X1" s="160">
        <v>0</v>
      </c>
      <c r="Y1" s="160">
        <v>0</v>
      </c>
      <c r="Z1" s="160">
        <v>0</v>
      </c>
      <c r="AA1" s="160">
        <v>0</v>
      </c>
      <c r="AB1" s="160">
        <v>0</v>
      </c>
      <c r="AC1" s="160">
        <v>0</v>
      </c>
      <c r="AD1" s="160">
        <v>0</v>
      </c>
      <c r="AE1" s="160">
        <v>8</v>
      </c>
      <c r="AF1" s="160">
        <v>9</v>
      </c>
      <c r="AG1" s="160">
        <v>10</v>
      </c>
      <c r="AH1" s="160">
        <v>0</v>
      </c>
      <c r="AI1" s="160">
        <v>0</v>
      </c>
      <c r="AJ1" s="160">
        <v>11</v>
      </c>
      <c r="AK1" s="160">
        <v>0</v>
      </c>
      <c r="AL1" s="160">
        <v>0</v>
      </c>
      <c r="AM1" s="7"/>
      <c r="AN1" s="7"/>
      <c r="AO1" s="7"/>
      <c r="AP1" s="7"/>
      <c r="AQ1" s="7"/>
      <c r="AR1" s="7"/>
      <c r="AS1" s="7"/>
      <c r="AT1" s="7"/>
      <c r="AU1" s="7"/>
      <c r="AV1" s="7"/>
      <c r="AW1" s="7"/>
    </row>
    <row r="2" spans="1:49" ht="14.25" hidden="1" customHeight="1" thickBot="1">
      <c r="A2" s="62"/>
      <c r="B2" s="1">
        <v>0</v>
      </c>
      <c r="C2" s="1" t="s">
        <v>427</v>
      </c>
      <c r="D2" s="1" t="s">
        <v>428</v>
      </c>
      <c r="E2" s="1" t="s">
        <v>2098</v>
      </c>
      <c r="F2" s="1">
        <v>0</v>
      </c>
      <c r="G2" s="1">
        <v>0</v>
      </c>
      <c r="H2" s="1" t="s">
        <v>1335</v>
      </c>
      <c r="I2" s="1">
        <v>0</v>
      </c>
      <c r="J2" s="1">
        <v>0</v>
      </c>
      <c r="K2" s="1">
        <v>0</v>
      </c>
      <c r="L2" s="1">
        <v>0</v>
      </c>
      <c r="M2" s="1">
        <v>0</v>
      </c>
      <c r="N2" s="1">
        <v>0</v>
      </c>
      <c r="O2" s="1" t="s">
        <v>2142</v>
      </c>
      <c r="P2" s="1">
        <v>0</v>
      </c>
      <c r="Q2" s="1">
        <v>0</v>
      </c>
      <c r="R2" s="1">
        <v>0</v>
      </c>
      <c r="S2" s="1">
        <v>0</v>
      </c>
      <c r="T2" s="1">
        <v>0</v>
      </c>
      <c r="U2" s="1">
        <v>0</v>
      </c>
      <c r="V2" s="1">
        <v>0</v>
      </c>
      <c r="W2" s="1">
        <v>0</v>
      </c>
      <c r="X2" s="1" t="s">
        <v>2102</v>
      </c>
      <c r="Y2" s="1" t="s">
        <v>2100</v>
      </c>
      <c r="Z2" s="1" t="s">
        <v>2101</v>
      </c>
      <c r="AA2" s="1">
        <v>0</v>
      </c>
      <c r="AB2" s="1">
        <v>0</v>
      </c>
      <c r="AC2" s="1">
        <v>0</v>
      </c>
      <c r="AD2" s="1">
        <v>0</v>
      </c>
      <c r="AE2" s="1" t="s">
        <v>39</v>
      </c>
      <c r="AF2" s="1" t="s">
        <v>40</v>
      </c>
      <c r="AG2" s="1" t="s">
        <v>38</v>
      </c>
      <c r="AH2" s="1" t="s">
        <v>645</v>
      </c>
      <c r="AI2" s="1" t="s">
        <v>2136</v>
      </c>
      <c r="AJ2" s="1" t="s">
        <v>41</v>
      </c>
      <c r="AK2" s="1">
        <v>0</v>
      </c>
      <c r="AL2" s="1">
        <v>0</v>
      </c>
      <c r="AM2" s="7"/>
      <c r="AN2" s="7"/>
      <c r="AO2" s="7"/>
      <c r="AP2" s="7"/>
      <c r="AQ2" s="7"/>
      <c r="AR2" s="7"/>
      <c r="AS2" s="7"/>
      <c r="AT2" s="7"/>
      <c r="AU2" s="7"/>
      <c r="AV2" s="7"/>
      <c r="AW2" s="7"/>
    </row>
    <row r="3" spans="1:49" s="7" customFormat="1" ht="19.5" customHeight="1" thickTop="1" thickBot="1">
      <c r="A3" s="60" t="s">
        <v>80</v>
      </c>
      <c r="B3" s="1776" t="s">
        <v>21</v>
      </c>
      <c r="C3" s="1776"/>
      <c r="D3" s="1776"/>
      <c r="E3" s="1776"/>
      <c r="F3" s="1620" t="s">
        <v>17</v>
      </c>
      <c r="G3" s="1621"/>
      <c r="H3" s="1621"/>
      <c r="I3" s="1621"/>
      <c r="J3" s="1621"/>
      <c r="K3" s="1621"/>
      <c r="L3" s="1621"/>
      <c r="M3" s="1621"/>
      <c r="N3" s="1621"/>
      <c r="O3" s="1621"/>
      <c r="P3" s="68"/>
      <c r="Q3" s="1777" t="s">
        <v>24</v>
      </c>
      <c r="R3" s="1778"/>
      <c r="S3" s="1778"/>
      <c r="T3" s="1778"/>
      <c r="U3" s="1778"/>
      <c r="V3" s="1778"/>
      <c r="W3" s="1778"/>
      <c r="X3" s="1778"/>
      <c r="Y3" s="1778"/>
      <c r="Z3" s="1779"/>
      <c r="AB3" s="1780" t="s">
        <v>42</v>
      </c>
      <c r="AC3" s="1781"/>
      <c r="AD3" s="1781"/>
      <c r="AE3" s="1781"/>
      <c r="AF3" s="1781"/>
      <c r="AG3" s="1781"/>
      <c r="AH3" s="1781"/>
      <c r="AI3" s="1781"/>
      <c r="AJ3" s="1782"/>
    </row>
    <row r="4" spans="1:49" s="7" customFormat="1" ht="50.25" thickTop="1">
      <c r="A4" s="98"/>
      <c r="B4" s="90" t="s">
        <v>2</v>
      </c>
      <c r="C4" s="79" t="s">
        <v>3</v>
      </c>
      <c r="D4" s="79" t="s">
        <v>0</v>
      </c>
      <c r="E4" s="80" t="s">
        <v>72</v>
      </c>
      <c r="F4" s="81" t="s">
        <v>66</v>
      </c>
      <c r="G4" s="81" t="s">
        <v>22</v>
      </c>
      <c r="H4" s="82" t="s">
        <v>1336</v>
      </c>
      <c r="I4" s="82" t="s">
        <v>585</v>
      </c>
      <c r="J4" s="82" t="s">
        <v>586</v>
      </c>
      <c r="K4" s="82" t="s">
        <v>2150</v>
      </c>
      <c r="L4" s="82" t="s">
        <v>587</v>
      </c>
      <c r="M4" s="82" t="s">
        <v>588</v>
      </c>
      <c r="N4" s="82" t="s">
        <v>2151</v>
      </c>
      <c r="O4" s="83" t="s">
        <v>65</v>
      </c>
      <c r="P4" s="69"/>
      <c r="Q4" s="84" t="s">
        <v>68</v>
      </c>
      <c r="R4" s="85" t="s">
        <v>69</v>
      </c>
      <c r="S4" s="86" t="s">
        <v>16</v>
      </c>
      <c r="T4" s="86" t="s">
        <v>67</v>
      </c>
      <c r="U4" s="87" t="s">
        <v>26</v>
      </c>
      <c r="V4" s="88" t="s">
        <v>11</v>
      </c>
      <c r="W4" s="88" t="s">
        <v>15</v>
      </c>
      <c r="X4" s="88" t="s">
        <v>2490</v>
      </c>
      <c r="Y4" s="88" t="s">
        <v>5</v>
      </c>
      <c r="Z4" s="89" t="s">
        <v>2491</v>
      </c>
      <c r="AB4" s="48" t="str">
        <f t="shared" ref="AB4:AD9" si="0">B4</f>
        <v>No.</v>
      </c>
      <c r="AC4" s="49" t="str">
        <f t="shared" si="0"/>
        <v>Ref.</v>
      </c>
      <c r="AD4" s="49" t="str">
        <f t="shared" si="0"/>
        <v>Model</v>
      </c>
      <c r="AE4" s="49" t="s">
        <v>39</v>
      </c>
      <c r="AF4" s="50" t="s">
        <v>40</v>
      </c>
      <c r="AG4" s="50" t="s">
        <v>38</v>
      </c>
      <c r="AH4" s="243" t="s">
        <v>645</v>
      </c>
      <c r="AI4" s="243" t="s">
        <v>2136</v>
      </c>
      <c r="AJ4" s="51" t="s">
        <v>41</v>
      </c>
    </row>
    <row r="5" spans="1:49" s="7" customFormat="1" ht="16.5">
      <c r="A5" s="99"/>
      <c r="B5" s="12">
        <v>1</v>
      </c>
      <c r="C5" s="6" t="s">
        <v>2839</v>
      </c>
      <c r="D5" s="6" t="s">
        <v>2840</v>
      </c>
      <c r="E5" s="566" t="s">
        <v>2840</v>
      </c>
      <c r="F5" s="26"/>
      <c r="G5" s="8">
        <f>F5*3.517</f>
        <v>0</v>
      </c>
      <c r="H5" s="8"/>
      <c r="I5" s="8"/>
      <c r="J5" s="8"/>
      <c r="K5" s="8"/>
      <c r="L5" s="8">
        <f t="shared" ref="L5:N9" si="1">I5*1.8+32</f>
        <v>32</v>
      </c>
      <c r="M5" s="8">
        <f t="shared" si="1"/>
        <v>32</v>
      </c>
      <c r="N5" s="8">
        <f t="shared" si="1"/>
        <v>32</v>
      </c>
      <c r="O5" s="8"/>
      <c r="P5" s="69"/>
      <c r="Q5" s="20"/>
      <c r="R5" s="43"/>
      <c r="S5" s="9"/>
      <c r="T5" s="9"/>
      <c r="U5" s="9">
        <f>SUM(Q5:T5)</f>
        <v>0</v>
      </c>
      <c r="V5" s="22">
        <f>U5*3.75</f>
        <v>0</v>
      </c>
      <c r="W5" s="22">
        <f>V5*1.25</f>
        <v>0</v>
      </c>
      <c r="X5" s="22">
        <f>CEILING(W5,5)</f>
        <v>0</v>
      </c>
      <c r="Y5" s="22">
        <v>1</v>
      </c>
      <c r="Z5" s="23">
        <f>Y5*X5</f>
        <v>0</v>
      </c>
      <c r="AB5" s="12">
        <f t="shared" si="0"/>
        <v>1</v>
      </c>
      <c r="AC5" s="8" t="str">
        <f t="shared" si="0"/>
        <v>CH-01</v>
      </c>
      <c r="AD5" s="8" t="str">
        <f t="shared" si="0"/>
        <v>XX</v>
      </c>
      <c r="AE5" s="8"/>
      <c r="AF5" s="9"/>
      <c r="AG5" s="9"/>
      <c r="AH5" s="170"/>
      <c r="AI5" s="170"/>
      <c r="AJ5" s="13"/>
    </row>
    <row r="6" spans="1:49" s="7" customFormat="1" ht="16.5">
      <c r="A6" s="99"/>
      <c r="B6" s="12">
        <v>2</v>
      </c>
      <c r="C6" s="6"/>
      <c r="D6" s="6"/>
      <c r="E6" s="566"/>
      <c r="F6" s="26"/>
      <c r="G6" s="8">
        <f>F6*3.517</f>
        <v>0</v>
      </c>
      <c r="H6" s="8"/>
      <c r="I6" s="8"/>
      <c r="J6" s="8"/>
      <c r="K6" s="8"/>
      <c r="L6" s="8">
        <f t="shared" si="1"/>
        <v>32</v>
      </c>
      <c r="M6" s="8">
        <f t="shared" si="1"/>
        <v>32</v>
      </c>
      <c r="N6" s="8">
        <f t="shared" si="1"/>
        <v>32</v>
      </c>
      <c r="O6" s="8"/>
      <c r="P6" s="69"/>
      <c r="Q6" s="20"/>
      <c r="R6" s="43"/>
      <c r="S6" s="9"/>
      <c r="T6" s="9"/>
      <c r="U6" s="9">
        <f>SUM(Q6:T6)</f>
        <v>0</v>
      </c>
      <c r="V6" s="9">
        <f>U6*3.75</f>
        <v>0</v>
      </c>
      <c r="W6" s="9">
        <f>V6*1.25</f>
        <v>0</v>
      </c>
      <c r="X6" s="9">
        <f>CEILING(W6,5)</f>
        <v>0</v>
      </c>
      <c r="Y6" s="9"/>
      <c r="Z6" s="10">
        <f>Y6*X6</f>
        <v>0</v>
      </c>
      <c r="AB6" s="12">
        <f t="shared" si="0"/>
        <v>2</v>
      </c>
      <c r="AC6" s="8">
        <f t="shared" si="0"/>
        <v>0</v>
      </c>
      <c r="AD6" s="8">
        <f t="shared" si="0"/>
        <v>0</v>
      </c>
      <c r="AE6" s="8"/>
      <c r="AF6" s="9"/>
      <c r="AG6" s="9"/>
      <c r="AH6" s="170"/>
      <c r="AI6" s="170"/>
      <c r="AJ6" s="13"/>
    </row>
    <row r="7" spans="1:49" s="7" customFormat="1" ht="16.5">
      <c r="A7" s="99"/>
      <c r="B7" s="12">
        <v>3</v>
      </c>
      <c r="C7" s="6"/>
      <c r="D7" s="6"/>
      <c r="E7" s="566"/>
      <c r="F7" s="26"/>
      <c r="G7" s="8">
        <f>F7*3.517</f>
        <v>0</v>
      </c>
      <c r="H7" s="8"/>
      <c r="I7" s="8"/>
      <c r="J7" s="8"/>
      <c r="K7" s="8"/>
      <c r="L7" s="8">
        <f t="shared" si="1"/>
        <v>32</v>
      </c>
      <c r="M7" s="8">
        <f t="shared" si="1"/>
        <v>32</v>
      </c>
      <c r="N7" s="8">
        <f t="shared" si="1"/>
        <v>32</v>
      </c>
      <c r="O7" s="8"/>
      <c r="P7" s="69"/>
      <c r="Q7" s="20"/>
      <c r="R7" s="43"/>
      <c r="S7" s="9"/>
      <c r="T7" s="9"/>
      <c r="U7" s="9">
        <f>SUM(Q7:T7)</f>
        <v>0</v>
      </c>
      <c r="V7" s="9">
        <f>U7*3.75</f>
        <v>0</v>
      </c>
      <c r="W7" s="9">
        <f>V7*1.25</f>
        <v>0</v>
      </c>
      <c r="X7" s="9">
        <f>CEILING(W7,5)</f>
        <v>0</v>
      </c>
      <c r="Y7" s="9"/>
      <c r="Z7" s="10">
        <f>Y7*X7</f>
        <v>0</v>
      </c>
      <c r="AB7" s="12">
        <f t="shared" si="0"/>
        <v>3</v>
      </c>
      <c r="AC7" s="8">
        <f t="shared" si="0"/>
        <v>0</v>
      </c>
      <c r="AD7" s="8">
        <f t="shared" si="0"/>
        <v>0</v>
      </c>
      <c r="AE7" s="8"/>
      <c r="AF7" s="9"/>
      <c r="AG7" s="9"/>
      <c r="AH7" s="170"/>
      <c r="AI7" s="170"/>
      <c r="AJ7" s="13"/>
    </row>
    <row r="8" spans="1:49" s="7" customFormat="1" ht="16.5">
      <c r="A8" s="99"/>
      <c r="B8" s="12">
        <v>4</v>
      </c>
      <c r="C8" s="6"/>
      <c r="D8" s="6"/>
      <c r="E8" s="566"/>
      <c r="F8" s="26"/>
      <c r="G8" s="8">
        <f>F8*3.517</f>
        <v>0</v>
      </c>
      <c r="H8" s="8"/>
      <c r="I8" s="8"/>
      <c r="J8" s="8"/>
      <c r="K8" s="8"/>
      <c r="L8" s="8">
        <f t="shared" si="1"/>
        <v>32</v>
      </c>
      <c r="M8" s="8">
        <f t="shared" si="1"/>
        <v>32</v>
      </c>
      <c r="N8" s="8">
        <f t="shared" si="1"/>
        <v>32</v>
      </c>
      <c r="O8" s="8"/>
      <c r="P8" s="69"/>
      <c r="Q8" s="20"/>
      <c r="R8" s="43"/>
      <c r="S8" s="9"/>
      <c r="T8" s="9"/>
      <c r="U8" s="9">
        <f>SUM(Q8:T8)</f>
        <v>0</v>
      </c>
      <c r="V8" s="9">
        <f>U8*3.75</f>
        <v>0</v>
      </c>
      <c r="W8" s="9">
        <f>V8*1.25</f>
        <v>0</v>
      </c>
      <c r="X8" s="9">
        <f>CEILING(W8,5)</f>
        <v>0</v>
      </c>
      <c r="Y8" s="9"/>
      <c r="Z8" s="10">
        <f>Y8*X8</f>
        <v>0</v>
      </c>
      <c r="AB8" s="12">
        <f t="shared" si="0"/>
        <v>4</v>
      </c>
      <c r="AC8" s="8">
        <f t="shared" si="0"/>
        <v>0</v>
      </c>
      <c r="AD8" s="8">
        <f t="shared" si="0"/>
        <v>0</v>
      </c>
      <c r="AE8" s="8"/>
      <c r="AF8" s="9"/>
      <c r="AG8" s="9"/>
      <c r="AH8" s="170"/>
      <c r="AI8" s="170"/>
      <c r="AJ8" s="13"/>
    </row>
    <row r="9" spans="1:49" s="7" customFormat="1" ht="15.75" customHeight="1" thickBot="1">
      <c r="A9" s="99"/>
      <c r="B9" s="38">
        <v>5</v>
      </c>
      <c r="C9" s="17"/>
      <c r="D9" s="17"/>
      <c r="E9" s="567"/>
      <c r="F9" s="27"/>
      <c r="G9" s="15">
        <f>F9*3.517</f>
        <v>0</v>
      </c>
      <c r="H9" s="15"/>
      <c r="I9" s="15"/>
      <c r="J9" s="15"/>
      <c r="K9" s="15"/>
      <c r="L9" s="15">
        <f t="shared" si="1"/>
        <v>32</v>
      </c>
      <c r="M9" s="15">
        <f t="shared" si="1"/>
        <v>32</v>
      </c>
      <c r="N9" s="15">
        <f t="shared" si="1"/>
        <v>32</v>
      </c>
      <c r="O9" s="15"/>
      <c r="P9" s="70"/>
      <c r="Q9" s="21"/>
      <c r="R9" s="56"/>
      <c r="S9" s="18"/>
      <c r="T9" s="18"/>
      <c r="U9" s="18">
        <f>SUM(Q9:T9)</f>
        <v>0</v>
      </c>
      <c r="V9" s="18">
        <f>U9*3.75</f>
        <v>0</v>
      </c>
      <c r="W9" s="18">
        <f>V9*1.25</f>
        <v>0</v>
      </c>
      <c r="X9" s="18">
        <f>CEILING(W9,5)</f>
        <v>0</v>
      </c>
      <c r="Y9" s="18"/>
      <c r="Z9" s="19">
        <f>Y9*X9</f>
        <v>0</v>
      </c>
      <c r="AB9" s="14">
        <f t="shared" si="0"/>
        <v>5</v>
      </c>
      <c r="AC9" s="15">
        <f t="shared" si="0"/>
        <v>0</v>
      </c>
      <c r="AD9" s="15">
        <f t="shared" si="0"/>
        <v>0</v>
      </c>
      <c r="AE9" s="15"/>
      <c r="AF9" s="18"/>
      <c r="AG9" s="18"/>
      <c r="AH9" s="171"/>
      <c r="AI9" s="171"/>
      <c r="AJ9" s="16"/>
    </row>
    <row r="10" spans="1:49" s="7" customFormat="1" ht="17.25" thickBot="1">
      <c r="A10" s="62"/>
      <c r="E10" s="11"/>
      <c r="U10" s="11"/>
      <c r="V10" s="11"/>
      <c r="W10" s="11"/>
      <c r="X10" s="11"/>
      <c r="Y10" s="172">
        <f>SUM(Y5:Y9)</f>
        <v>1</v>
      </c>
      <c r="Z10" s="173">
        <f>SUM(Z5:Z9)</f>
        <v>0</v>
      </c>
    </row>
    <row r="11" spans="1:49" ht="15.75" customHeight="1">
      <c r="A11" s="62"/>
    </row>
    <row r="12" spans="1:49" ht="15.75">
      <c r="A12" s="62"/>
    </row>
    <row r="13" spans="1:49" ht="16.5" thickBot="1">
      <c r="A13" s="62"/>
    </row>
    <row r="14" spans="1:49" ht="15" customHeight="1" thickBot="1">
      <c r="A14" s="62"/>
      <c r="C14" s="1783" t="s">
        <v>2146</v>
      </c>
      <c r="D14" s="1784"/>
      <c r="E14" s="1784"/>
      <c r="F14" s="1784"/>
      <c r="G14" s="1784"/>
      <c r="H14" s="1784"/>
      <c r="I14" s="1785"/>
    </row>
    <row r="15" spans="1:49" ht="15" customHeight="1">
      <c r="A15" s="62"/>
      <c r="C15" s="59" t="s">
        <v>3</v>
      </c>
      <c r="D15" s="39"/>
      <c r="E15" s="39"/>
      <c r="F15" s="39"/>
      <c r="G15" s="39"/>
      <c r="H15" s="39"/>
      <c r="I15" s="39"/>
    </row>
    <row r="16" spans="1:49" ht="15" customHeight="1">
      <c r="A16" s="62"/>
    </row>
    <row r="17" spans="1:1" ht="15" customHeight="1">
      <c r="A17" s="62"/>
    </row>
    <row r="18" spans="1:1" ht="15" customHeight="1">
      <c r="A18" s="62"/>
    </row>
    <row r="19" spans="1:1" ht="15" customHeight="1">
      <c r="A19" s="62"/>
    </row>
    <row r="20" spans="1:1" ht="15" customHeight="1">
      <c r="A20" s="62"/>
    </row>
    <row r="21" spans="1:1" ht="15" customHeight="1">
      <c r="A21" s="62"/>
    </row>
    <row r="22" spans="1:1" ht="15" customHeight="1">
      <c r="A22" s="62"/>
    </row>
    <row r="23" spans="1:1" ht="15" customHeight="1">
      <c r="A23" s="62"/>
    </row>
    <row r="24" spans="1:1" ht="15" customHeight="1">
      <c r="A24" s="62"/>
    </row>
    <row r="25" spans="1:1" ht="15" customHeight="1">
      <c r="A25" s="62"/>
    </row>
    <row r="26" spans="1:1" ht="15" customHeight="1">
      <c r="A26" s="62"/>
    </row>
    <row r="27" spans="1:1" ht="15" customHeight="1">
      <c r="A27" s="62"/>
    </row>
    <row r="28" spans="1:1" ht="15" customHeight="1">
      <c r="A28" s="62"/>
    </row>
    <row r="29" spans="1:1" ht="15" customHeight="1">
      <c r="A29" s="62"/>
    </row>
    <row r="30" spans="1:1" ht="15" customHeight="1">
      <c r="A30" s="62"/>
    </row>
    <row r="31" spans="1:1" ht="15" customHeight="1">
      <c r="A31" s="62"/>
    </row>
    <row r="32" spans="1:1" ht="15" customHeight="1">
      <c r="A32" s="62"/>
    </row>
    <row r="33" spans="1:1" ht="15" customHeight="1">
      <c r="A33" s="62"/>
    </row>
    <row r="34" spans="1:1" ht="15" customHeight="1">
      <c r="A34" s="62"/>
    </row>
    <row r="35" spans="1:1" ht="15" customHeight="1">
      <c r="A35" s="62"/>
    </row>
    <row r="36" spans="1:1" ht="15" customHeight="1">
      <c r="A36" s="62"/>
    </row>
    <row r="37" spans="1:1" ht="15" customHeight="1">
      <c r="A37" s="62"/>
    </row>
    <row r="38" spans="1:1" ht="15" customHeight="1">
      <c r="A38" s="62"/>
    </row>
    <row r="39" spans="1:1" ht="15" customHeight="1">
      <c r="A39" s="62"/>
    </row>
    <row r="40" spans="1:1" ht="15" customHeight="1">
      <c r="A40" s="62"/>
    </row>
    <row r="41" spans="1:1" ht="15" customHeight="1">
      <c r="A41" s="62"/>
    </row>
    <row r="42" spans="1:1" ht="15" customHeight="1">
      <c r="A42" s="62"/>
    </row>
    <row r="43" spans="1:1" ht="15" customHeight="1">
      <c r="A43" s="62"/>
    </row>
    <row r="44" spans="1:1" ht="15" customHeight="1">
      <c r="A44" s="62"/>
    </row>
    <row r="45" spans="1:1" ht="15" customHeight="1">
      <c r="A45" s="62"/>
    </row>
    <row r="46" spans="1:1" ht="15" customHeight="1">
      <c r="A46" s="62"/>
    </row>
    <row r="47" spans="1:1" ht="15" customHeight="1">
      <c r="A47" s="62"/>
    </row>
    <row r="48" spans="1:1" ht="15" customHeight="1">
      <c r="A48" s="62"/>
    </row>
    <row r="49" spans="1:1" ht="15" customHeight="1">
      <c r="A49" s="62"/>
    </row>
    <row r="50" spans="1:1" ht="15" customHeight="1">
      <c r="A50" s="62"/>
    </row>
    <row r="51" spans="1:1" ht="15" customHeight="1">
      <c r="A51" s="62"/>
    </row>
    <row r="52" spans="1:1" ht="15" customHeight="1">
      <c r="A52" s="62"/>
    </row>
    <row r="53" spans="1:1" ht="15" customHeight="1">
      <c r="A53" s="62"/>
    </row>
    <row r="54" spans="1:1" ht="15" customHeight="1">
      <c r="A54" s="62"/>
    </row>
    <row r="55" spans="1:1" ht="15.75" customHeight="1" thickBot="1">
      <c r="A55" s="63"/>
    </row>
    <row r="56" spans="1:1" ht="15.75" thickTop="1"/>
  </sheetData>
  <mergeCells count="5">
    <mergeCell ref="B3:E3"/>
    <mergeCell ref="F3:O3"/>
    <mergeCell ref="Q3:Z3"/>
    <mergeCell ref="AB3:AJ3"/>
    <mergeCell ref="C14:I14"/>
  </mergeCells>
  <phoneticPr fontId="9"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8193" r:id="rId4" name="Hide">
          <controlPr defaultSize="0" autoLine="0" r:id="rId5">
            <anchor moveWithCells="1">
              <from>
                <xdr:col>0</xdr:col>
                <xdr:colOff>0</xdr:colOff>
                <xdr:row>2</xdr:row>
                <xdr:rowOff>0</xdr:rowOff>
              </from>
              <to>
                <xdr:col>2</xdr:col>
                <xdr:colOff>228600</xdr:colOff>
                <xdr:row>3</xdr:row>
                <xdr:rowOff>66675</xdr:rowOff>
              </to>
            </anchor>
          </controlPr>
        </control>
      </mc:Choice>
      <mc:Fallback>
        <control shapeId="8193" r:id="rId4" name="Hide"/>
      </mc:Fallback>
    </mc:AlternateContent>
    <mc:AlternateContent xmlns:mc="http://schemas.openxmlformats.org/markup-compatibility/2006">
      <mc:Choice Requires="x14">
        <control shapeId="8194" r:id="rId6" name="Specs">
          <controlPr defaultSize="0" autoLine="0" r:id="rId7">
            <anchor moveWithCells="1">
              <from>
                <xdr:col>0</xdr:col>
                <xdr:colOff>0</xdr:colOff>
                <xdr:row>3</xdr:row>
                <xdr:rowOff>133350</xdr:rowOff>
              </from>
              <to>
                <xdr:col>3</xdr:col>
                <xdr:colOff>371475</xdr:colOff>
                <xdr:row>3</xdr:row>
                <xdr:rowOff>447675</xdr:rowOff>
              </to>
            </anchor>
          </controlPr>
        </control>
      </mc:Choice>
      <mc:Fallback>
        <control shapeId="8194" r:id="rId6" name="Specs"/>
      </mc:Fallback>
    </mc:AlternateContent>
    <mc:AlternateContent xmlns:mc="http://schemas.openxmlformats.org/markup-compatibility/2006">
      <mc:Choice Requires="x14">
        <control shapeId="8195" r:id="rId8" name="Technical">
          <controlPr defaultSize="0" autoLine="0" r:id="rId9">
            <anchor moveWithCells="1">
              <from>
                <xdr:col>0</xdr:col>
                <xdr:colOff>0</xdr:colOff>
                <xdr:row>3</xdr:row>
                <xdr:rowOff>133350</xdr:rowOff>
              </from>
              <to>
                <xdr:col>3</xdr:col>
                <xdr:colOff>371475</xdr:colOff>
                <xdr:row>3</xdr:row>
                <xdr:rowOff>447675</xdr:rowOff>
              </to>
            </anchor>
          </controlPr>
        </control>
      </mc:Choice>
      <mc:Fallback>
        <control shapeId="8195" r:id="rId8" name="Technical"/>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2_PSC"/>
  <dimension ref="A1:AZ56"/>
  <sheetViews>
    <sheetView zoomScale="80" zoomScaleNormal="80" workbookViewId="0">
      <pane xSplit="1" topLeftCell="B1" activePane="topRight" state="frozen"/>
      <selection pane="topRight" activeCell="C5" sqref="C5:E5"/>
    </sheetView>
  </sheetViews>
  <sheetFormatPr defaultColWidth="9.140625" defaultRowHeight="15"/>
  <cols>
    <col min="1" max="1" width="55.7109375" style="1" hidden="1" customWidth="1"/>
    <col min="2" max="2" width="4.140625" style="1" bestFit="1" customWidth="1"/>
    <col min="3" max="3" width="13.140625" style="1" customWidth="1"/>
    <col min="4" max="4" width="15.28515625" style="1" customWidth="1"/>
    <col min="5" max="5" width="13.42578125" style="1" customWidth="1"/>
    <col min="6" max="6" width="12.42578125" style="1" bestFit="1" customWidth="1"/>
    <col min="7" max="8" width="13.140625" style="1" customWidth="1"/>
    <col min="9" max="9" width="7.28515625" style="1" customWidth="1"/>
    <col min="10" max="10" width="7.7109375" style="1" customWidth="1"/>
    <col min="11" max="11" width="7.42578125" style="1" bestFit="1" customWidth="1"/>
    <col min="12" max="14" width="7.42578125" style="1" customWidth="1"/>
    <col min="15" max="15" width="10.85546875" style="1" customWidth="1"/>
    <col min="16" max="16" width="4.140625" style="1" customWidth="1"/>
    <col min="17" max="21" width="9.140625" style="1"/>
    <col min="22" max="22" width="13.85546875" style="1" customWidth="1"/>
    <col min="23" max="23" width="10.28515625" style="1" customWidth="1"/>
    <col min="24" max="25" width="9.140625" style="1"/>
    <col min="26" max="26" width="11" style="1" customWidth="1"/>
    <col min="27" max="40" width="9.140625" style="1"/>
    <col min="41" max="41" width="11.140625" style="1" customWidth="1"/>
    <col min="42" max="42" width="11.7109375" style="1" customWidth="1"/>
    <col min="43" max="43" width="9.140625" style="1"/>
    <col min="44" max="44" width="12.5703125" style="1" customWidth="1"/>
    <col min="45" max="16384" width="9.140625" style="1"/>
  </cols>
  <sheetData>
    <row r="1" spans="1:52" ht="15.75" hidden="1" customHeight="1" thickBot="1">
      <c r="A1" s="159" t="s">
        <v>394</v>
      </c>
      <c r="B1" s="160">
        <v>0</v>
      </c>
      <c r="C1" s="160">
        <v>1</v>
      </c>
      <c r="D1" s="160">
        <v>2</v>
      </c>
      <c r="E1" s="160">
        <v>3</v>
      </c>
      <c r="F1" s="160">
        <v>0</v>
      </c>
      <c r="G1" s="160">
        <v>0</v>
      </c>
      <c r="H1" s="160">
        <v>0</v>
      </c>
      <c r="I1" s="160">
        <v>4</v>
      </c>
      <c r="J1" s="160">
        <v>5</v>
      </c>
      <c r="K1" s="160">
        <v>6</v>
      </c>
      <c r="L1" s="160">
        <v>0</v>
      </c>
      <c r="M1" s="160">
        <v>0</v>
      </c>
      <c r="N1" s="160">
        <v>0</v>
      </c>
      <c r="O1" s="160">
        <v>0</v>
      </c>
      <c r="P1" s="160">
        <v>0</v>
      </c>
      <c r="Q1" s="160">
        <v>0</v>
      </c>
      <c r="R1" s="160">
        <v>0</v>
      </c>
      <c r="S1" s="160">
        <v>0</v>
      </c>
      <c r="T1" s="160">
        <v>0</v>
      </c>
      <c r="U1" s="160">
        <v>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row>
    <row r="2" spans="1:52" ht="14.25" hidden="1" customHeight="1" thickBot="1">
      <c r="A2" s="62"/>
      <c r="B2" s="1">
        <v>0</v>
      </c>
      <c r="C2" s="1" t="s">
        <v>427</v>
      </c>
      <c r="D2" s="1" t="s">
        <v>428</v>
      </c>
      <c r="E2" s="1" t="s">
        <v>2098</v>
      </c>
      <c r="F2" s="1">
        <v>0</v>
      </c>
      <c r="G2" s="1">
        <v>0</v>
      </c>
      <c r="H2" s="1" t="s">
        <v>1335</v>
      </c>
      <c r="I2" s="1">
        <v>0</v>
      </c>
      <c r="J2" s="1">
        <v>0</v>
      </c>
      <c r="K2" s="1" t="s">
        <v>2124</v>
      </c>
      <c r="L2" s="1">
        <v>0</v>
      </c>
      <c r="M2" s="1">
        <v>0</v>
      </c>
      <c r="N2" s="1">
        <v>0</v>
      </c>
      <c r="O2" s="1" t="s">
        <v>2142</v>
      </c>
      <c r="P2" s="1">
        <v>0</v>
      </c>
      <c r="Q2" s="1">
        <v>0</v>
      </c>
      <c r="R2" s="1">
        <v>0</v>
      </c>
      <c r="S2" s="1">
        <v>0</v>
      </c>
      <c r="T2" s="1">
        <v>0</v>
      </c>
      <c r="U2" s="1">
        <v>0</v>
      </c>
      <c r="V2" s="1">
        <v>0</v>
      </c>
      <c r="W2" s="1">
        <v>0</v>
      </c>
      <c r="X2" s="1" t="s">
        <v>2102</v>
      </c>
      <c r="Y2" s="1" t="s">
        <v>2100</v>
      </c>
      <c r="Z2" s="1" t="s">
        <v>2101</v>
      </c>
      <c r="AA2" s="1">
        <v>0</v>
      </c>
      <c r="AB2" s="1">
        <v>0</v>
      </c>
      <c r="AC2" s="1">
        <v>0</v>
      </c>
      <c r="AD2" s="1">
        <v>0</v>
      </c>
      <c r="AE2" s="1" t="s">
        <v>39</v>
      </c>
      <c r="AF2" s="1" t="s">
        <v>40</v>
      </c>
      <c r="AG2" s="1" t="s">
        <v>38</v>
      </c>
      <c r="AH2" s="1" t="s">
        <v>645</v>
      </c>
      <c r="AI2" s="1" t="s">
        <v>2136</v>
      </c>
      <c r="AJ2" s="1" t="s">
        <v>41</v>
      </c>
      <c r="AK2" s="1">
        <v>0</v>
      </c>
      <c r="AL2" s="1">
        <v>0</v>
      </c>
      <c r="AM2" s="1">
        <v>0</v>
      </c>
      <c r="AN2" s="1">
        <v>0</v>
      </c>
      <c r="AO2" s="1" t="s">
        <v>619</v>
      </c>
      <c r="AP2" s="1" t="s">
        <v>613</v>
      </c>
      <c r="AQ2" s="1" t="s">
        <v>615</v>
      </c>
      <c r="AR2" s="1" t="s">
        <v>614</v>
      </c>
      <c r="AS2" s="1" t="s">
        <v>616</v>
      </c>
      <c r="AT2" s="1" t="s">
        <v>617</v>
      </c>
      <c r="AU2" s="1" t="s">
        <v>618</v>
      </c>
      <c r="AV2" s="1" t="s">
        <v>2122</v>
      </c>
      <c r="AW2" s="1" t="s">
        <v>2123</v>
      </c>
      <c r="AX2" s="1" t="s">
        <v>2126</v>
      </c>
      <c r="AY2" s="1" t="s">
        <v>2128</v>
      </c>
      <c r="AZ2" s="1" t="s">
        <v>1343</v>
      </c>
    </row>
    <row r="3" spans="1:52" s="7" customFormat="1" ht="19.5" customHeight="1" thickTop="1" thickBot="1">
      <c r="A3" s="60" t="s">
        <v>80</v>
      </c>
      <c r="B3" s="1776" t="s">
        <v>21</v>
      </c>
      <c r="C3" s="1776"/>
      <c r="D3" s="1776"/>
      <c r="E3" s="1776"/>
      <c r="F3" s="1620" t="s">
        <v>17</v>
      </c>
      <c r="G3" s="1621"/>
      <c r="H3" s="1621"/>
      <c r="I3" s="1621"/>
      <c r="J3" s="1621"/>
      <c r="K3" s="1621"/>
      <c r="L3" s="1621"/>
      <c r="M3" s="1621"/>
      <c r="N3" s="1621"/>
      <c r="O3" s="1621"/>
      <c r="P3" s="68"/>
      <c r="Q3" s="1777" t="s">
        <v>24</v>
      </c>
      <c r="R3" s="1778"/>
      <c r="S3" s="1778"/>
      <c r="T3" s="1778"/>
      <c r="U3" s="1778"/>
      <c r="V3" s="1778"/>
      <c r="W3" s="1778"/>
      <c r="X3" s="1778"/>
      <c r="Y3" s="1778"/>
      <c r="Z3" s="1779"/>
      <c r="AB3" s="1780" t="s">
        <v>42</v>
      </c>
      <c r="AC3" s="1781"/>
      <c r="AD3" s="1781"/>
      <c r="AE3" s="1781"/>
      <c r="AF3" s="1781"/>
      <c r="AG3" s="1781"/>
      <c r="AH3" s="1781"/>
      <c r="AI3" s="1781"/>
      <c r="AJ3" s="1782"/>
      <c r="AL3" s="1780" t="s">
        <v>2131</v>
      </c>
      <c r="AM3" s="1781"/>
      <c r="AN3" s="1781"/>
      <c r="AO3" s="1781"/>
      <c r="AP3" s="1781"/>
      <c r="AQ3" s="1781"/>
      <c r="AR3" s="1781"/>
      <c r="AS3" s="1781"/>
      <c r="AT3" s="1781"/>
      <c r="AU3" s="1781"/>
      <c r="AV3" s="1781"/>
      <c r="AW3" s="1781"/>
      <c r="AX3" s="1781"/>
      <c r="AY3" s="1781"/>
      <c r="AZ3" s="1782"/>
    </row>
    <row r="4" spans="1:52" s="7" customFormat="1" ht="66.75" thickTop="1">
      <c r="A4" s="61"/>
      <c r="B4" s="78" t="s">
        <v>2</v>
      </c>
      <c r="C4" s="79" t="s">
        <v>3</v>
      </c>
      <c r="D4" s="79" t="s">
        <v>0</v>
      </c>
      <c r="E4" s="80" t="s">
        <v>72</v>
      </c>
      <c r="F4" s="81" t="s">
        <v>66</v>
      </c>
      <c r="G4" s="81" t="s">
        <v>22</v>
      </c>
      <c r="H4" s="82" t="s">
        <v>1336</v>
      </c>
      <c r="I4" s="82" t="s">
        <v>585</v>
      </c>
      <c r="J4" s="82" t="s">
        <v>586</v>
      </c>
      <c r="K4" s="82" t="s">
        <v>2150</v>
      </c>
      <c r="L4" s="82" t="s">
        <v>587</v>
      </c>
      <c r="M4" s="82" t="s">
        <v>588</v>
      </c>
      <c r="N4" s="82" t="s">
        <v>2151</v>
      </c>
      <c r="O4" s="83" t="s">
        <v>65</v>
      </c>
      <c r="P4" s="69"/>
      <c r="Q4" s="84" t="s">
        <v>400</v>
      </c>
      <c r="R4" s="85" t="s">
        <v>69</v>
      </c>
      <c r="S4" s="86" t="s">
        <v>16</v>
      </c>
      <c r="T4" s="86" t="s">
        <v>67</v>
      </c>
      <c r="U4" s="87" t="s">
        <v>26</v>
      </c>
      <c r="V4" s="88" t="s">
        <v>11</v>
      </c>
      <c r="W4" s="88" t="s">
        <v>15</v>
      </c>
      <c r="X4" s="88" t="s">
        <v>2490</v>
      </c>
      <c r="Y4" s="88" t="s">
        <v>5</v>
      </c>
      <c r="Z4" s="89" t="s">
        <v>2491</v>
      </c>
      <c r="AB4" s="48" t="str">
        <f t="shared" ref="AB4:AD9" si="0">B4</f>
        <v>No.</v>
      </c>
      <c r="AC4" s="49" t="str">
        <f t="shared" si="0"/>
        <v>Ref.</v>
      </c>
      <c r="AD4" s="49" t="str">
        <f t="shared" si="0"/>
        <v>Model</v>
      </c>
      <c r="AE4" s="49" t="s">
        <v>39</v>
      </c>
      <c r="AF4" s="50" t="s">
        <v>40</v>
      </c>
      <c r="AG4" s="50" t="s">
        <v>38</v>
      </c>
      <c r="AH4" s="243" t="s">
        <v>645</v>
      </c>
      <c r="AI4" s="243" t="s">
        <v>2136</v>
      </c>
      <c r="AJ4" s="51" t="s">
        <v>41</v>
      </c>
      <c r="AL4" s="228" t="str">
        <f t="shared" ref="AL4:AN9" si="1">AB4</f>
        <v>No.</v>
      </c>
      <c r="AM4" s="234" t="str">
        <f t="shared" si="1"/>
        <v>Ref.</v>
      </c>
      <c r="AN4" s="234" t="str">
        <f t="shared" si="1"/>
        <v>Model</v>
      </c>
      <c r="AO4" s="234" t="s">
        <v>621</v>
      </c>
      <c r="AP4" s="234" t="s">
        <v>580</v>
      </c>
      <c r="AQ4" s="234" t="s">
        <v>1329</v>
      </c>
      <c r="AR4" s="234" t="s">
        <v>581</v>
      </c>
      <c r="AS4" s="234" t="s">
        <v>1330</v>
      </c>
      <c r="AT4" s="239" t="s">
        <v>620</v>
      </c>
      <c r="AU4" s="234" t="s">
        <v>5</v>
      </c>
      <c r="AV4" s="239" t="s">
        <v>2130</v>
      </c>
      <c r="AW4" s="239" t="s">
        <v>2129</v>
      </c>
      <c r="AX4" s="239" t="s">
        <v>2125</v>
      </c>
      <c r="AY4" s="239" t="s">
        <v>2127</v>
      </c>
      <c r="AZ4" s="757" t="s">
        <v>1328</v>
      </c>
    </row>
    <row r="5" spans="1:52" s="7" customFormat="1" ht="16.5">
      <c r="A5" s="62"/>
      <c r="B5" s="161">
        <v>1</v>
      </c>
      <c r="C5" s="6" t="s">
        <v>2839</v>
      </c>
      <c r="D5" s="6" t="s">
        <v>2840</v>
      </c>
      <c r="E5" s="566" t="s">
        <v>2840</v>
      </c>
      <c r="F5" s="26"/>
      <c r="G5" s="8">
        <f>F5*3.517</f>
        <v>0</v>
      </c>
      <c r="H5" s="8"/>
      <c r="I5" s="8"/>
      <c r="J5" s="8"/>
      <c r="K5" s="8"/>
      <c r="L5" s="8">
        <f>I5*1.8+32</f>
        <v>32</v>
      </c>
      <c r="M5" s="8">
        <f t="shared" ref="M5:N9" si="2">J5*1.8+32</f>
        <v>32</v>
      </c>
      <c r="N5" s="8">
        <f t="shared" si="2"/>
        <v>32</v>
      </c>
      <c r="O5" s="8"/>
      <c r="P5" s="69"/>
      <c r="Q5" s="20"/>
      <c r="R5" s="43"/>
      <c r="S5" s="9"/>
      <c r="T5" s="9"/>
      <c r="U5" s="9">
        <f>SUM(Q5:T5)</f>
        <v>0</v>
      </c>
      <c r="V5" s="22">
        <f>U5*3.75</f>
        <v>0</v>
      </c>
      <c r="W5" s="22">
        <f>V5*1.25</f>
        <v>0</v>
      </c>
      <c r="X5" s="22">
        <f>CEILING(W5,5)</f>
        <v>0</v>
      </c>
      <c r="Y5" s="22">
        <v>1</v>
      </c>
      <c r="Z5" s="23">
        <f>Y5*X5</f>
        <v>0</v>
      </c>
      <c r="AB5" s="12">
        <f t="shared" si="0"/>
        <v>1</v>
      </c>
      <c r="AC5" s="8" t="str">
        <f t="shared" si="0"/>
        <v>CH-01</v>
      </c>
      <c r="AD5" s="8" t="str">
        <f t="shared" si="0"/>
        <v>XX</v>
      </c>
      <c r="AE5" s="8"/>
      <c r="AF5" s="9"/>
      <c r="AG5" s="9"/>
      <c r="AH5" s="170"/>
      <c r="AI5" s="170"/>
      <c r="AJ5" s="13"/>
      <c r="AL5" s="12">
        <f t="shared" si="1"/>
        <v>1</v>
      </c>
      <c r="AM5" s="8" t="str">
        <f t="shared" si="1"/>
        <v>CH-01</v>
      </c>
      <c r="AN5" s="8" t="str">
        <f t="shared" si="1"/>
        <v>XX</v>
      </c>
      <c r="AO5" s="742"/>
      <c r="AP5" s="749"/>
      <c r="AQ5" s="752"/>
      <c r="AR5" s="223"/>
      <c r="AS5" s="210"/>
      <c r="AT5" s="745"/>
      <c r="AU5" s="745"/>
      <c r="AV5" s="742"/>
      <c r="AW5" s="742"/>
      <c r="AX5" s="742"/>
      <c r="AY5" s="742"/>
      <c r="AZ5" s="758"/>
    </row>
    <row r="6" spans="1:52" s="7" customFormat="1" ht="16.5">
      <c r="A6" s="62"/>
      <c r="B6" s="26">
        <v>2</v>
      </c>
      <c r="C6" s="6"/>
      <c r="D6" s="9"/>
      <c r="E6" s="10"/>
      <c r="F6" s="26"/>
      <c r="G6" s="8">
        <f>F6*3.517</f>
        <v>0</v>
      </c>
      <c r="H6" s="8"/>
      <c r="I6" s="8"/>
      <c r="J6" s="8"/>
      <c r="K6" s="8"/>
      <c r="L6" s="8">
        <f>I6*1.8+32</f>
        <v>32</v>
      </c>
      <c r="M6" s="8">
        <f t="shared" si="2"/>
        <v>32</v>
      </c>
      <c r="N6" s="8">
        <f t="shared" si="2"/>
        <v>32</v>
      </c>
      <c r="O6" s="8"/>
      <c r="P6" s="69"/>
      <c r="Q6" s="20"/>
      <c r="R6" s="43"/>
      <c r="S6" s="9"/>
      <c r="T6" s="9"/>
      <c r="U6" s="9">
        <f>SUM(Q6:T6)</f>
        <v>0</v>
      </c>
      <c r="V6" s="9">
        <f>U6*3.75</f>
        <v>0</v>
      </c>
      <c r="W6" s="9">
        <f>V6*1.25</f>
        <v>0</v>
      </c>
      <c r="X6" s="9">
        <f>CEILING(W6,5)</f>
        <v>0</v>
      </c>
      <c r="Y6" s="9"/>
      <c r="Z6" s="10">
        <f>Y6*X6</f>
        <v>0</v>
      </c>
      <c r="AB6" s="12">
        <f t="shared" si="0"/>
        <v>2</v>
      </c>
      <c r="AC6" s="8">
        <f t="shared" si="0"/>
        <v>0</v>
      </c>
      <c r="AD6" s="8">
        <f t="shared" si="0"/>
        <v>0</v>
      </c>
      <c r="AE6" s="8"/>
      <c r="AF6" s="9"/>
      <c r="AG6" s="9"/>
      <c r="AH6" s="170"/>
      <c r="AI6" s="170"/>
      <c r="AJ6" s="13"/>
      <c r="AL6" s="12">
        <f t="shared" si="1"/>
        <v>2</v>
      </c>
      <c r="AM6" s="8">
        <f t="shared" si="1"/>
        <v>0</v>
      </c>
      <c r="AN6" s="8">
        <f t="shared" si="1"/>
        <v>0</v>
      </c>
      <c r="AO6" s="742"/>
      <c r="AP6" s="749"/>
      <c r="AQ6" s="752"/>
      <c r="AR6" s="223"/>
      <c r="AS6" s="210"/>
      <c r="AT6" s="745"/>
      <c r="AU6" s="745"/>
      <c r="AV6" s="742"/>
      <c r="AW6" s="742"/>
      <c r="AX6" s="742"/>
      <c r="AY6" s="742"/>
      <c r="AZ6" s="758"/>
    </row>
    <row r="7" spans="1:52" s="7" customFormat="1" ht="16.5">
      <c r="A7" s="62"/>
      <c r="B7" s="26">
        <v>3</v>
      </c>
      <c r="C7" s="6"/>
      <c r="D7" s="9"/>
      <c r="E7" s="10"/>
      <c r="F7" s="26"/>
      <c r="G7" s="8">
        <f>F7*3.517</f>
        <v>0</v>
      </c>
      <c r="H7" s="8"/>
      <c r="I7" s="8"/>
      <c r="J7" s="8"/>
      <c r="K7" s="8"/>
      <c r="L7" s="8">
        <f>I7*1.8+32</f>
        <v>32</v>
      </c>
      <c r="M7" s="8">
        <f t="shared" si="2"/>
        <v>32</v>
      </c>
      <c r="N7" s="8">
        <f t="shared" si="2"/>
        <v>32</v>
      </c>
      <c r="O7" s="8"/>
      <c r="P7" s="69"/>
      <c r="Q7" s="20"/>
      <c r="R7" s="43"/>
      <c r="S7" s="9"/>
      <c r="T7" s="9"/>
      <c r="U7" s="9">
        <f>SUM(Q7:T7)</f>
        <v>0</v>
      </c>
      <c r="V7" s="9">
        <f>U7*3.75</f>
        <v>0</v>
      </c>
      <c r="W7" s="9">
        <f>V7*1.25</f>
        <v>0</v>
      </c>
      <c r="X7" s="9">
        <f>CEILING(W7,5)</f>
        <v>0</v>
      </c>
      <c r="Y7" s="9"/>
      <c r="Z7" s="10">
        <f>Y7*X7</f>
        <v>0</v>
      </c>
      <c r="AB7" s="12">
        <f t="shared" si="0"/>
        <v>3</v>
      </c>
      <c r="AC7" s="8">
        <f t="shared" si="0"/>
        <v>0</v>
      </c>
      <c r="AD7" s="8">
        <f t="shared" si="0"/>
        <v>0</v>
      </c>
      <c r="AE7" s="8"/>
      <c r="AF7" s="9"/>
      <c r="AG7" s="9"/>
      <c r="AH7" s="170"/>
      <c r="AI7" s="170"/>
      <c r="AJ7" s="13"/>
      <c r="AL7" s="12">
        <f t="shared" si="1"/>
        <v>3</v>
      </c>
      <c r="AM7" s="8">
        <f t="shared" si="1"/>
        <v>0</v>
      </c>
      <c r="AN7" s="8">
        <f t="shared" si="1"/>
        <v>0</v>
      </c>
      <c r="AO7" s="742"/>
      <c r="AP7" s="749"/>
      <c r="AQ7" s="752"/>
      <c r="AR7" s="223"/>
      <c r="AS7" s="210"/>
      <c r="AT7" s="745"/>
      <c r="AU7" s="745"/>
      <c r="AV7" s="742"/>
      <c r="AW7" s="742"/>
      <c r="AX7" s="742"/>
      <c r="AY7" s="742"/>
      <c r="AZ7" s="758"/>
    </row>
    <row r="8" spans="1:52" s="7" customFormat="1" ht="16.5">
      <c r="A8" s="62"/>
      <c r="B8" s="26">
        <v>4</v>
      </c>
      <c r="C8" s="6"/>
      <c r="D8" s="9"/>
      <c r="E8" s="10"/>
      <c r="F8" s="26"/>
      <c r="G8" s="8">
        <f>F8*3.517</f>
        <v>0</v>
      </c>
      <c r="H8" s="8"/>
      <c r="I8" s="8"/>
      <c r="J8" s="8"/>
      <c r="K8" s="8"/>
      <c r="L8" s="8">
        <f>I8*1.8+32</f>
        <v>32</v>
      </c>
      <c r="M8" s="8">
        <f t="shared" si="2"/>
        <v>32</v>
      </c>
      <c r="N8" s="8">
        <f t="shared" si="2"/>
        <v>32</v>
      </c>
      <c r="O8" s="8"/>
      <c r="P8" s="69"/>
      <c r="Q8" s="20"/>
      <c r="R8" s="43"/>
      <c r="S8" s="9"/>
      <c r="T8" s="9"/>
      <c r="U8" s="9">
        <f>SUM(Q8:T8)</f>
        <v>0</v>
      </c>
      <c r="V8" s="9">
        <f>U8*3.75</f>
        <v>0</v>
      </c>
      <c r="W8" s="9">
        <f>V8*1.25</f>
        <v>0</v>
      </c>
      <c r="X8" s="9">
        <f>CEILING(W8,5)</f>
        <v>0</v>
      </c>
      <c r="Y8" s="9"/>
      <c r="Z8" s="10">
        <f>Y8*X8</f>
        <v>0</v>
      </c>
      <c r="AB8" s="12">
        <f t="shared" si="0"/>
        <v>4</v>
      </c>
      <c r="AC8" s="8">
        <f t="shared" si="0"/>
        <v>0</v>
      </c>
      <c r="AD8" s="8">
        <f t="shared" si="0"/>
        <v>0</v>
      </c>
      <c r="AE8" s="8"/>
      <c r="AF8" s="9"/>
      <c r="AG8" s="9"/>
      <c r="AH8" s="170"/>
      <c r="AI8" s="170"/>
      <c r="AJ8" s="13"/>
      <c r="AL8" s="12">
        <f t="shared" si="1"/>
        <v>4</v>
      </c>
      <c r="AM8" s="8">
        <f t="shared" si="1"/>
        <v>0</v>
      </c>
      <c r="AN8" s="8">
        <f t="shared" si="1"/>
        <v>0</v>
      </c>
      <c r="AO8" s="742"/>
      <c r="AP8" s="749"/>
      <c r="AQ8" s="752"/>
      <c r="AR8" s="223"/>
      <c r="AS8" s="210"/>
      <c r="AT8" s="745"/>
      <c r="AU8" s="745"/>
      <c r="AV8" s="742"/>
      <c r="AW8" s="742"/>
      <c r="AX8" s="742"/>
      <c r="AY8" s="742"/>
      <c r="AZ8" s="758"/>
    </row>
    <row r="9" spans="1:52" s="7" customFormat="1" ht="15.75" customHeight="1" thickBot="1">
      <c r="A9" s="62"/>
      <c r="B9" s="58">
        <v>5</v>
      </c>
      <c r="C9" s="17"/>
      <c r="D9" s="18"/>
      <c r="E9" s="19"/>
      <c r="F9" s="27"/>
      <c r="G9" s="15">
        <f>F9*3.517</f>
        <v>0</v>
      </c>
      <c r="H9" s="15"/>
      <c r="I9" s="15"/>
      <c r="J9" s="15"/>
      <c r="K9" s="15"/>
      <c r="L9" s="15">
        <f>I9*1.8+32</f>
        <v>32</v>
      </c>
      <c r="M9" s="15">
        <f t="shared" si="2"/>
        <v>32</v>
      </c>
      <c r="N9" s="15">
        <f t="shared" si="2"/>
        <v>32</v>
      </c>
      <c r="O9" s="15"/>
      <c r="P9" s="70"/>
      <c r="Q9" s="21"/>
      <c r="R9" s="56"/>
      <c r="S9" s="18"/>
      <c r="T9" s="18"/>
      <c r="U9" s="18">
        <f>SUM(Q9:T9)</f>
        <v>0</v>
      </c>
      <c r="V9" s="18">
        <f>U9*3.75</f>
        <v>0</v>
      </c>
      <c r="W9" s="18">
        <f>V9*1.25</f>
        <v>0</v>
      </c>
      <c r="X9" s="18">
        <f>CEILING(W9,5)</f>
        <v>0</v>
      </c>
      <c r="Y9" s="18"/>
      <c r="Z9" s="19">
        <f>Y9*X9</f>
        <v>0</v>
      </c>
      <c r="AB9" s="14">
        <f t="shared" si="0"/>
        <v>5</v>
      </c>
      <c r="AC9" s="15">
        <f t="shared" si="0"/>
        <v>0</v>
      </c>
      <c r="AD9" s="15">
        <f t="shared" si="0"/>
        <v>0</v>
      </c>
      <c r="AE9" s="15"/>
      <c r="AF9" s="18"/>
      <c r="AG9" s="18"/>
      <c r="AH9" s="171"/>
      <c r="AI9" s="171"/>
      <c r="AJ9" s="16"/>
      <c r="AL9" s="14">
        <f t="shared" si="1"/>
        <v>5</v>
      </c>
      <c r="AM9" s="15">
        <f t="shared" si="1"/>
        <v>0</v>
      </c>
      <c r="AN9" s="15">
        <f t="shared" si="1"/>
        <v>0</v>
      </c>
      <c r="AO9" s="743"/>
      <c r="AP9" s="750"/>
      <c r="AQ9" s="753"/>
      <c r="AR9" s="224"/>
      <c r="AS9" s="211"/>
      <c r="AT9" s="746"/>
      <c r="AU9" s="746"/>
      <c r="AV9" s="743"/>
      <c r="AW9" s="743"/>
      <c r="AX9" s="743"/>
      <c r="AY9" s="743"/>
      <c r="AZ9" s="759"/>
    </row>
    <row r="10" spans="1:52" s="7" customFormat="1" ht="17.25" thickBot="1">
      <c r="A10" s="62"/>
      <c r="E10" s="11"/>
      <c r="U10" s="11"/>
      <c r="V10" s="11"/>
      <c r="W10" s="11"/>
      <c r="X10" s="11"/>
      <c r="Y10" s="172">
        <f>SUM(Y5:Y9)</f>
        <v>1</v>
      </c>
      <c r="Z10" s="173">
        <f>SUM(Z5:Z9)</f>
        <v>0</v>
      </c>
    </row>
    <row r="11" spans="1:52" ht="15.75" customHeight="1">
      <c r="A11" s="62"/>
    </row>
    <row r="12" spans="1:52" ht="15.75">
      <c r="A12" s="62"/>
    </row>
    <row r="13" spans="1:52" ht="16.5" thickBot="1">
      <c r="A13" s="62"/>
    </row>
    <row r="14" spans="1:52" ht="15" customHeight="1" thickBot="1">
      <c r="A14" s="62"/>
      <c r="C14" s="1784" t="s">
        <v>2147</v>
      </c>
      <c r="D14" s="1784"/>
      <c r="E14" s="1784"/>
      <c r="F14" s="1784"/>
      <c r="G14" s="1784"/>
      <c r="H14" s="1784"/>
      <c r="I14" s="1785"/>
    </row>
    <row r="15" spans="1:52" ht="15" customHeight="1">
      <c r="A15" s="62"/>
      <c r="C15" s="59" t="s">
        <v>3</v>
      </c>
      <c r="D15" s="39"/>
      <c r="E15" s="39"/>
      <c r="F15" s="39"/>
      <c r="G15" s="39"/>
      <c r="H15" s="39"/>
      <c r="I15" s="39"/>
    </row>
    <row r="16" spans="1:52" ht="15" customHeight="1">
      <c r="A16" s="62"/>
    </row>
    <row r="17" spans="1:1" ht="15" customHeight="1">
      <c r="A17" s="62"/>
    </row>
    <row r="18" spans="1:1" ht="15" customHeight="1">
      <c r="A18" s="62"/>
    </row>
    <row r="19" spans="1:1" ht="15" customHeight="1">
      <c r="A19" s="62"/>
    </row>
    <row r="20" spans="1:1" ht="15" customHeight="1">
      <c r="A20" s="62"/>
    </row>
    <row r="21" spans="1:1" ht="15" customHeight="1">
      <c r="A21" s="62"/>
    </row>
    <row r="22" spans="1:1" ht="15" customHeight="1">
      <c r="A22" s="62"/>
    </row>
    <row r="23" spans="1:1" ht="15" customHeight="1">
      <c r="A23" s="62"/>
    </row>
    <row r="24" spans="1:1" ht="15" customHeight="1">
      <c r="A24" s="62"/>
    </row>
    <row r="25" spans="1:1" ht="15" customHeight="1">
      <c r="A25" s="62"/>
    </row>
    <row r="26" spans="1:1" ht="15" customHeight="1">
      <c r="A26" s="62"/>
    </row>
    <row r="27" spans="1:1" ht="15" customHeight="1">
      <c r="A27" s="62"/>
    </row>
    <row r="28" spans="1:1" ht="15" customHeight="1">
      <c r="A28" s="62"/>
    </row>
    <row r="29" spans="1:1" ht="15" customHeight="1">
      <c r="A29" s="62"/>
    </row>
    <row r="30" spans="1:1" ht="15" customHeight="1">
      <c r="A30" s="62"/>
    </row>
    <row r="31" spans="1:1" ht="15" customHeight="1">
      <c r="A31" s="62"/>
    </row>
    <row r="32" spans="1:1" ht="15" customHeight="1">
      <c r="A32" s="62"/>
    </row>
    <row r="33" spans="1:1" ht="15" customHeight="1">
      <c r="A33" s="62"/>
    </row>
    <row r="34" spans="1:1" ht="15" customHeight="1">
      <c r="A34" s="62"/>
    </row>
    <row r="35" spans="1:1" ht="15" customHeight="1">
      <c r="A35" s="62"/>
    </row>
    <row r="36" spans="1:1" ht="15" customHeight="1">
      <c r="A36" s="62"/>
    </row>
    <row r="37" spans="1:1" ht="15" customHeight="1">
      <c r="A37" s="62"/>
    </row>
    <row r="38" spans="1:1" ht="15" customHeight="1">
      <c r="A38" s="62"/>
    </row>
    <row r="39" spans="1:1" ht="15" customHeight="1">
      <c r="A39" s="62"/>
    </row>
    <row r="40" spans="1:1" ht="15" customHeight="1">
      <c r="A40" s="62"/>
    </row>
    <row r="41" spans="1:1" ht="15" customHeight="1">
      <c r="A41" s="62"/>
    </row>
    <row r="42" spans="1:1" ht="15" customHeight="1">
      <c r="A42" s="62"/>
    </row>
    <row r="43" spans="1:1" ht="15" customHeight="1">
      <c r="A43" s="62"/>
    </row>
    <row r="44" spans="1:1" ht="15" customHeight="1">
      <c r="A44" s="62"/>
    </row>
    <row r="45" spans="1:1" ht="15" customHeight="1">
      <c r="A45" s="62"/>
    </row>
    <row r="46" spans="1:1" ht="15" customHeight="1">
      <c r="A46" s="62"/>
    </row>
    <row r="47" spans="1:1" ht="15" customHeight="1">
      <c r="A47" s="62"/>
    </row>
    <row r="48" spans="1:1" ht="15" customHeight="1">
      <c r="A48" s="62"/>
    </row>
    <row r="49" spans="1:1" ht="15" customHeight="1">
      <c r="A49" s="62"/>
    </row>
    <row r="50" spans="1:1" ht="15" customHeight="1">
      <c r="A50" s="62"/>
    </row>
    <row r="51" spans="1:1" ht="15" customHeight="1">
      <c r="A51" s="62"/>
    </row>
    <row r="52" spans="1:1" ht="15" customHeight="1">
      <c r="A52" s="62"/>
    </row>
    <row r="53" spans="1:1" ht="15" customHeight="1">
      <c r="A53" s="62"/>
    </row>
    <row r="54" spans="1:1" ht="15" customHeight="1">
      <c r="A54" s="62"/>
    </row>
    <row r="55" spans="1:1" ht="15.75" customHeight="1" thickBot="1">
      <c r="A55" s="63"/>
    </row>
    <row r="56" spans="1:1" ht="15.75" thickTop="1"/>
  </sheetData>
  <mergeCells count="6">
    <mergeCell ref="C14:I14"/>
    <mergeCell ref="AL3:AZ3"/>
    <mergeCell ref="B3:E3"/>
    <mergeCell ref="F3:O3"/>
    <mergeCell ref="Q3:Z3"/>
    <mergeCell ref="AB3:AJ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8435" r:id="rId4" name="Technical">
          <controlPr defaultSize="0" autoLine="0" r:id="rId5">
            <anchor moveWithCells="1">
              <from>
                <xdr:col>0</xdr:col>
                <xdr:colOff>0</xdr:colOff>
                <xdr:row>3</xdr:row>
                <xdr:rowOff>133350</xdr:rowOff>
              </from>
              <to>
                <xdr:col>3</xdr:col>
                <xdr:colOff>371475</xdr:colOff>
                <xdr:row>3</xdr:row>
                <xdr:rowOff>447675</xdr:rowOff>
              </to>
            </anchor>
          </controlPr>
        </control>
      </mc:Choice>
      <mc:Fallback>
        <control shapeId="18435" r:id="rId4" name="Technical"/>
      </mc:Fallback>
    </mc:AlternateContent>
    <mc:AlternateContent xmlns:mc="http://schemas.openxmlformats.org/markup-compatibility/2006">
      <mc:Choice Requires="x14">
        <control shapeId="18434" r:id="rId6" name="Specs">
          <controlPr defaultSize="0" autoLine="0" r:id="rId7">
            <anchor moveWithCells="1">
              <from>
                <xdr:col>0</xdr:col>
                <xdr:colOff>0</xdr:colOff>
                <xdr:row>3</xdr:row>
                <xdr:rowOff>133350</xdr:rowOff>
              </from>
              <to>
                <xdr:col>3</xdr:col>
                <xdr:colOff>371475</xdr:colOff>
                <xdr:row>3</xdr:row>
                <xdr:rowOff>447675</xdr:rowOff>
              </to>
            </anchor>
          </controlPr>
        </control>
      </mc:Choice>
      <mc:Fallback>
        <control shapeId="18434" r:id="rId6" name="Specs"/>
      </mc:Fallback>
    </mc:AlternateContent>
    <mc:AlternateContent xmlns:mc="http://schemas.openxmlformats.org/markup-compatibility/2006">
      <mc:Choice Requires="x14">
        <control shapeId="18433" r:id="rId8" name="Hide">
          <controlPr defaultSize="0" autoLine="0" r:id="rId9">
            <anchor moveWithCells="1">
              <from>
                <xdr:col>0</xdr:col>
                <xdr:colOff>0</xdr:colOff>
                <xdr:row>2</xdr:row>
                <xdr:rowOff>0</xdr:rowOff>
              </from>
              <to>
                <xdr:col>2</xdr:col>
                <xdr:colOff>228600</xdr:colOff>
                <xdr:row>3</xdr:row>
                <xdr:rowOff>57150</xdr:rowOff>
              </to>
            </anchor>
          </controlPr>
        </control>
      </mc:Choice>
      <mc:Fallback>
        <control shapeId="18433" r:id="rId8" name="Hide"/>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3_RWC"/>
  <dimension ref="A1:AZ56"/>
  <sheetViews>
    <sheetView zoomScale="80" zoomScaleNormal="80" workbookViewId="0">
      <pane xSplit="1" topLeftCell="B1" activePane="topRight" state="frozen"/>
      <selection pane="topRight" activeCell="X18" sqref="X18"/>
    </sheetView>
  </sheetViews>
  <sheetFormatPr defaultColWidth="9.140625" defaultRowHeight="15"/>
  <cols>
    <col min="1" max="1" width="55.7109375" style="1" hidden="1" customWidth="1"/>
    <col min="2" max="2" width="4.140625" style="1" bestFit="1" customWidth="1"/>
    <col min="3" max="3" width="13.140625" style="1" customWidth="1"/>
    <col min="4" max="4" width="15.28515625" style="1" customWidth="1"/>
    <col min="5" max="5" width="13.42578125" style="1" customWidth="1"/>
    <col min="6" max="6" width="12.42578125" style="1" bestFit="1" customWidth="1"/>
    <col min="7" max="8" width="13.140625" style="1" customWidth="1"/>
    <col min="9" max="9" width="8.5703125" style="1" customWidth="1"/>
    <col min="10" max="11" width="9.42578125" style="1" customWidth="1"/>
    <col min="12" max="14" width="7.42578125" style="1" customWidth="1"/>
    <col min="15" max="15" width="10.85546875" style="1" customWidth="1"/>
    <col min="16" max="16" width="4.140625" style="1" customWidth="1"/>
    <col min="17" max="21" width="9.140625" style="1"/>
    <col min="22" max="22" width="13.85546875" style="1" customWidth="1"/>
    <col min="23" max="23" width="10.28515625" style="1" customWidth="1"/>
    <col min="24" max="25" width="9.140625" style="1"/>
    <col min="26" max="26" width="13.28515625" style="1" customWidth="1"/>
    <col min="27" max="38" width="9.140625" style="1"/>
    <col min="39" max="39" width="4.42578125" style="1" bestFit="1" customWidth="1"/>
    <col min="40" max="40" width="6.42578125" style="1" bestFit="1" customWidth="1"/>
    <col min="41" max="41" width="11" style="1" bestFit="1" customWidth="1"/>
    <col min="42" max="42" width="10.140625" style="1" bestFit="1" customWidth="1"/>
    <col min="43" max="43" width="6" style="1" bestFit="1" customWidth="1"/>
    <col min="44" max="44" width="10.140625" style="1" bestFit="1" customWidth="1"/>
    <col min="45" max="45" width="6" style="1" bestFit="1" customWidth="1"/>
    <col min="46" max="46" width="8.85546875" style="1" bestFit="1" customWidth="1"/>
    <col min="47" max="47" width="5.5703125" style="1" bestFit="1" customWidth="1"/>
    <col min="48" max="48" width="10.140625" style="1" bestFit="1" customWidth="1"/>
    <col min="49" max="49" width="12.140625" style="1" bestFit="1" customWidth="1"/>
    <col min="50" max="50" width="12.7109375" style="1" bestFit="1" customWidth="1"/>
    <col min="51" max="51" width="13.42578125" style="1" bestFit="1" customWidth="1"/>
    <col min="52" max="52" width="5.5703125" style="1" bestFit="1" customWidth="1"/>
    <col min="53" max="16384" width="9.140625" style="1"/>
  </cols>
  <sheetData>
    <row r="1" spans="1:52" ht="15.75" hidden="1" customHeight="1" thickBot="1">
      <c r="A1" s="159" t="s">
        <v>394</v>
      </c>
      <c r="B1" s="160">
        <v>0</v>
      </c>
      <c r="C1" s="160">
        <v>1</v>
      </c>
      <c r="D1" s="160">
        <v>2</v>
      </c>
      <c r="E1" s="160">
        <v>3</v>
      </c>
      <c r="F1" s="160">
        <v>0</v>
      </c>
      <c r="G1" s="160">
        <v>0</v>
      </c>
      <c r="H1" s="160">
        <v>0</v>
      </c>
      <c r="I1" s="160">
        <v>4</v>
      </c>
      <c r="J1" s="160">
        <v>5</v>
      </c>
      <c r="K1" s="160">
        <v>6</v>
      </c>
      <c r="L1" s="160">
        <v>0</v>
      </c>
      <c r="M1" s="160">
        <v>0</v>
      </c>
      <c r="N1" s="160">
        <v>0</v>
      </c>
      <c r="O1" s="160">
        <v>0</v>
      </c>
      <c r="P1" s="160">
        <v>0</v>
      </c>
      <c r="Q1" s="160">
        <v>0</v>
      </c>
      <c r="R1" s="160">
        <v>0</v>
      </c>
      <c r="S1" s="160">
        <v>0</v>
      </c>
      <c r="T1" s="160">
        <v>0</v>
      </c>
      <c r="U1" s="160">
        <v>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row>
    <row r="2" spans="1:52" ht="14.25" hidden="1" customHeight="1" thickBot="1">
      <c r="A2" s="62"/>
      <c r="B2" s="1">
        <v>0</v>
      </c>
      <c r="C2" s="1" t="s">
        <v>427</v>
      </c>
      <c r="D2" s="1" t="s">
        <v>428</v>
      </c>
      <c r="E2" s="1" t="s">
        <v>2098</v>
      </c>
      <c r="F2" s="1">
        <v>0</v>
      </c>
      <c r="G2" s="1">
        <v>0</v>
      </c>
      <c r="H2" s="1" t="s">
        <v>1335</v>
      </c>
      <c r="I2" s="1">
        <v>0</v>
      </c>
      <c r="J2" s="1">
        <v>0</v>
      </c>
      <c r="K2" s="1" t="s">
        <v>2124</v>
      </c>
      <c r="L2" s="1">
        <v>0</v>
      </c>
      <c r="M2" s="1">
        <v>0</v>
      </c>
      <c r="N2" s="1">
        <v>0</v>
      </c>
      <c r="O2" s="1" t="s">
        <v>2142</v>
      </c>
      <c r="P2" s="1">
        <v>0</v>
      </c>
      <c r="Q2" s="1">
        <v>0</v>
      </c>
      <c r="R2" s="1">
        <v>0</v>
      </c>
      <c r="S2" s="1">
        <v>0</v>
      </c>
      <c r="T2" s="1">
        <v>0</v>
      </c>
      <c r="U2" s="1">
        <v>0</v>
      </c>
      <c r="V2" s="1">
        <v>0</v>
      </c>
      <c r="W2" s="1">
        <v>0</v>
      </c>
      <c r="X2" s="1" t="s">
        <v>2102</v>
      </c>
      <c r="Y2" s="1" t="s">
        <v>2100</v>
      </c>
      <c r="Z2" s="1" t="s">
        <v>2101</v>
      </c>
      <c r="AA2" s="1">
        <v>0</v>
      </c>
      <c r="AB2" s="1">
        <v>0</v>
      </c>
      <c r="AC2" s="1">
        <v>0</v>
      </c>
      <c r="AD2" s="1">
        <v>0</v>
      </c>
      <c r="AE2" s="1" t="s">
        <v>39</v>
      </c>
      <c r="AF2" s="1" t="s">
        <v>40</v>
      </c>
      <c r="AG2" s="1" t="s">
        <v>38</v>
      </c>
      <c r="AH2" s="1" t="s">
        <v>645</v>
      </c>
      <c r="AI2" s="1" t="s">
        <v>2136</v>
      </c>
      <c r="AJ2" s="1" t="s">
        <v>41</v>
      </c>
      <c r="AK2" s="1">
        <v>0</v>
      </c>
      <c r="AL2" s="1">
        <v>0</v>
      </c>
      <c r="AM2" s="1">
        <v>0</v>
      </c>
      <c r="AN2" s="1">
        <v>0</v>
      </c>
      <c r="AO2" s="1" t="s">
        <v>619</v>
      </c>
      <c r="AP2" s="1" t="s">
        <v>613</v>
      </c>
      <c r="AQ2" s="1" t="s">
        <v>615</v>
      </c>
      <c r="AR2" s="1" t="s">
        <v>614</v>
      </c>
      <c r="AS2" s="1" t="s">
        <v>616</v>
      </c>
      <c r="AT2" s="1" t="s">
        <v>617</v>
      </c>
      <c r="AU2" s="1" t="s">
        <v>618</v>
      </c>
      <c r="AV2" s="1" t="s">
        <v>2122</v>
      </c>
      <c r="AW2" s="1" t="s">
        <v>2123</v>
      </c>
      <c r="AX2" s="1" t="s">
        <v>2126</v>
      </c>
      <c r="AY2" s="1" t="s">
        <v>2128</v>
      </c>
      <c r="AZ2" s="1" t="s">
        <v>1343</v>
      </c>
    </row>
    <row r="3" spans="1:52" s="7" customFormat="1" ht="19.5" customHeight="1" thickTop="1" thickBot="1">
      <c r="A3" s="60" t="s">
        <v>80</v>
      </c>
      <c r="B3" s="1776" t="s">
        <v>21</v>
      </c>
      <c r="C3" s="1776"/>
      <c r="D3" s="1776"/>
      <c r="E3" s="1776"/>
      <c r="F3" s="1620" t="s">
        <v>17</v>
      </c>
      <c r="G3" s="1621"/>
      <c r="H3" s="1621"/>
      <c r="I3" s="1621"/>
      <c r="J3" s="1621"/>
      <c r="K3" s="1621"/>
      <c r="L3" s="1621"/>
      <c r="M3" s="1621"/>
      <c r="N3" s="1621"/>
      <c r="O3" s="1621"/>
      <c r="P3" s="68"/>
      <c r="Q3" s="1777" t="s">
        <v>24</v>
      </c>
      <c r="R3" s="1778"/>
      <c r="S3" s="1778"/>
      <c r="T3" s="1778"/>
      <c r="U3" s="1778"/>
      <c r="V3" s="1778"/>
      <c r="W3" s="1778"/>
      <c r="X3" s="1778"/>
      <c r="Y3" s="1778"/>
      <c r="Z3" s="1779"/>
      <c r="AB3" s="1780" t="s">
        <v>42</v>
      </c>
      <c r="AC3" s="1781"/>
      <c r="AD3" s="1781"/>
      <c r="AE3" s="1781"/>
      <c r="AF3" s="1781"/>
      <c r="AG3" s="1781"/>
      <c r="AH3" s="1781"/>
      <c r="AI3" s="1781"/>
      <c r="AJ3" s="1782"/>
      <c r="AL3" s="1780" t="s">
        <v>2131</v>
      </c>
      <c r="AM3" s="1781"/>
      <c r="AN3" s="1781"/>
      <c r="AO3" s="1781"/>
      <c r="AP3" s="1781"/>
      <c r="AQ3" s="1781"/>
      <c r="AR3" s="1781"/>
      <c r="AS3" s="1781"/>
      <c r="AT3" s="1781"/>
      <c r="AU3" s="1781"/>
      <c r="AV3" s="1781"/>
      <c r="AW3" s="1781"/>
      <c r="AX3" s="1781"/>
      <c r="AY3" s="1781"/>
      <c r="AZ3" s="1782"/>
    </row>
    <row r="4" spans="1:52" s="7" customFormat="1" ht="44.25" customHeight="1" thickTop="1">
      <c r="A4" s="61"/>
      <c r="B4" s="78" t="s">
        <v>2</v>
      </c>
      <c r="C4" s="79" t="s">
        <v>3</v>
      </c>
      <c r="D4" s="79" t="s">
        <v>0</v>
      </c>
      <c r="E4" s="80" t="s">
        <v>72</v>
      </c>
      <c r="F4" s="81" t="s">
        <v>66</v>
      </c>
      <c r="G4" s="81" t="s">
        <v>22</v>
      </c>
      <c r="H4" s="82" t="s">
        <v>1336</v>
      </c>
      <c r="I4" s="82" t="s">
        <v>585</v>
      </c>
      <c r="J4" s="82" t="s">
        <v>586</v>
      </c>
      <c r="K4" s="82" t="s">
        <v>2150</v>
      </c>
      <c r="L4" s="82" t="s">
        <v>587</v>
      </c>
      <c r="M4" s="82" t="s">
        <v>588</v>
      </c>
      <c r="N4" s="82" t="s">
        <v>2151</v>
      </c>
      <c r="O4" s="83" t="s">
        <v>65</v>
      </c>
      <c r="P4" s="69"/>
      <c r="Q4" s="84" t="s">
        <v>401</v>
      </c>
      <c r="R4" s="85" t="s">
        <v>69</v>
      </c>
      <c r="S4" s="86" t="s">
        <v>16</v>
      </c>
      <c r="T4" s="86" t="s">
        <v>67</v>
      </c>
      <c r="U4" s="87" t="s">
        <v>26</v>
      </c>
      <c r="V4" s="88" t="s">
        <v>11</v>
      </c>
      <c r="W4" s="88" t="s">
        <v>15</v>
      </c>
      <c r="X4" s="88" t="s">
        <v>2490</v>
      </c>
      <c r="Y4" s="88" t="s">
        <v>5</v>
      </c>
      <c r="Z4" s="89" t="s">
        <v>2491</v>
      </c>
      <c r="AB4" s="48" t="str">
        <f t="shared" ref="AB4:AD9" si="0">B4</f>
        <v>No.</v>
      </c>
      <c r="AC4" s="49" t="str">
        <f t="shared" si="0"/>
        <v>Ref.</v>
      </c>
      <c r="AD4" s="49" t="str">
        <f t="shared" si="0"/>
        <v>Model</v>
      </c>
      <c r="AE4" s="49" t="s">
        <v>39</v>
      </c>
      <c r="AF4" s="50" t="s">
        <v>40</v>
      </c>
      <c r="AG4" s="50" t="s">
        <v>38</v>
      </c>
      <c r="AH4" s="243" t="s">
        <v>645</v>
      </c>
      <c r="AI4" s="243" t="s">
        <v>2136</v>
      </c>
      <c r="AJ4" s="51" t="s">
        <v>41</v>
      </c>
      <c r="AL4" s="228" t="str">
        <f t="shared" ref="AL4:AN9" si="1">AB4</f>
        <v>No.</v>
      </c>
      <c r="AM4" s="234" t="str">
        <f t="shared" si="1"/>
        <v>Ref.</v>
      </c>
      <c r="AN4" s="234" t="str">
        <f t="shared" si="1"/>
        <v>Model</v>
      </c>
      <c r="AO4" s="234" t="s">
        <v>621</v>
      </c>
      <c r="AP4" s="234" t="s">
        <v>580</v>
      </c>
      <c r="AQ4" s="234" t="s">
        <v>1329</v>
      </c>
      <c r="AR4" s="234" t="s">
        <v>581</v>
      </c>
      <c r="AS4" s="234" t="s">
        <v>1330</v>
      </c>
      <c r="AT4" s="239" t="s">
        <v>620</v>
      </c>
      <c r="AU4" s="234" t="s">
        <v>5</v>
      </c>
      <c r="AV4" s="239" t="s">
        <v>2130</v>
      </c>
      <c r="AW4" s="239" t="s">
        <v>2129</v>
      </c>
      <c r="AX4" s="239" t="s">
        <v>2125</v>
      </c>
      <c r="AY4" s="239" t="s">
        <v>2127</v>
      </c>
      <c r="AZ4" s="757" t="s">
        <v>1328</v>
      </c>
    </row>
    <row r="5" spans="1:52" s="7" customFormat="1" ht="16.5">
      <c r="A5" s="62"/>
      <c r="B5" s="57">
        <v>1</v>
      </c>
      <c r="C5" s="6" t="s">
        <v>2839</v>
      </c>
      <c r="D5" s="6" t="s">
        <v>2840</v>
      </c>
      <c r="E5" s="566" t="s">
        <v>2840</v>
      </c>
      <c r="F5" s="26"/>
      <c r="G5" s="8">
        <f>F5*3.517</f>
        <v>0</v>
      </c>
      <c r="H5" s="8"/>
      <c r="I5" s="8"/>
      <c r="J5" s="8"/>
      <c r="K5" s="8"/>
      <c r="L5" s="8">
        <f>I5*1.8+32</f>
        <v>32</v>
      </c>
      <c r="M5" s="8">
        <f t="shared" ref="M5:N9" si="2">J5*1.8+32</f>
        <v>32</v>
      </c>
      <c r="N5" s="8">
        <f t="shared" si="2"/>
        <v>32</v>
      </c>
      <c r="O5" s="8"/>
      <c r="P5" s="69"/>
      <c r="Q5" s="20"/>
      <c r="R5" s="43"/>
      <c r="S5" s="9"/>
      <c r="T5" s="9"/>
      <c r="U5" s="9">
        <f>SUM(Q5:T5)</f>
        <v>0</v>
      </c>
      <c r="V5" s="22">
        <f>U5*3.75</f>
        <v>0</v>
      </c>
      <c r="W5" s="22">
        <f>V5*1.25</f>
        <v>0</v>
      </c>
      <c r="X5" s="22">
        <f>CEILING(W5,5)</f>
        <v>0</v>
      </c>
      <c r="Y5" s="22">
        <v>1</v>
      </c>
      <c r="Z5" s="23">
        <f>Y5*X5</f>
        <v>0</v>
      </c>
      <c r="AB5" s="12">
        <f t="shared" si="0"/>
        <v>1</v>
      </c>
      <c r="AC5" s="8" t="str">
        <f t="shared" si="0"/>
        <v>CH-01</v>
      </c>
      <c r="AD5" s="8" t="str">
        <f t="shared" si="0"/>
        <v>XX</v>
      </c>
      <c r="AE5" s="8"/>
      <c r="AF5" s="9"/>
      <c r="AG5" s="9"/>
      <c r="AH5" s="170"/>
      <c r="AI5" s="170"/>
      <c r="AJ5" s="13"/>
      <c r="AL5" s="12">
        <f t="shared" si="1"/>
        <v>1</v>
      </c>
      <c r="AM5" s="8" t="str">
        <f t="shared" si="1"/>
        <v>CH-01</v>
      </c>
      <c r="AN5" s="8" t="str">
        <f t="shared" si="1"/>
        <v>XX</v>
      </c>
      <c r="AO5" s="742"/>
      <c r="AP5" s="749"/>
      <c r="AQ5" s="752"/>
      <c r="AR5" s="223"/>
      <c r="AS5" s="210"/>
      <c r="AT5" s="745"/>
      <c r="AU5" s="745"/>
      <c r="AV5" s="742"/>
      <c r="AW5" s="742"/>
      <c r="AX5" s="742"/>
      <c r="AY5" s="742"/>
      <c r="AZ5" s="758"/>
    </row>
    <row r="6" spans="1:52" s="7" customFormat="1" ht="16.5">
      <c r="A6" s="62"/>
      <c r="B6" s="26">
        <v>2</v>
      </c>
      <c r="C6" s="6"/>
      <c r="D6" s="9"/>
      <c r="E6" s="10"/>
      <c r="F6" s="26"/>
      <c r="G6" s="8">
        <f>F6*3.517</f>
        <v>0</v>
      </c>
      <c r="H6" s="8"/>
      <c r="I6" s="8"/>
      <c r="J6" s="8"/>
      <c r="K6" s="8"/>
      <c r="L6" s="8">
        <f>I6*1.8+32</f>
        <v>32</v>
      </c>
      <c r="M6" s="8">
        <f t="shared" si="2"/>
        <v>32</v>
      </c>
      <c r="N6" s="8">
        <f t="shared" si="2"/>
        <v>32</v>
      </c>
      <c r="O6" s="8"/>
      <c r="P6" s="69"/>
      <c r="Q6" s="20"/>
      <c r="R6" s="43"/>
      <c r="S6" s="9"/>
      <c r="T6" s="9"/>
      <c r="U6" s="9">
        <f>SUM(Q6:T6)</f>
        <v>0</v>
      </c>
      <c r="V6" s="9">
        <f>U6*3.75</f>
        <v>0</v>
      </c>
      <c r="W6" s="9">
        <f>V6*1.25</f>
        <v>0</v>
      </c>
      <c r="X6" s="9">
        <f>CEILING(W6,5)</f>
        <v>0</v>
      </c>
      <c r="Y6" s="9"/>
      <c r="Z6" s="10">
        <f>Y6*X6</f>
        <v>0</v>
      </c>
      <c r="AB6" s="12">
        <f t="shared" si="0"/>
        <v>2</v>
      </c>
      <c r="AC6" s="8">
        <f t="shared" si="0"/>
        <v>0</v>
      </c>
      <c r="AD6" s="8">
        <f t="shared" si="0"/>
        <v>0</v>
      </c>
      <c r="AE6" s="8"/>
      <c r="AF6" s="9"/>
      <c r="AG6" s="9"/>
      <c r="AH6" s="170"/>
      <c r="AI6" s="170"/>
      <c r="AJ6" s="13"/>
      <c r="AL6" s="12">
        <f t="shared" si="1"/>
        <v>2</v>
      </c>
      <c r="AM6" s="8">
        <f t="shared" si="1"/>
        <v>0</v>
      </c>
      <c r="AN6" s="8">
        <f t="shared" si="1"/>
        <v>0</v>
      </c>
      <c r="AO6" s="742"/>
      <c r="AP6" s="749"/>
      <c r="AQ6" s="752"/>
      <c r="AR6" s="223"/>
      <c r="AS6" s="210"/>
      <c r="AT6" s="745"/>
      <c r="AU6" s="745"/>
      <c r="AV6" s="742"/>
      <c r="AW6" s="742"/>
      <c r="AX6" s="742"/>
      <c r="AY6" s="742"/>
      <c r="AZ6" s="758"/>
    </row>
    <row r="7" spans="1:52" s="7" customFormat="1" ht="16.5">
      <c r="A7" s="62"/>
      <c r="B7" s="26">
        <v>3</v>
      </c>
      <c r="C7" s="6"/>
      <c r="D7" s="9"/>
      <c r="E7" s="10"/>
      <c r="F7" s="26"/>
      <c r="G7" s="8">
        <f>F7*3.517</f>
        <v>0</v>
      </c>
      <c r="H7" s="8"/>
      <c r="I7" s="8"/>
      <c r="J7" s="8"/>
      <c r="K7" s="8"/>
      <c r="L7" s="8">
        <f>I7*1.8+32</f>
        <v>32</v>
      </c>
      <c r="M7" s="8">
        <f t="shared" si="2"/>
        <v>32</v>
      </c>
      <c r="N7" s="8">
        <f t="shared" si="2"/>
        <v>32</v>
      </c>
      <c r="O7" s="8"/>
      <c r="P7" s="69"/>
      <c r="Q7" s="20"/>
      <c r="R7" s="43"/>
      <c r="S7" s="9"/>
      <c r="T7" s="9"/>
      <c r="U7" s="9">
        <f>SUM(Q7:T7)</f>
        <v>0</v>
      </c>
      <c r="V7" s="9">
        <f>U7*3.75</f>
        <v>0</v>
      </c>
      <c r="W7" s="9">
        <f>V7*1.25</f>
        <v>0</v>
      </c>
      <c r="X7" s="9">
        <f>CEILING(W7,5)</f>
        <v>0</v>
      </c>
      <c r="Y7" s="9"/>
      <c r="Z7" s="10">
        <f>Y7*X7</f>
        <v>0</v>
      </c>
      <c r="AB7" s="12">
        <f t="shared" si="0"/>
        <v>3</v>
      </c>
      <c r="AC7" s="8">
        <f t="shared" si="0"/>
        <v>0</v>
      </c>
      <c r="AD7" s="8">
        <f t="shared" si="0"/>
        <v>0</v>
      </c>
      <c r="AE7" s="8"/>
      <c r="AF7" s="9"/>
      <c r="AG7" s="9"/>
      <c r="AH7" s="170"/>
      <c r="AI7" s="170"/>
      <c r="AJ7" s="13"/>
      <c r="AL7" s="12">
        <f t="shared" si="1"/>
        <v>3</v>
      </c>
      <c r="AM7" s="8">
        <f t="shared" si="1"/>
        <v>0</v>
      </c>
      <c r="AN7" s="8">
        <f t="shared" si="1"/>
        <v>0</v>
      </c>
      <c r="AO7" s="742"/>
      <c r="AP7" s="749"/>
      <c r="AQ7" s="752"/>
      <c r="AR7" s="223"/>
      <c r="AS7" s="210"/>
      <c r="AT7" s="745"/>
      <c r="AU7" s="745"/>
      <c r="AV7" s="742"/>
      <c r="AW7" s="742"/>
      <c r="AX7" s="742"/>
      <c r="AY7" s="742"/>
      <c r="AZ7" s="758"/>
    </row>
    <row r="8" spans="1:52" s="7" customFormat="1" ht="16.5">
      <c r="A8" s="62"/>
      <c r="B8" s="26">
        <v>4</v>
      </c>
      <c r="C8" s="6"/>
      <c r="D8" s="9"/>
      <c r="E8" s="10"/>
      <c r="F8" s="26"/>
      <c r="G8" s="8">
        <f>F8*3.517</f>
        <v>0</v>
      </c>
      <c r="H8" s="8"/>
      <c r="I8" s="8"/>
      <c r="J8" s="8"/>
      <c r="K8" s="8"/>
      <c r="L8" s="8">
        <f>I8*1.8+32</f>
        <v>32</v>
      </c>
      <c r="M8" s="8">
        <f t="shared" si="2"/>
        <v>32</v>
      </c>
      <c r="N8" s="8">
        <f t="shared" si="2"/>
        <v>32</v>
      </c>
      <c r="O8" s="8"/>
      <c r="P8" s="69"/>
      <c r="Q8" s="20"/>
      <c r="R8" s="43"/>
      <c r="S8" s="9"/>
      <c r="T8" s="9"/>
      <c r="U8" s="9">
        <f>SUM(Q8:T8)</f>
        <v>0</v>
      </c>
      <c r="V8" s="9">
        <f>U8*3.75</f>
        <v>0</v>
      </c>
      <c r="W8" s="9">
        <f>V8*1.25</f>
        <v>0</v>
      </c>
      <c r="X8" s="9">
        <f>CEILING(W8,5)</f>
        <v>0</v>
      </c>
      <c r="Y8" s="9"/>
      <c r="Z8" s="10">
        <f>Y8*X8</f>
        <v>0</v>
      </c>
      <c r="AB8" s="12">
        <f t="shared" si="0"/>
        <v>4</v>
      </c>
      <c r="AC8" s="8">
        <f t="shared" si="0"/>
        <v>0</v>
      </c>
      <c r="AD8" s="8">
        <f t="shared" si="0"/>
        <v>0</v>
      </c>
      <c r="AE8" s="8"/>
      <c r="AF8" s="9"/>
      <c r="AG8" s="9"/>
      <c r="AH8" s="170"/>
      <c r="AI8" s="170"/>
      <c r="AJ8" s="13"/>
      <c r="AL8" s="12">
        <f t="shared" si="1"/>
        <v>4</v>
      </c>
      <c r="AM8" s="8">
        <f t="shared" si="1"/>
        <v>0</v>
      </c>
      <c r="AN8" s="8">
        <f t="shared" si="1"/>
        <v>0</v>
      </c>
      <c r="AO8" s="742"/>
      <c r="AP8" s="749"/>
      <c r="AQ8" s="752"/>
      <c r="AR8" s="223"/>
      <c r="AS8" s="210"/>
      <c r="AT8" s="745"/>
      <c r="AU8" s="745"/>
      <c r="AV8" s="742"/>
      <c r="AW8" s="742"/>
      <c r="AX8" s="742"/>
      <c r="AY8" s="742"/>
      <c r="AZ8" s="758"/>
    </row>
    <row r="9" spans="1:52" s="7" customFormat="1" ht="15.75" customHeight="1" thickBot="1">
      <c r="A9" s="62"/>
      <c r="B9" s="58">
        <v>5</v>
      </c>
      <c r="C9" s="17"/>
      <c r="D9" s="18"/>
      <c r="E9" s="19"/>
      <c r="F9" s="27"/>
      <c r="G9" s="15">
        <f>F9*3.517</f>
        <v>0</v>
      </c>
      <c r="H9" s="15"/>
      <c r="I9" s="15"/>
      <c r="J9" s="15"/>
      <c r="K9" s="15"/>
      <c r="L9" s="15">
        <f>I9*1.8+32</f>
        <v>32</v>
      </c>
      <c r="M9" s="15">
        <f t="shared" si="2"/>
        <v>32</v>
      </c>
      <c r="N9" s="15">
        <f t="shared" si="2"/>
        <v>32</v>
      </c>
      <c r="O9" s="15"/>
      <c r="P9" s="70"/>
      <c r="Q9" s="21"/>
      <c r="R9" s="56"/>
      <c r="S9" s="18"/>
      <c r="T9" s="18"/>
      <c r="U9" s="18">
        <f>SUM(Q9:T9)</f>
        <v>0</v>
      </c>
      <c r="V9" s="18">
        <f>U9*3.75</f>
        <v>0</v>
      </c>
      <c r="W9" s="18">
        <f>V9*1.25</f>
        <v>0</v>
      </c>
      <c r="X9" s="18">
        <f>CEILING(W9,5)</f>
        <v>0</v>
      </c>
      <c r="Y9" s="18"/>
      <c r="Z9" s="19">
        <f>Y9*X9</f>
        <v>0</v>
      </c>
      <c r="AB9" s="14">
        <f t="shared" si="0"/>
        <v>5</v>
      </c>
      <c r="AC9" s="15">
        <f t="shared" si="0"/>
        <v>0</v>
      </c>
      <c r="AD9" s="15">
        <f t="shared" si="0"/>
        <v>0</v>
      </c>
      <c r="AE9" s="15"/>
      <c r="AF9" s="18"/>
      <c r="AG9" s="18"/>
      <c r="AH9" s="171"/>
      <c r="AI9" s="171"/>
      <c r="AJ9" s="16"/>
      <c r="AL9" s="14">
        <f t="shared" si="1"/>
        <v>5</v>
      </c>
      <c r="AM9" s="15">
        <f t="shared" si="1"/>
        <v>0</v>
      </c>
      <c r="AN9" s="15">
        <f t="shared" si="1"/>
        <v>0</v>
      </c>
      <c r="AO9" s="743"/>
      <c r="AP9" s="750"/>
      <c r="AQ9" s="753"/>
      <c r="AR9" s="224"/>
      <c r="AS9" s="211"/>
      <c r="AT9" s="746"/>
      <c r="AU9" s="746"/>
      <c r="AV9" s="743"/>
      <c r="AW9" s="743"/>
      <c r="AX9" s="743"/>
      <c r="AY9" s="743"/>
      <c r="AZ9" s="759"/>
    </row>
    <row r="10" spans="1:52" s="7" customFormat="1" ht="17.25" thickBot="1">
      <c r="A10" s="62"/>
      <c r="E10" s="11"/>
      <c r="U10" s="11"/>
      <c r="V10" s="11"/>
      <c r="W10" s="11"/>
      <c r="X10" s="11"/>
      <c r="Y10" s="172">
        <f>SUM(Y5:Y9)</f>
        <v>1</v>
      </c>
      <c r="Z10" s="173">
        <f>SUM(Z5:Z9)</f>
        <v>0</v>
      </c>
    </row>
    <row r="11" spans="1:52" ht="15.75" customHeight="1" thickBot="1">
      <c r="A11" s="62"/>
    </row>
    <row r="12" spans="1:52" ht="21" thickBot="1">
      <c r="A12" s="62"/>
      <c r="C12" s="1784" t="s">
        <v>2148</v>
      </c>
      <c r="D12" s="1784"/>
      <c r="E12" s="1784"/>
      <c r="F12" s="1784"/>
      <c r="G12" s="1784"/>
      <c r="H12" s="1784"/>
      <c r="I12" s="1785"/>
    </row>
    <row r="13" spans="1:52" ht="15.75">
      <c r="A13" s="62"/>
      <c r="C13" s="59" t="s">
        <v>3</v>
      </c>
      <c r="D13" s="39"/>
      <c r="E13" s="39"/>
      <c r="F13" s="39"/>
      <c r="G13" s="39"/>
      <c r="H13" s="39"/>
      <c r="I13" s="39"/>
    </row>
    <row r="14" spans="1:52" ht="15" customHeight="1">
      <c r="A14" s="62"/>
    </row>
    <row r="15" spans="1:52" ht="15" customHeight="1">
      <c r="A15" s="62"/>
    </row>
    <row r="16" spans="1:52" ht="15" customHeight="1">
      <c r="A16" s="62"/>
    </row>
    <row r="17" spans="1:1" ht="15" customHeight="1">
      <c r="A17" s="62"/>
    </row>
    <row r="18" spans="1:1" ht="15" customHeight="1">
      <c r="A18" s="62"/>
    </row>
    <row r="19" spans="1:1" ht="15" customHeight="1">
      <c r="A19" s="62"/>
    </row>
    <row r="20" spans="1:1" ht="15" customHeight="1">
      <c r="A20" s="62"/>
    </row>
    <row r="21" spans="1:1" ht="15" customHeight="1">
      <c r="A21" s="62"/>
    </row>
    <row r="22" spans="1:1" ht="15" customHeight="1">
      <c r="A22" s="62"/>
    </row>
    <row r="23" spans="1:1" ht="15" customHeight="1">
      <c r="A23" s="62"/>
    </row>
    <row r="24" spans="1:1" ht="15" customHeight="1">
      <c r="A24" s="62"/>
    </row>
    <row r="25" spans="1:1" ht="15" customHeight="1">
      <c r="A25" s="62"/>
    </row>
    <row r="26" spans="1:1" ht="15" customHeight="1">
      <c r="A26" s="62"/>
    </row>
    <row r="27" spans="1:1" ht="15" customHeight="1">
      <c r="A27" s="62"/>
    </row>
    <row r="28" spans="1:1" ht="15" customHeight="1">
      <c r="A28" s="62"/>
    </row>
    <row r="29" spans="1:1" ht="15" customHeight="1">
      <c r="A29" s="62"/>
    </row>
    <row r="30" spans="1:1" ht="15" customHeight="1">
      <c r="A30" s="62"/>
    </row>
    <row r="31" spans="1:1" ht="15" customHeight="1">
      <c r="A31" s="62"/>
    </row>
    <row r="32" spans="1:1" ht="15" customHeight="1">
      <c r="A32" s="62"/>
    </row>
    <row r="33" spans="1:1" ht="15" customHeight="1">
      <c r="A33" s="62"/>
    </row>
    <row r="34" spans="1:1" ht="15" customHeight="1">
      <c r="A34" s="62"/>
    </row>
    <row r="35" spans="1:1" ht="15" customHeight="1">
      <c r="A35" s="62"/>
    </row>
    <row r="36" spans="1:1" ht="15" customHeight="1">
      <c r="A36" s="62"/>
    </row>
    <row r="37" spans="1:1" ht="15" customHeight="1">
      <c r="A37" s="62"/>
    </row>
    <row r="38" spans="1:1" ht="15" customHeight="1">
      <c r="A38" s="62"/>
    </row>
    <row r="39" spans="1:1" ht="15" customHeight="1">
      <c r="A39" s="62"/>
    </row>
    <row r="40" spans="1:1" ht="15" customHeight="1">
      <c r="A40" s="62"/>
    </row>
    <row r="41" spans="1:1" ht="15" customHeight="1">
      <c r="A41" s="62"/>
    </row>
    <row r="42" spans="1:1" ht="15" customHeight="1">
      <c r="A42" s="62"/>
    </row>
    <row r="43" spans="1:1" ht="15" customHeight="1">
      <c r="A43" s="62"/>
    </row>
    <row r="44" spans="1:1" ht="15" customHeight="1">
      <c r="A44" s="62"/>
    </row>
    <row r="45" spans="1:1" ht="15" customHeight="1">
      <c r="A45" s="62"/>
    </row>
    <row r="46" spans="1:1" ht="15" customHeight="1">
      <c r="A46" s="62"/>
    </row>
    <row r="47" spans="1:1" ht="15" customHeight="1">
      <c r="A47" s="62"/>
    </row>
    <row r="48" spans="1:1" ht="15" customHeight="1">
      <c r="A48" s="62"/>
    </row>
    <row r="49" spans="1:1" ht="15" customHeight="1">
      <c r="A49" s="62"/>
    </row>
    <row r="50" spans="1:1" ht="15" customHeight="1">
      <c r="A50" s="62"/>
    </row>
    <row r="51" spans="1:1" ht="15" customHeight="1">
      <c r="A51" s="62"/>
    </row>
    <row r="52" spans="1:1" ht="15" customHeight="1">
      <c r="A52" s="62"/>
    </row>
    <row r="53" spans="1:1" ht="15" customHeight="1">
      <c r="A53" s="62"/>
    </row>
    <row r="54" spans="1:1" ht="15" customHeight="1">
      <c r="A54" s="62"/>
    </row>
    <row r="55" spans="1:1" ht="15.75" customHeight="1" thickBot="1">
      <c r="A55" s="63"/>
    </row>
    <row r="56" spans="1:1" ht="15.75" thickTop="1"/>
  </sheetData>
  <mergeCells count="6">
    <mergeCell ref="C12:I12"/>
    <mergeCell ref="AL3:AZ3"/>
    <mergeCell ref="B3:E3"/>
    <mergeCell ref="F3:O3"/>
    <mergeCell ref="Q3:Z3"/>
    <mergeCell ref="AB3:AJ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9459" r:id="rId4" name="Technical">
          <controlPr defaultSize="0" autoLine="0" r:id="rId5">
            <anchor moveWithCells="1">
              <from>
                <xdr:col>0</xdr:col>
                <xdr:colOff>0</xdr:colOff>
                <xdr:row>3</xdr:row>
                <xdr:rowOff>133350</xdr:rowOff>
              </from>
              <to>
                <xdr:col>3</xdr:col>
                <xdr:colOff>371475</xdr:colOff>
                <xdr:row>3</xdr:row>
                <xdr:rowOff>447675</xdr:rowOff>
              </to>
            </anchor>
          </controlPr>
        </control>
      </mc:Choice>
      <mc:Fallback>
        <control shapeId="19459" r:id="rId4" name="Technical"/>
      </mc:Fallback>
    </mc:AlternateContent>
    <mc:AlternateContent xmlns:mc="http://schemas.openxmlformats.org/markup-compatibility/2006">
      <mc:Choice Requires="x14">
        <control shapeId="19458" r:id="rId6" name="Specs">
          <controlPr defaultSize="0" autoLine="0" r:id="rId7">
            <anchor moveWithCells="1">
              <from>
                <xdr:col>0</xdr:col>
                <xdr:colOff>0</xdr:colOff>
                <xdr:row>3</xdr:row>
                <xdr:rowOff>133350</xdr:rowOff>
              </from>
              <to>
                <xdr:col>3</xdr:col>
                <xdr:colOff>371475</xdr:colOff>
                <xdr:row>3</xdr:row>
                <xdr:rowOff>447675</xdr:rowOff>
              </to>
            </anchor>
          </controlPr>
        </control>
      </mc:Choice>
      <mc:Fallback>
        <control shapeId="19458" r:id="rId6" name="Specs"/>
      </mc:Fallback>
    </mc:AlternateContent>
    <mc:AlternateContent xmlns:mc="http://schemas.openxmlformats.org/markup-compatibility/2006">
      <mc:Choice Requires="x14">
        <control shapeId="19457" r:id="rId8" name="Hide">
          <controlPr defaultSize="0" autoLine="0" r:id="rId9">
            <anchor moveWithCells="1">
              <from>
                <xdr:col>0</xdr:col>
                <xdr:colOff>0</xdr:colOff>
                <xdr:row>2</xdr:row>
                <xdr:rowOff>0</xdr:rowOff>
              </from>
              <to>
                <xdr:col>2</xdr:col>
                <xdr:colOff>228600</xdr:colOff>
                <xdr:row>3</xdr:row>
                <xdr:rowOff>57150</xdr:rowOff>
              </to>
            </anchor>
          </controlPr>
        </control>
      </mc:Choice>
      <mc:Fallback>
        <control shapeId="19457" r:id="rId8" name="Hide"/>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1_AHU"/>
  <dimension ref="A1:BW56"/>
  <sheetViews>
    <sheetView zoomScale="80" zoomScaleNormal="80" workbookViewId="0">
      <pane xSplit="1" topLeftCell="B1" activePane="topRight" state="frozen"/>
      <selection pane="topRight" activeCell="C5" sqref="C5:D5"/>
    </sheetView>
  </sheetViews>
  <sheetFormatPr defaultColWidth="9.140625" defaultRowHeight="15"/>
  <cols>
    <col min="1" max="1" width="55.7109375" style="1" hidden="1" customWidth="1"/>
    <col min="2" max="2" width="4.42578125" style="1" bestFit="1" customWidth="1"/>
    <col min="3" max="3" width="12.140625" style="1" customWidth="1"/>
    <col min="4" max="4" width="13.7109375" style="1" customWidth="1"/>
    <col min="5" max="5" width="16.28515625" style="1" customWidth="1"/>
    <col min="6" max="6" width="11.5703125" style="1" customWidth="1"/>
    <col min="7" max="7" width="9.42578125" style="1" customWidth="1"/>
    <col min="8" max="9" width="7.5703125" style="1" customWidth="1"/>
    <col min="10" max="10" width="8.7109375" style="1" bestFit="1" customWidth="1"/>
    <col min="11" max="11" width="12.28515625" style="1" customWidth="1"/>
    <col min="12" max="12" width="10.140625" style="1" customWidth="1"/>
    <col min="13" max="13" width="9.85546875" style="1" customWidth="1"/>
    <col min="14" max="14" width="10.140625" style="1" customWidth="1"/>
    <col min="15" max="15" width="10.140625" style="1" bestFit="1" customWidth="1"/>
    <col min="16" max="16" width="9.42578125" style="1" customWidth="1"/>
    <col min="17" max="17" width="6.5703125" style="1" customWidth="1"/>
    <col min="18" max="18" width="7.140625" style="1" customWidth="1"/>
    <col min="19" max="20" width="21" style="1" customWidth="1"/>
    <col min="21" max="22" width="10.140625" style="1" customWidth="1"/>
    <col min="23" max="24" width="13.5703125" style="1" customWidth="1"/>
    <col min="25" max="28" width="5.85546875" style="1" customWidth="1"/>
    <col min="29" max="32" width="8.85546875" style="1" customWidth="1"/>
    <col min="33" max="33" width="3.42578125" style="1" customWidth="1"/>
    <col min="34" max="34" width="11.7109375" style="1" customWidth="1"/>
    <col min="35" max="35" width="10.7109375" style="1" customWidth="1"/>
    <col min="36" max="39" width="9.140625" style="1"/>
    <col min="40" max="40" width="13.85546875" style="1" customWidth="1"/>
    <col min="41" max="43" width="9.140625" style="1"/>
    <col min="44" max="44" width="11.28515625" style="1" customWidth="1"/>
    <col min="45" max="45" width="9.140625" style="1"/>
    <col min="46" max="46" width="4.42578125" style="1" bestFit="1" customWidth="1"/>
    <col min="47" max="47" width="5" style="1" bestFit="1" customWidth="1"/>
    <col min="48" max="48" width="8.42578125" style="1" bestFit="1" customWidth="1"/>
    <col min="49" max="49" width="22.140625" style="1" bestFit="1" customWidth="1"/>
    <col min="50" max="50" width="10.7109375" style="1" bestFit="1" customWidth="1"/>
    <col min="51" max="16384" width="9.140625" style="1"/>
  </cols>
  <sheetData>
    <row r="1" spans="1:75" ht="15.75" hidden="1" customHeight="1" thickBot="1">
      <c r="A1" s="159" t="s">
        <v>394</v>
      </c>
      <c r="B1" s="160">
        <v>0</v>
      </c>
      <c r="C1" s="160">
        <v>1</v>
      </c>
      <c r="D1" s="160">
        <v>2</v>
      </c>
      <c r="E1" s="160">
        <v>3</v>
      </c>
      <c r="F1" s="160">
        <v>4</v>
      </c>
      <c r="G1" s="160">
        <v>0</v>
      </c>
      <c r="H1" s="160">
        <v>0</v>
      </c>
      <c r="I1" s="160">
        <v>0</v>
      </c>
      <c r="J1" s="160">
        <v>5</v>
      </c>
      <c r="K1" s="160">
        <v>0</v>
      </c>
      <c r="L1" s="160">
        <v>6</v>
      </c>
      <c r="M1" s="160">
        <v>0</v>
      </c>
      <c r="N1" s="160">
        <v>0</v>
      </c>
      <c r="O1" s="160">
        <v>0</v>
      </c>
      <c r="P1" s="160">
        <v>0</v>
      </c>
      <c r="Q1" s="160">
        <v>0</v>
      </c>
      <c r="R1" s="160">
        <v>0</v>
      </c>
      <c r="S1" s="160">
        <v>0</v>
      </c>
      <c r="T1" s="160">
        <v>0</v>
      </c>
      <c r="U1" s="160">
        <v>10</v>
      </c>
      <c r="V1" s="160">
        <v>0</v>
      </c>
      <c r="W1" s="160">
        <v>11</v>
      </c>
      <c r="X1" s="160">
        <v>0</v>
      </c>
      <c r="Y1" s="160">
        <v>13</v>
      </c>
      <c r="Z1" s="160">
        <v>14</v>
      </c>
      <c r="AA1" s="160">
        <v>0</v>
      </c>
      <c r="AB1" s="160">
        <v>0</v>
      </c>
      <c r="AC1" s="160">
        <v>15</v>
      </c>
      <c r="AD1" s="160">
        <v>16</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c r="BE1" s="160">
        <v>0</v>
      </c>
      <c r="BF1" s="160">
        <v>0</v>
      </c>
      <c r="BG1" s="160">
        <v>0</v>
      </c>
      <c r="BH1" s="160">
        <v>0</v>
      </c>
      <c r="BI1" s="160">
        <v>0</v>
      </c>
      <c r="BJ1" s="160">
        <v>0</v>
      </c>
      <c r="BK1" s="160">
        <v>0</v>
      </c>
      <c r="BL1" s="160">
        <v>0</v>
      </c>
      <c r="BM1" s="160">
        <v>0</v>
      </c>
      <c r="BN1" s="160">
        <v>0</v>
      </c>
      <c r="BO1" s="160">
        <v>0</v>
      </c>
      <c r="BP1" s="160">
        <v>0</v>
      </c>
      <c r="BQ1" s="160">
        <v>0</v>
      </c>
      <c r="BR1" s="160">
        <v>0</v>
      </c>
      <c r="BS1" s="160">
        <v>0</v>
      </c>
      <c r="BT1" s="160">
        <v>0</v>
      </c>
      <c r="BU1" s="160">
        <v>0</v>
      </c>
      <c r="BV1" s="160">
        <v>0</v>
      </c>
      <c r="BW1" s="160">
        <v>0</v>
      </c>
    </row>
    <row r="2" spans="1:75" ht="14.25" hidden="1" customHeight="1" thickBot="1">
      <c r="A2" s="62"/>
      <c r="B2" s="1">
        <v>0</v>
      </c>
      <c r="C2" s="1" t="s">
        <v>427</v>
      </c>
      <c r="D2" s="1" t="s">
        <v>428</v>
      </c>
      <c r="E2" s="1" t="s">
        <v>426</v>
      </c>
      <c r="F2" s="1" t="s">
        <v>2098</v>
      </c>
      <c r="G2" s="1" t="s">
        <v>2099</v>
      </c>
      <c r="H2" s="1" t="s">
        <v>2116</v>
      </c>
      <c r="I2" s="1" t="s">
        <v>2117</v>
      </c>
      <c r="J2" s="1" t="s">
        <v>2103</v>
      </c>
      <c r="K2" s="1" t="s">
        <v>2120</v>
      </c>
      <c r="L2" s="1" t="s">
        <v>2104</v>
      </c>
      <c r="M2" s="1" t="s">
        <v>2662</v>
      </c>
      <c r="N2" s="1">
        <v>0</v>
      </c>
      <c r="O2" s="1">
        <v>0</v>
      </c>
      <c r="P2" s="1">
        <v>0</v>
      </c>
      <c r="Q2" s="1">
        <v>0</v>
      </c>
      <c r="R2" s="1" t="s">
        <v>396</v>
      </c>
      <c r="S2" s="1">
        <v>0</v>
      </c>
      <c r="T2" s="1" t="s">
        <v>1335</v>
      </c>
      <c r="U2" s="1" t="s">
        <v>578</v>
      </c>
      <c r="V2" s="1" t="s">
        <v>1331</v>
      </c>
      <c r="W2" s="1" t="s">
        <v>579</v>
      </c>
      <c r="X2" s="1" t="s">
        <v>1333</v>
      </c>
      <c r="Y2" s="1" t="s">
        <v>2658</v>
      </c>
      <c r="Z2" s="1" t="s">
        <v>2659</v>
      </c>
      <c r="AA2" s="1">
        <v>0</v>
      </c>
      <c r="AB2" s="1">
        <v>0</v>
      </c>
      <c r="AC2" s="1" t="s">
        <v>2660</v>
      </c>
      <c r="AD2" s="1" t="s">
        <v>2661</v>
      </c>
      <c r="AE2" s="1">
        <v>0</v>
      </c>
      <c r="AF2" s="1">
        <v>0</v>
      </c>
      <c r="AG2" s="1">
        <v>0</v>
      </c>
      <c r="AH2" s="1">
        <v>0</v>
      </c>
      <c r="AI2" s="1">
        <v>0</v>
      </c>
      <c r="AJ2" s="1">
        <v>0</v>
      </c>
      <c r="AK2" s="1">
        <v>0</v>
      </c>
      <c r="AL2" s="1">
        <v>0</v>
      </c>
      <c r="AM2" s="1">
        <v>0</v>
      </c>
      <c r="AN2" s="1">
        <v>0</v>
      </c>
      <c r="AO2" s="1">
        <v>0</v>
      </c>
      <c r="AP2" s="1" t="s">
        <v>2102</v>
      </c>
      <c r="AQ2" s="1" t="s">
        <v>2100</v>
      </c>
      <c r="AR2" s="1" t="s">
        <v>2101</v>
      </c>
      <c r="AS2" s="1">
        <v>0</v>
      </c>
      <c r="AT2" s="1">
        <v>0</v>
      </c>
      <c r="AU2" s="1">
        <v>0</v>
      </c>
      <c r="AV2" s="1">
        <v>0</v>
      </c>
      <c r="AW2" s="1">
        <v>0</v>
      </c>
      <c r="AX2" s="1">
        <v>0</v>
      </c>
      <c r="AY2" s="1">
        <v>0</v>
      </c>
      <c r="AZ2" s="1">
        <v>0</v>
      </c>
      <c r="BA2" s="1">
        <v>0</v>
      </c>
      <c r="BB2" s="1">
        <v>0</v>
      </c>
      <c r="BC2" s="1" t="s">
        <v>2119</v>
      </c>
      <c r="BD2" s="1">
        <v>0</v>
      </c>
      <c r="BE2" s="1">
        <v>0</v>
      </c>
      <c r="BF2" s="1">
        <v>0</v>
      </c>
      <c r="BG2" s="1" t="s">
        <v>570</v>
      </c>
      <c r="BH2" s="1" t="s">
        <v>571</v>
      </c>
      <c r="BI2" s="1">
        <v>0</v>
      </c>
      <c r="BJ2" s="1">
        <v>0</v>
      </c>
      <c r="BK2" s="1">
        <v>0</v>
      </c>
      <c r="BL2" s="1">
        <v>0</v>
      </c>
      <c r="BM2" s="1" t="s">
        <v>39</v>
      </c>
      <c r="BN2" s="1" t="s">
        <v>40</v>
      </c>
      <c r="BO2" s="1" t="s">
        <v>38</v>
      </c>
      <c r="BP2" s="1" t="s">
        <v>645</v>
      </c>
      <c r="BQ2" s="1" t="s">
        <v>2136</v>
      </c>
      <c r="BR2" s="1" t="s">
        <v>41</v>
      </c>
      <c r="BS2" s="1">
        <v>0</v>
      </c>
      <c r="BT2" s="1">
        <v>0</v>
      </c>
      <c r="BU2" s="1">
        <v>0</v>
      </c>
      <c r="BV2" s="1">
        <v>0</v>
      </c>
      <c r="BW2" s="1">
        <v>0</v>
      </c>
    </row>
    <row r="3" spans="1:75" s="7" customFormat="1" ht="19.5" customHeight="1" thickTop="1" thickBot="1">
      <c r="A3" s="60" t="s">
        <v>80</v>
      </c>
      <c r="B3" s="1791" t="s">
        <v>21</v>
      </c>
      <c r="C3" s="1776"/>
      <c r="D3" s="1776"/>
      <c r="E3" s="1776"/>
      <c r="F3" s="1776"/>
      <c r="G3" s="1776"/>
      <c r="H3" s="1776"/>
      <c r="I3" s="1776"/>
      <c r="J3" s="1776"/>
      <c r="K3" s="1776"/>
      <c r="L3" s="1776"/>
      <c r="M3" s="1786" t="s">
        <v>17</v>
      </c>
      <c r="N3" s="1787"/>
      <c r="O3" s="1787"/>
      <c r="P3" s="1788"/>
      <c r="Q3" s="1788"/>
      <c r="R3" s="1788"/>
      <c r="S3" s="1788"/>
      <c r="T3" s="1788"/>
      <c r="U3" s="1788"/>
      <c r="V3" s="1788"/>
      <c r="W3" s="1788"/>
      <c r="X3" s="1788"/>
      <c r="Y3" s="1788"/>
      <c r="Z3" s="1788"/>
      <c r="AA3" s="1788"/>
      <c r="AB3" s="1788"/>
      <c r="AC3" s="1788"/>
      <c r="AD3" s="1788"/>
      <c r="AE3" s="1788"/>
      <c r="AF3" s="1789"/>
      <c r="AG3" s="96"/>
      <c r="AH3" s="1777" t="s">
        <v>24</v>
      </c>
      <c r="AI3" s="1778"/>
      <c r="AJ3" s="1778"/>
      <c r="AK3" s="1778"/>
      <c r="AL3" s="1778"/>
      <c r="AM3" s="1778"/>
      <c r="AN3" s="1778"/>
      <c r="AO3" s="1778"/>
      <c r="AP3" s="1778"/>
      <c r="AQ3" s="1778"/>
      <c r="AR3" s="1779"/>
      <c r="AT3" s="1792" t="s">
        <v>43</v>
      </c>
      <c r="AU3" s="1793"/>
      <c r="AV3" s="1793"/>
      <c r="AW3" s="1793"/>
      <c r="AX3" s="1793"/>
      <c r="AY3" s="1793"/>
      <c r="AZ3" s="1793"/>
      <c r="BA3" s="1793"/>
      <c r="BB3" s="1793"/>
      <c r="BC3" s="1793"/>
      <c r="BD3" s="1793"/>
      <c r="BE3" s="1793"/>
      <c r="BF3" s="1793"/>
      <c r="BG3" s="1793"/>
      <c r="BH3" s="1794"/>
      <c r="BJ3" s="1780" t="s">
        <v>42</v>
      </c>
      <c r="BK3" s="1781"/>
      <c r="BL3" s="1781"/>
      <c r="BM3" s="1781"/>
      <c r="BN3" s="1781"/>
      <c r="BO3" s="1781"/>
      <c r="BP3" s="1781"/>
      <c r="BQ3" s="1781"/>
      <c r="BR3" s="1782"/>
    </row>
    <row r="4" spans="1:75" s="7" customFormat="1" ht="50.25" thickTop="1">
      <c r="A4" s="61"/>
      <c r="B4" s="90" t="s">
        <v>2</v>
      </c>
      <c r="C4" s="79" t="s">
        <v>3</v>
      </c>
      <c r="D4" s="79" t="s">
        <v>0</v>
      </c>
      <c r="E4" s="79" t="s">
        <v>81</v>
      </c>
      <c r="F4" s="79" t="s">
        <v>87</v>
      </c>
      <c r="G4" s="79" t="s">
        <v>582</v>
      </c>
      <c r="H4" s="92" t="s">
        <v>583</v>
      </c>
      <c r="I4" s="92" t="s">
        <v>584</v>
      </c>
      <c r="J4" s="92" t="s">
        <v>118</v>
      </c>
      <c r="K4" s="92" t="s">
        <v>2121</v>
      </c>
      <c r="L4" s="92" t="s">
        <v>14</v>
      </c>
      <c r="M4" s="97" t="s">
        <v>595</v>
      </c>
      <c r="N4" s="83" t="s">
        <v>596</v>
      </c>
      <c r="O4" s="83" t="s">
        <v>598</v>
      </c>
      <c r="P4" s="83" t="s">
        <v>606</v>
      </c>
      <c r="Q4" s="83" t="s">
        <v>609</v>
      </c>
      <c r="R4" s="83" t="s">
        <v>608</v>
      </c>
      <c r="S4" s="83" t="s">
        <v>6</v>
      </c>
      <c r="T4" s="82" t="s">
        <v>1336</v>
      </c>
      <c r="U4" s="83" t="s">
        <v>593</v>
      </c>
      <c r="V4" s="83" t="s">
        <v>2137</v>
      </c>
      <c r="W4" s="83" t="s">
        <v>594</v>
      </c>
      <c r="X4" s="83" t="s">
        <v>1334</v>
      </c>
      <c r="Y4" s="83" t="s">
        <v>585</v>
      </c>
      <c r="Z4" s="83" t="s">
        <v>586</v>
      </c>
      <c r="AA4" s="83" t="s">
        <v>587</v>
      </c>
      <c r="AB4" s="83" t="s">
        <v>588</v>
      </c>
      <c r="AC4" s="83" t="s">
        <v>589</v>
      </c>
      <c r="AD4" s="83" t="s">
        <v>590</v>
      </c>
      <c r="AE4" s="83" t="s">
        <v>591</v>
      </c>
      <c r="AF4" s="91" t="s">
        <v>592</v>
      </c>
      <c r="AG4" s="94"/>
      <c r="AH4" s="84" t="s">
        <v>1</v>
      </c>
      <c r="AI4" s="85" t="s">
        <v>50</v>
      </c>
      <c r="AJ4" s="86" t="s">
        <v>4</v>
      </c>
      <c r="AK4" s="86" t="s">
        <v>16</v>
      </c>
      <c r="AL4" s="86" t="s">
        <v>53</v>
      </c>
      <c r="AM4" s="87" t="s">
        <v>26</v>
      </c>
      <c r="AN4" s="88" t="s">
        <v>11</v>
      </c>
      <c r="AO4" s="88" t="s">
        <v>15</v>
      </c>
      <c r="AP4" s="88" t="s">
        <v>2490</v>
      </c>
      <c r="AQ4" s="88" t="s">
        <v>5</v>
      </c>
      <c r="AR4" s="89" t="s">
        <v>2491</v>
      </c>
      <c r="AT4" s="52" t="str">
        <f t="shared" ref="AT4:AW9" si="0">B4</f>
        <v>No.</v>
      </c>
      <c r="AU4" s="53" t="str">
        <f t="shared" si="0"/>
        <v>Ref.</v>
      </c>
      <c r="AV4" s="53" t="str">
        <f t="shared" si="0"/>
        <v>Model</v>
      </c>
      <c r="AW4" s="238" t="str">
        <f t="shared" si="0"/>
        <v>Supply Flow Rate
 CFM</v>
      </c>
      <c r="AX4" s="241" t="str">
        <f t="shared" ref="AX4:AX9" si="1">R4</f>
        <v>ESP
 (Inwg)</v>
      </c>
      <c r="AY4" s="54" t="s">
        <v>31</v>
      </c>
      <c r="AZ4" s="54" t="s">
        <v>29</v>
      </c>
      <c r="BA4" s="53" t="s">
        <v>30</v>
      </c>
      <c r="BB4" s="53" t="s">
        <v>32</v>
      </c>
      <c r="BC4" s="53" t="s">
        <v>33</v>
      </c>
      <c r="BD4" s="53" t="s">
        <v>34</v>
      </c>
      <c r="BE4" s="53" t="s">
        <v>8</v>
      </c>
      <c r="BF4" s="53" t="s">
        <v>36</v>
      </c>
      <c r="BG4" s="235" t="s">
        <v>654</v>
      </c>
      <c r="BH4" s="236" t="s">
        <v>572</v>
      </c>
      <c r="BI4" s="242"/>
      <c r="BJ4" s="48" t="str">
        <f t="shared" ref="BJ4:BL9" si="2">B4</f>
        <v>No.</v>
      </c>
      <c r="BK4" s="49" t="str">
        <f t="shared" si="2"/>
        <v>Ref.</v>
      </c>
      <c r="BL4" s="49" t="str">
        <f t="shared" si="2"/>
        <v>Model</v>
      </c>
      <c r="BM4" s="49" t="s">
        <v>39</v>
      </c>
      <c r="BN4" s="50" t="s">
        <v>40</v>
      </c>
      <c r="BO4" s="50" t="s">
        <v>38</v>
      </c>
      <c r="BP4" s="243" t="s">
        <v>645</v>
      </c>
      <c r="BQ4" s="243" t="s">
        <v>2136</v>
      </c>
      <c r="BR4" s="51" t="s">
        <v>41</v>
      </c>
    </row>
    <row r="5" spans="1:75" s="7" customFormat="1" ht="16.5">
      <c r="A5" s="62"/>
      <c r="B5" s="763">
        <v>1</v>
      </c>
      <c r="C5" s="6" t="s">
        <v>49</v>
      </c>
      <c r="D5" s="22" t="s">
        <v>2841</v>
      </c>
      <c r="E5" s="22">
        <f>P5*2.1191</f>
        <v>0</v>
      </c>
      <c r="F5" s="22" t="s">
        <v>2840</v>
      </c>
      <c r="G5" s="93"/>
      <c r="H5" s="93"/>
      <c r="I5" s="93"/>
      <c r="J5" s="93" t="s">
        <v>2840</v>
      </c>
      <c r="K5" s="93"/>
      <c r="L5" s="104"/>
      <c r="M5" s="12"/>
      <c r="N5" s="26">
        <f>M5*3412</f>
        <v>0</v>
      </c>
      <c r="O5" s="26"/>
      <c r="P5" s="8"/>
      <c r="Q5" s="8"/>
      <c r="R5" s="119">
        <f>Q5/249</f>
        <v>0</v>
      </c>
      <c r="S5" s="8"/>
      <c r="T5" s="8"/>
      <c r="U5" s="8" t="s">
        <v>2840</v>
      </c>
      <c r="V5" s="8"/>
      <c r="W5" s="8" t="s">
        <v>2840</v>
      </c>
      <c r="X5" s="8"/>
      <c r="Y5" s="210"/>
      <c r="Z5" s="210"/>
      <c r="AA5" s="210">
        <f t="shared" ref="AA5:AB9" si="3">Y5*1.8+32</f>
        <v>32</v>
      </c>
      <c r="AB5" s="210">
        <f t="shared" si="3"/>
        <v>32</v>
      </c>
      <c r="AC5" s="210"/>
      <c r="AD5" s="210"/>
      <c r="AE5" s="210">
        <f t="shared" ref="AE5:AF9" si="4">AC5*1.8+32</f>
        <v>32</v>
      </c>
      <c r="AF5" s="213">
        <f t="shared" si="4"/>
        <v>32</v>
      </c>
      <c r="AG5" s="94"/>
      <c r="AH5" s="20"/>
      <c r="AI5" s="43">
        <f>AH5*0.68</f>
        <v>0</v>
      </c>
      <c r="AJ5" s="9"/>
      <c r="AK5" s="9"/>
      <c r="AL5" s="9"/>
      <c r="AM5" s="9">
        <f>SUM(AI5:AL5)</f>
        <v>0</v>
      </c>
      <c r="AN5" s="22">
        <f>AM5*3.75</f>
        <v>0</v>
      </c>
      <c r="AO5" s="22">
        <f>AN5*1.25</f>
        <v>0</v>
      </c>
      <c r="AP5" s="22">
        <f>CEILING(AO5,5)</f>
        <v>0</v>
      </c>
      <c r="AQ5" s="22">
        <v>1</v>
      </c>
      <c r="AR5" s="23">
        <f>AQ5*AP5</f>
        <v>0</v>
      </c>
      <c r="AT5" s="12">
        <f t="shared" si="0"/>
        <v>1</v>
      </c>
      <c r="AU5" s="8" t="str">
        <f t="shared" si="0"/>
        <v>AHU</v>
      </c>
      <c r="AV5" s="8" t="str">
        <f t="shared" si="0"/>
        <v>XXX</v>
      </c>
      <c r="AW5" s="8">
        <f t="shared" si="0"/>
        <v>0</v>
      </c>
      <c r="AX5" s="118">
        <f t="shared" si="1"/>
        <v>0</v>
      </c>
      <c r="AY5" s="118"/>
      <c r="AZ5" s="119"/>
      <c r="BA5" s="119"/>
      <c r="BB5" s="119"/>
      <c r="BC5" s="119"/>
      <c r="BD5" s="119"/>
      <c r="BE5" s="119">
        <f>SUM(AX5:BD5)</f>
        <v>0</v>
      </c>
      <c r="BF5" s="8"/>
      <c r="BG5" s="201"/>
      <c r="BH5" s="13"/>
      <c r="BJ5" s="12">
        <f t="shared" si="2"/>
        <v>1</v>
      </c>
      <c r="BK5" s="8" t="str">
        <f t="shared" si="2"/>
        <v>AHU</v>
      </c>
      <c r="BL5" s="8" t="str">
        <f t="shared" si="2"/>
        <v>XXX</v>
      </c>
      <c r="BM5" s="210"/>
      <c r="BN5" s="223"/>
      <c r="BO5" s="223"/>
      <c r="BP5" s="226"/>
      <c r="BQ5" s="226"/>
      <c r="BR5" s="213"/>
    </row>
    <row r="6" spans="1:75" s="7" customFormat="1" ht="16.5">
      <c r="A6" s="62"/>
      <c r="B6" s="12">
        <v>2</v>
      </c>
      <c r="C6" s="6"/>
      <c r="D6" s="22"/>
      <c r="E6" s="22">
        <f>P6*2.1191</f>
        <v>0</v>
      </c>
      <c r="F6" s="9"/>
      <c r="G6" s="170"/>
      <c r="H6" s="170"/>
      <c r="I6" s="170"/>
      <c r="J6" s="170"/>
      <c r="K6" s="170"/>
      <c r="L6" s="105"/>
      <c r="M6" s="12"/>
      <c r="N6" s="26">
        <f t="shared" ref="N6:N9" si="5">M6*3412</f>
        <v>0</v>
      </c>
      <c r="O6" s="26"/>
      <c r="P6" s="8"/>
      <c r="Q6" s="8"/>
      <c r="R6" s="119">
        <f>Q6/249</f>
        <v>0</v>
      </c>
      <c r="S6" s="8"/>
      <c r="T6" s="8"/>
      <c r="U6" s="8"/>
      <c r="V6" s="8"/>
      <c r="W6" s="8"/>
      <c r="X6" s="8"/>
      <c r="Y6" s="210"/>
      <c r="Z6" s="210"/>
      <c r="AA6" s="210">
        <f t="shared" si="3"/>
        <v>32</v>
      </c>
      <c r="AB6" s="210">
        <f t="shared" si="3"/>
        <v>32</v>
      </c>
      <c r="AC6" s="210"/>
      <c r="AD6" s="210"/>
      <c r="AE6" s="210">
        <f t="shared" si="4"/>
        <v>32</v>
      </c>
      <c r="AF6" s="213">
        <f t="shared" si="4"/>
        <v>32</v>
      </c>
      <c r="AG6" s="94"/>
      <c r="AH6" s="20"/>
      <c r="AI6" s="43">
        <f>AH6*0.68</f>
        <v>0</v>
      </c>
      <c r="AJ6" s="9"/>
      <c r="AK6" s="9"/>
      <c r="AL6" s="9"/>
      <c r="AM6" s="9">
        <f>SUM(AI6:AL6)</f>
        <v>0</v>
      </c>
      <c r="AN6" s="9">
        <f>AM6*3.75</f>
        <v>0</v>
      </c>
      <c r="AO6" s="9">
        <f>AN6*1.25</f>
        <v>0</v>
      </c>
      <c r="AP6" s="9">
        <f>CEILING(AO6,5)</f>
        <v>0</v>
      </c>
      <c r="AQ6" s="9"/>
      <c r="AR6" s="10">
        <f>AQ6*AP6</f>
        <v>0</v>
      </c>
      <c r="AT6" s="12">
        <f t="shared" si="0"/>
        <v>2</v>
      </c>
      <c r="AU6" s="8">
        <f t="shared" si="0"/>
        <v>0</v>
      </c>
      <c r="AV6" s="8">
        <f t="shared" si="0"/>
        <v>0</v>
      </c>
      <c r="AW6" s="8">
        <f t="shared" si="0"/>
        <v>0</v>
      </c>
      <c r="AX6" s="118">
        <f t="shared" si="1"/>
        <v>0</v>
      </c>
      <c r="AY6" s="118"/>
      <c r="AZ6" s="119"/>
      <c r="BA6" s="119"/>
      <c r="BB6" s="119"/>
      <c r="BC6" s="119"/>
      <c r="BD6" s="119"/>
      <c r="BE6" s="119">
        <f>SUM(AX6:BD6)</f>
        <v>0</v>
      </c>
      <c r="BF6" s="8"/>
      <c r="BG6" s="201"/>
      <c r="BH6" s="13"/>
      <c r="BJ6" s="12">
        <f t="shared" si="2"/>
        <v>2</v>
      </c>
      <c r="BK6" s="8">
        <f t="shared" si="2"/>
        <v>0</v>
      </c>
      <c r="BL6" s="8">
        <f t="shared" si="2"/>
        <v>0</v>
      </c>
      <c r="BM6" s="210"/>
      <c r="BN6" s="223"/>
      <c r="BO6" s="223"/>
      <c r="BP6" s="226"/>
      <c r="BQ6" s="226"/>
      <c r="BR6" s="213"/>
    </row>
    <row r="7" spans="1:75" s="7" customFormat="1" ht="16.5">
      <c r="A7" s="62"/>
      <c r="B7" s="12">
        <v>3</v>
      </c>
      <c r="C7" s="6"/>
      <c r="D7" s="22"/>
      <c r="E7" s="22">
        <f>P7*2.1191</f>
        <v>0</v>
      </c>
      <c r="F7" s="9"/>
      <c r="G7" s="170"/>
      <c r="H7" s="170"/>
      <c r="I7" s="170"/>
      <c r="J7" s="170"/>
      <c r="K7" s="170"/>
      <c r="L7" s="105"/>
      <c r="M7" s="12"/>
      <c r="N7" s="26">
        <f t="shared" si="5"/>
        <v>0</v>
      </c>
      <c r="O7" s="26"/>
      <c r="P7" s="8"/>
      <c r="Q7" s="8"/>
      <c r="R7" s="119">
        <f>Q7/249</f>
        <v>0</v>
      </c>
      <c r="S7" s="8"/>
      <c r="T7" s="8"/>
      <c r="U7" s="8"/>
      <c r="V7" s="8"/>
      <c r="W7" s="8"/>
      <c r="X7" s="8"/>
      <c r="Y7" s="210"/>
      <c r="Z7" s="210"/>
      <c r="AA7" s="210">
        <f t="shared" si="3"/>
        <v>32</v>
      </c>
      <c r="AB7" s="210">
        <f t="shared" si="3"/>
        <v>32</v>
      </c>
      <c r="AC7" s="210"/>
      <c r="AD7" s="210"/>
      <c r="AE7" s="210">
        <f t="shared" si="4"/>
        <v>32</v>
      </c>
      <c r="AF7" s="213">
        <f t="shared" si="4"/>
        <v>32</v>
      </c>
      <c r="AG7" s="94"/>
      <c r="AH7" s="20"/>
      <c r="AI7" s="43">
        <f>AH7*0.68</f>
        <v>0</v>
      </c>
      <c r="AJ7" s="9"/>
      <c r="AK7" s="9"/>
      <c r="AL7" s="9"/>
      <c r="AM7" s="9">
        <f>SUM(AI7:AL7)</f>
        <v>0</v>
      </c>
      <c r="AN7" s="9">
        <f>AM7*3.75</f>
        <v>0</v>
      </c>
      <c r="AO7" s="9">
        <f>AN7*1.25</f>
        <v>0</v>
      </c>
      <c r="AP7" s="9">
        <f>CEILING(AO7,5)</f>
        <v>0</v>
      </c>
      <c r="AQ7" s="9"/>
      <c r="AR7" s="10">
        <f>AQ7*AP7</f>
        <v>0</v>
      </c>
      <c r="AT7" s="12">
        <f t="shared" si="0"/>
        <v>3</v>
      </c>
      <c r="AU7" s="8">
        <f t="shared" si="0"/>
        <v>0</v>
      </c>
      <c r="AV7" s="8">
        <f t="shared" si="0"/>
        <v>0</v>
      </c>
      <c r="AW7" s="8">
        <f t="shared" si="0"/>
        <v>0</v>
      </c>
      <c r="AX7" s="118">
        <f t="shared" si="1"/>
        <v>0</v>
      </c>
      <c r="AY7" s="118"/>
      <c r="AZ7" s="119"/>
      <c r="BA7" s="119"/>
      <c r="BB7" s="119"/>
      <c r="BC7" s="119"/>
      <c r="BD7" s="119"/>
      <c r="BE7" s="119">
        <f>SUM(AX7:BD7)</f>
        <v>0</v>
      </c>
      <c r="BF7" s="8"/>
      <c r="BG7" s="201"/>
      <c r="BH7" s="13"/>
      <c r="BJ7" s="12">
        <f t="shared" si="2"/>
        <v>3</v>
      </c>
      <c r="BK7" s="8">
        <f t="shared" si="2"/>
        <v>0</v>
      </c>
      <c r="BL7" s="8">
        <f t="shared" si="2"/>
        <v>0</v>
      </c>
      <c r="BM7" s="210"/>
      <c r="BN7" s="223"/>
      <c r="BO7" s="223"/>
      <c r="BP7" s="226"/>
      <c r="BQ7" s="226"/>
      <c r="BR7" s="213"/>
    </row>
    <row r="8" spans="1:75" s="7" customFormat="1" ht="16.5">
      <c r="A8" s="62"/>
      <c r="B8" s="12">
        <v>4</v>
      </c>
      <c r="C8" s="25"/>
      <c r="D8" s="9"/>
      <c r="E8" s="22">
        <f>P8*2.1191</f>
        <v>0</v>
      </c>
      <c r="F8" s="9"/>
      <c r="G8" s="170"/>
      <c r="H8" s="170"/>
      <c r="I8" s="170"/>
      <c r="J8" s="170"/>
      <c r="K8" s="170"/>
      <c r="L8" s="105"/>
      <c r="M8" s="12"/>
      <c r="N8" s="26">
        <f t="shared" si="5"/>
        <v>0</v>
      </c>
      <c r="O8" s="26"/>
      <c r="P8" s="8"/>
      <c r="Q8" s="8"/>
      <c r="R8" s="119">
        <f>Q8/249</f>
        <v>0</v>
      </c>
      <c r="S8" s="8"/>
      <c r="T8" s="8"/>
      <c r="U8" s="8"/>
      <c r="V8" s="8"/>
      <c r="W8" s="8"/>
      <c r="X8" s="8"/>
      <c r="Y8" s="210"/>
      <c r="Z8" s="210"/>
      <c r="AA8" s="210">
        <f t="shared" si="3"/>
        <v>32</v>
      </c>
      <c r="AB8" s="210">
        <f t="shared" si="3"/>
        <v>32</v>
      </c>
      <c r="AC8" s="210"/>
      <c r="AD8" s="210"/>
      <c r="AE8" s="210">
        <f t="shared" si="4"/>
        <v>32</v>
      </c>
      <c r="AF8" s="213">
        <f t="shared" si="4"/>
        <v>32</v>
      </c>
      <c r="AG8" s="94"/>
      <c r="AH8" s="20"/>
      <c r="AI8" s="43">
        <f>AH8*0.68</f>
        <v>0</v>
      </c>
      <c r="AJ8" s="9"/>
      <c r="AK8" s="9"/>
      <c r="AL8" s="9"/>
      <c r="AM8" s="9">
        <f>SUM(AI8:AL8)</f>
        <v>0</v>
      </c>
      <c r="AN8" s="9">
        <f>AM8*3.75</f>
        <v>0</v>
      </c>
      <c r="AO8" s="9">
        <f>AN8*1.25</f>
        <v>0</v>
      </c>
      <c r="AP8" s="9">
        <f>CEILING(AO8,5)</f>
        <v>0</v>
      </c>
      <c r="AQ8" s="9"/>
      <c r="AR8" s="10">
        <f>AQ8*AP8</f>
        <v>0</v>
      </c>
      <c r="AT8" s="12">
        <f t="shared" si="0"/>
        <v>4</v>
      </c>
      <c r="AU8" s="8">
        <f t="shared" si="0"/>
        <v>0</v>
      </c>
      <c r="AV8" s="8">
        <f t="shared" si="0"/>
        <v>0</v>
      </c>
      <c r="AW8" s="8">
        <f t="shared" si="0"/>
        <v>0</v>
      </c>
      <c r="AX8" s="118">
        <f t="shared" si="1"/>
        <v>0</v>
      </c>
      <c r="AY8" s="118"/>
      <c r="AZ8" s="119"/>
      <c r="BA8" s="119"/>
      <c r="BB8" s="119"/>
      <c r="BC8" s="119"/>
      <c r="BD8" s="119"/>
      <c r="BE8" s="119">
        <f>SUM(AX8:BD8)</f>
        <v>0</v>
      </c>
      <c r="BF8" s="8"/>
      <c r="BG8" s="201"/>
      <c r="BH8" s="13"/>
      <c r="BJ8" s="12">
        <f t="shared" si="2"/>
        <v>4</v>
      </c>
      <c r="BK8" s="8">
        <f t="shared" si="2"/>
        <v>0</v>
      </c>
      <c r="BL8" s="8">
        <f t="shared" si="2"/>
        <v>0</v>
      </c>
      <c r="BM8" s="210"/>
      <c r="BN8" s="223"/>
      <c r="BO8" s="223"/>
      <c r="BP8" s="226"/>
      <c r="BQ8" s="226"/>
      <c r="BR8" s="213"/>
    </row>
    <row r="9" spans="1:75" s="7" customFormat="1" ht="15.75" customHeight="1" thickBot="1">
      <c r="A9" s="62"/>
      <c r="B9" s="38">
        <v>5</v>
      </c>
      <c r="C9" s="18"/>
      <c r="D9" s="18"/>
      <c r="E9" s="18">
        <f>P9*2.1191</f>
        <v>0</v>
      </c>
      <c r="F9" s="18"/>
      <c r="G9" s="171"/>
      <c r="H9" s="171"/>
      <c r="I9" s="171"/>
      <c r="J9" s="171"/>
      <c r="K9" s="171"/>
      <c r="L9" s="106"/>
      <c r="M9" s="14"/>
      <c r="N9" s="15">
        <f t="shared" si="5"/>
        <v>0</v>
      </c>
      <c r="O9" s="15"/>
      <c r="P9" s="15"/>
      <c r="Q9" s="15"/>
      <c r="R9" s="121">
        <f>Q9/249</f>
        <v>0</v>
      </c>
      <c r="S9" s="15"/>
      <c r="T9" s="15"/>
      <c r="U9" s="15"/>
      <c r="V9" s="15"/>
      <c r="W9" s="15"/>
      <c r="X9" s="15"/>
      <c r="Y9" s="211"/>
      <c r="Z9" s="211"/>
      <c r="AA9" s="211">
        <f t="shared" si="3"/>
        <v>32</v>
      </c>
      <c r="AB9" s="211">
        <f t="shared" si="3"/>
        <v>32</v>
      </c>
      <c r="AC9" s="211"/>
      <c r="AD9" s="211"/>
      <c r="AE9" s="211">
        <f t="shared" si="4"/>
        <v>32</v>
      </c>
      <c r="AF9" s="214">
        <f t="shared" si="4"/>
        <v>32</v>
      </c>
      <c r="AG9" s="95"/>
      <c r="AH9" s="21"/>
      <c r="AI9" s="18">
        <f>AH9*0.68</f>
        <v>0</v>
      </c>
      <c r="AJ9" s="18"/>
      <c r="AK9" s="18"/>
      <c r="AL9" s="18"/>
      <c r="AM9" s="18">
        <f>SUM(AI9:AL9)</f>
        <v>0</v>
      </c>
      <c r="AN9" s="18">
        <f>AM9*3.75</f>
        <v>0</v>
      </c>
      <c r="AO9" s="18">
        <f>AN9*1.25</f>
        <v>0</v>
      </c>
      <c r="AP9" s="18">
        <f>CEILING(AO9,5)</f>
        <v>0</v>
      </c>
      <c r="AQ9" s="18"/>
      <c r="AR9" s="19">
        <f>AQ9*AP9</f>
        <v>0</v>
      </c>
      <c r="AT9" s="14">
        <f t="shared" si="0"/>
        <v>5</v>
      </c>
      <c r="AU9" s="15">
        <f t="shared" si="0"/>
        <v>0</v>
      </c>
      <c r="AV9" s="15">
        <f t="shared" si="0"/>
        <v>0</v>
      </c>
      <c r="AW9" s="15">
        <f t="shared" si="0"/>
        <v>0</v>
      </c>
      <c r="AX9" s="120">
        <f t="shared" si="1"/>
        <v>0</v>
      </c>
      <c r="AY9" s="120"/>
      <c r="AZ9" s="121"/>
      <c r="BA9" s="121"/>
      <c r="BB9" s="121"/>
      <c r="BC9" s="121"/>
      <c r="BD9" s="121"/>
      <c r="BE9" s="121">
        <f>SUM(AX9:BD9)</f>
        <v>0</v>
      </c>
      <c r="BF9" s="15"/>
      <c r="BG9" s="202"/>
      <c r="BH9" s="16"/>
      <c r="BJ9" s="14">
        <f t="shared" si="2"/>
        <v>5</v>
      </c>
      <c r="BK9" s="15">
        <f t="shared" si="2"/>
        <v>0</v>
      </c>
      <c r="BL9" s="15">
        <f t="shared" si="2"/>
        <v>0</v>
      </c>
      <c r="BM9" s="211"/>
      <c r="BN9" s="224"/>
      <c r="BO9" s="224"/>
      <c r="BP9" s="227"/>
      <c r="BQ9" s="227"/>
      <c r="BR9" s="214"/>
    </row>
    <row r="10" spans="1:75" s="7" customFormat="1" ht="17.25" thickBot="1">
      <c r="A10" s="62"/>
      <c r="F10" s="11"/>
      <c r="G10" s="11"/>
      <c r="H10" s="11"/>
      <c r="I10" s="11"/>
      <c r="J10" s="11"/>
      <c r="K10" s="11"/>
      <c r="L10" s="11"/>
      <c r="AM10" s="11"/>
      <c r="AN10" s="11"/>
      <c r="AO10" s="11"/>
      <c r="AP10" s="11"/>
      <c r="AQ10" s="172">
        <f>SUM(AQ5:AQ9)</f>
        <v>1</v>
      </c>
      <c r="AR10" s="173">
        <f>SUM(AR5:AR9)</f>
        <v>0</v>
      </c>
    </row>
    <row r="11" spans="1:75" ht="15.75">
      <c r="A11" s="62"/>
    </row>
    <row r="12" spans="1:75" ht="16.5" thickBot="1">
      <c r="A12" s="62"/>
    </row>
    <row r="13" spans="1:75" ht="21" thickBot="1">
      <c r="A13" s="62"/>
      <c r="C13" s="1790" t="s">
        <v>60</v>
      </c>
      <c r="D13" s="1784"/>
      <c r="E13" s="1784"/>
      <c r="F13" s="1784"/>
      <c r="G13" s="1784"/>
      <c r="H13" s="1784"/>
      <c r="I13" s="1784"/>
      <c r="J13" s="1784"/>
      <c r="K13" s="1784"/>
      <c r="L13" s="1784"/>
      <c r="M13" s="1785"/>
    </row>
    <row r="14" spans="1:75" ht="15.75">
      <c r="A14" s="62"/>
      <c r="C14" s="39" t="s">
        <v>3</v>
      </c>
      <c r="D14" s="39"/>
      <c r="E14" s="39"/>
      <c r="F14" s="39"/>
      <c r="G14" s="39"/>
      <c r="H14" s="39"/>
      <c r="I14" s="39"/>
      <c r="J14" s="39"/>
      <c r="K14" s="39"/>
      <c r="L14" s="39"/>
      <c r="M14" s="39"/>
    </row>
    <row r="15" spans="1:75" ht="15.75">
      <c r="A15" s="62"/>
    </row>
    <row r="16" spans="1:75"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6">
    <mergeCell ref="BJ3:BR3"/>
    <mergeCell ref="M3:AF3"/>
    <mergeCell ref="C13:M13"/>
    <mergeCell ref="B3:L3"/>
    <mergeCell ref="AH3:AR3"/>
    <mergeCell ref="AT3:BH3"/>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9222" r:id="rId4" name="FPM">
          <controlPr defaultSize="0" autoLine="0" r:id="rId5">
            <anchor moveWithCells="1">
              <from>
                <xdr:col>0</xdr:col>
                <xdr:colOff>0</xdr:colOff>
                <xdr:row>4</xdr:row>
                <xdr:rowOff>0</xdr:rowOff>
              </from>
              <to>
                <xdr:col>3</xdr:col>
                <xdr:colOff>419100</xdr:colOff>
                <xdr:row>5</xdr:row>
                <xdr:rowOff>114300</xdr:rowOff>
              </to>
            </anchor>
          </controlPr>
        </control>
      </mc:Choice>
      <mc:Fallback>
        <control shapeId="9222" r:id="rId4" name="FPM"/>
      </mc:Fallback>
    </mc:AlternateContent>
    <mc:AlternateContent xmlns:mc="http://schemas.openxmlformats.org/markup-compatibility/2006">
      <mc:Choice Requires="x14">
        <control shapeId="9220" r:id="rId6" name="Flow_Calculate">
          <controlPr defaultSize="0" autoLine="0" r:id="rId7">
            <anchor moveWithCells="1">
              <from>
                <xdr:col>0</xdr:col>
                <xdr:colOff>0</xdr:colOff>
                <xdr:row>4</xdr:row>
                <xdr:rowOff>0</xdr:rowOff>
              </from>
              <to>
                <xdr:col>3</xdr:col>
                <xdr:colOff>419100</xdr:colOff>
                <xdr:row>5</xdr:row>
                <xdr:rowOff>114300</xdr:rowOff>
              </to>
            </anchor>
          </controlPr>
        </control>
      </mc:Choice>
      <mc:Fallback>
        <control shapeId="9220" r:id="rId6" name="Flow_Calculate"/>
      </mc:Fallback>
    </mc:AlternateContent>
    <mc:AlternateContent xmlns:mc="http://schemas.openxmlformats.org/markup-compatibility/2006">
      <mc:Choice Requires="x14">
        <control shapeId="9219" r:id="rId8" name="Technical">
          <controlPr defaultSize="0" autoLine="0" r:id="rId9">
            <anchor moveWithCells="1">
              <from>
                <xdr:col>0</xdr:col>
                <xdr:colOff>0</xdr:colOff>
                <xdr:row>3</xdr:row>
                <xdr:rowOff>133350</xdr:rowOff>
              </from>
              <to>
                <xdr:col>3</xdr:col>
                <xdr:colOff>428625</xdr:colOff>
                <xdr:row>3</xdr:row>
                <xdr:rowOff>447675</xdr:rowOff>
              </to>
            </anchor>
          </controlPr>
        </control>
      </mc:Choice>
      <mc:Fallback>
        <control shapeId="9219" r:id="rId8" name="Technical"/>
      </mc:Fallback>
    </mc:AlternateContent>
    <mc:AlternateContent xmlns:mc="http://schemas.openxmlformats.org/markup-compatibility/2006">
      <mc:Choice Requires="x14">
        <control shapeId="9218" r:id="rId10" name="Specs">
          <controlPr defaultSize="0" autoLine="0" r:id="rId11">
            <anchor moveWithCells="1">
              <from>
                <xdr:col>0</xdr:col>
                <xdr:colOff>0</xdr:colOff>
                <xdr:row>3</xdr:row>
                <xdr:rowOff>133350</xdr:rowOff>
              </from>
              <to>
                <xdr:col>3</xdr:col>
                <xdr:colOff>428625</xdr:colOff>
                <xdr:row>3</xdr:row>
                <xdr:rowOff>447675</xdr:rowOff>
              </to>
            </anchor>
          </controlPr>
        </control>
      </mc:Choice>
      <mc:Fallback>
        <control shapeId="9218" r:id="rId10" name="Specs"/>
      </mc:Fallback>
    </mc:AlternateContent>
    <mc:AlternateContent xmlns:mc="http://schemas.openxmlformats.org/markup-compatibility/2006">
      <mc:Choice Requires="x14">
        <control shapeId="9217" r:id="rId12" name="Hide">
          <controlPr defaultSize="0" autoLine="0" r:id="rId13">
            <anchor moveWithCells="1">
              <from>
                <xdr:col>0</xdr:col>
                <xdr:colOff>0</xdr:colOff>
                <xdr:row>2</xdr:row>
                <xdr:rowOff>0</xdr:rowOff>
              </from>
              <to>
                <xdr:col>2</xdr:col>
                <xdr:colOff>200025</xdr:colOff>
                <xdr:row>3</xdr:row>
                <xdr:rowOff>95250</xdr:rowOff>
              </to>
            </anchor>
          </controlPr>
        </control>
      </mc:Choice>
      <mc:Fallback>
        <control shapeId="9217" r:id="rId12" name="Hide"/>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4_Ecology"/>
  <dimension ref="A1:AZ56"/>
  <sheetViews>
    <sheetView zoomScale="80" zoomScaleNormal="80" workbookViewId="0">
      <pane xSplit="1" topLeftCell="B1" activePane="topRight" state="frozen"/>
      <selection pane="topRight" activeCell="S14" sqref="S14"/>
    </sheetView>
  </sheetViews>
  <sheetFormatPr defaultColWidth="9.140625" defaultRowHeight="15"/>
  <cols>
    <col min="1" max="1" width="55.7109375" style="1" hidden="1" customWidth="1"/>
    <col min="2" max="2" width="4.42578125" style="1" bestFit="1" customWidth="1"/>
    <col min="3" max="3" width="16.7109375" style="1" customWidth="1"/>
    <col min="4" max="4" width="17" style="1" customWidth="1"/>
    <col min="5" max="5" width="18.5703125" style="1" customWidth="1"/>
    <col min="6" max="6" width="10.85546875" style="1" customWidth="1"/>
    <col min="7" max="7" width="16.42578125" style="1" customWidth="1"/>
    <col min="8" max="8" width="21" style="1" customWidth="1"/>
    <col min="9" max="9" width="7.7109375" style="1" customWidth="1"/>
    <col min="10" max="10" width="9.140625" style="1"/>
    <col min="11" max="11" width="3.42578125" style="1" customWidth="1"/>
    <col min="12" max="12" width="11.7109375" style="1" customWidth="1"/>
    <col min="13" max="13" width="10.7109375" style="1" customWidth="1"/>
    <col min="14" max="17" width="9.140625" style="1"/>
    <col min="18" max="18" width="13.85546875" style="1" customWidth="1"/>
    <col min="19" max="21" width="9.140625" style="1"/>
    <col min="22" max="22" width="13.140625" style="1" customWidth="1"/>
    <col min="23" max="23" width="9.140625" style="1"/>
    <col min="24" max="24" width="4.42578125" style="1" bestFit="1" customWidth="1"/>
    <col min="25" max="25" width="5" style="1" bestFit="1" customWidth="1"/>
    <col min="26" max="26" width="7" style="1" bestFit="1" customWidth="1"/>
    <col min="27" max="27" width="22.140625" style="1" bestFit="1" customWidth="1"/>
    <col min="28" max="28" width="8.5703125" style="1" bestFit="1" customWidth="1"/>
    <col min="29" max="16384" width="9.140625" style="1"/>
  </cols>
  <sheetData>
    <row r="1" spans="1:52" ht="15.75" hidden="1" customHeight="1" thickBot="1">
      <c r="A1" s="159" t="s">
        <v>394</v>
      </c>
      <c r="B1" s="160">
        <v>0</v>
      </c>
      <c r="C1" s="160">
        <v>1</v>
      </c>
      <c r="D1" s="160">
        <v>2</v>
      </c>
      <c r="E1" s="160">
        <v>3</v>
      </c>
      <c r="F1" s="160">
        <v>0</v>
      </c>
      <c r="G1" s="160">
        <v>0</v>
      </c>
      <c r="H1" s="160">
        <v>0</v>
      </c>
      <c r="I1" s="160">
        <v>0</v>
      </c>
      <c r="J1" s="217">
        <v>4</v>
      </c>
      <c r="K1" s="219">
        <v>0</v>
      </c>
      <c r="L1" s="218">
        <v>0</v>
      </c>
      <c r="M1" s="160">
        <v>0</v>
      </c>
      <c r="N1" s="160">
        <v>0</v>
      </c>
      <c r="O1" s="160">
        <v>0</v>
      </c>
      <c r="P1" s="160">
        <v>0</v>
      </c>
      <c r="Q1" s="160">
        <v>0</v>
      </c>
      <c r="R1" s="160">
        <v>0</v>
      </c>
      <c r="S1" s="160">
        <v>0</v>
      </c>
      <c r="T1" s="160">
        <v>0</v>
      </c>
      <c r="U1" s="160">
        <v>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row>
    <row r="2" spans="1:52" ht="14.25" hidden="1" customHeight="1" thickBot="1">
      <c r="A2" s="62"/>
      <c r="B2" s="1">
        <v>0</v>
      </c>
      <c r="C2" s="1" t="s">
        <v>427</v>
      </c>
      <c r="D2" s="1" t="s">
        <v>428</v>
      </c>
      <c r="E2" s="1" t="s">
        <v>426</v>
      </c>
      <c r="F2" s="1">
        <v>0</v>
      </c>
      <c r="G2" s="1" t="s">
        <v>1335</v>
      </c>
      <c r="H2" s="1">
        <v>0</v>
      </c>
      <c r="I2" s="1">
        <v>0</v>
      </c>
      <c r="J2" s="1" t="s">
        <v>396</v>
      </c>
      <c r="K2" s="220">
        <v>0</v>
      </c>
      <c r="L2" s="1">
        <v>0</v>
      </c>
      <c r="M2" s="1">
        <v>0</v>
      </c>
      <c r="N2" s="1">
        <v>0</v>
      </c>
      <c r="O2" s="1">
        <v>0</v>
      </c>
      <c r="P2" s="1">
        <v>0</v>
      </c>
      <c r="Q2" s="1">
        <v>0</v>
      </c>
      <c r="R2" s="1">
        <v>0</v>
      </c>
      <c r="S2" s="1">
        <v>0</v>
      </c>
      <c r="T2" s="1" t="s">
        <v>2102</v>
      </c>
      <c r="U2" s="1" t="s">
        <v>2100</v>
      </c>
      <c r="V2" s="1" t="s">
        <v>2101</v>
      </c>
      <c r="W2" s="1">
        <v>0</v>
      </c>
      <c r="X2" s="1">
        <v>0</v>
      </c>
      <c r="Y2" s="1">
        <v>0</v>
      </c>
      <c r="Z2" s="1">
        <v>0</v>
      </c>
      <c r="AA2" s="1">
        <v>0</v>
      </c>
      <c r="AB2" s="1">
        <v>0</v>
      </c>
      <c r="AC2" s="1">
        <v>0</v>
      </c>
      <c r="AD2" s="1">
        <v>0</v>
      </c>
      <c r="AE2" s="1">
        <v>0</v>
      </c>
      <c r="AF2" s="1">
        <v>0</v>
      </c>
      <c r="AG2" s="1">
        <v>0</v>
      </c>
      <c r="AH2" s="1">
        <v>0</v>
      </c>
      <c r="AI2" s="1">
        <v>0</v>
      </c>
      <c r="AJ2" s="1" t="s">
        <v>570</v>
      </c>
      <c r="AK2" s="1" t="s">
        <v>571</v>
      </c>
      <c r="AL2" s="1">
        <v>0</v>
      </c>
      <c r="AM2" s="1">
        <v>0</v>
      </c>
      <c r="AN2" s="1">
        <v>0</v>
      </c>
      <c r="AO2" s="1">
        <v>0</v>
      </c>
      <c r="AP2" s="1" t="s">
        <v>39</v>
      </c>
      <c r="AQ2" s="1" t="s">
        <v>40</v>
      </c>
      <c r="AR2" s="1" t="s">
        <v>38</v>
      </c>
      <c r="AS2" s="1" t="s">
        <v>645</v>
      </c>
      <c r="AT2" s="1" t="s">
        <v>2136</v>
      </c>
      <c r="AU2" s="1" t="s">
        <v>41</v>
      </c>
      <c r="AV2" s="1">
        <v>0</v>
      </c>
      <c r="AW2" s="1">
        <v>0</v>
      </c>
      <c r="AX2" s="1">
        <v>0</v>
      </c>
      <c r="AY2" s="1">
        <v>0</v>
      </c>
      <c r="AZ2" s="1">
        <v>0</v>
      </c>
    </row>
    <row r="3" spans="1:52" s="7" customFormat="1" ht="19.5" customHeight="1" thickTop="1" thickBot="1">
      <c r="A3" s="60" t="s">
        <v>80</v>
      </c>
      <c r="B3" s="1791" t="s">
        <v>21</v>
      </c>
      <c r="C3" s="1776"/>
      <c r="D3" s="1776"/>
      <c r="E3" s="1776"/>
      <c r="F3" s="1786" t="s">
        <v>17</v>
      </c>
      <c r="G3" s="1787"/>
      <c r="H3" s="1788"/>
      <c r="I3" s="1795"/>
      <c r="J3" s="1795"/>
      <c r="K3" s="68"/>
      <c r="L3" s="1778" t="s">
        <v>24</v>
      </c>
      <c r="M3" s="1778"/>
      <c r="N3" s="1778"/>
      <c r="O3" s="1778"/>
      <c r="P3" s="1778"/>
      <c r="Q3" s="1778"/>
      <c r="R3" s="1778"/>
      <c r="S3" s="1778"/>
      <c r="T3" s="1778"/>
      <c r="U3" s="1778"/>
      <c r="V3" s="1779"/>
      <c r="X3" s="1792" t="s">
        <v>43</v>
      </c>
      <c r="Y3" s="1793"/>
      <c r="Z3" s="1793"/>
      <c r="AA3" s="1793"/>
      <c r="AB3" s="1793"/>
      <c r="AC3" s="1793"/>
      <c r="AD3" s="1793"/>
      <c r="AE3" s="1793"/>
      <c r="AF3" s="1793"/>
      <c r="AG3" s="1793"/>
      <c r="AH3" s="1793"/>
      <c r="AI3" s="1793"/>
      <c r="AJ3" s="1793"/>
      <c r="AK3" s="1794"/>
      <c r="AM3" s="1780" t="s">
        <v>42</v>
      </c>
      <c r="AN3" s="1781"/>
      <c r="AO3" s="1781"/>
      <c r="AP3" s="1781"/>
      <c r="AQ3" s="1781"/>
      <c r="AR3" s="1781"/>
      <c r="AS3" s="1781"/>
      <c r="AT3" s="1781"/>
      <c r="AU3" s="1782"/>
    </row>
    <row r="4" spans="1:52" s="7" customFormat="1" ht="50.25" thickTop="1">
      <c r="A4" s="61"/>
      <c r="B4" s="90" t="s">
        <v>2</v>
      </c>
      <c r="C4" s="79" t="s">
        <v>3</v>
      </c>
      <c r="D4" s="79" t="s">
        <v>0</v>
      </c>
      <c r="E4" s="79" t="s">
        <v>81</v>
      </c>
      <c r="F4" s="97" t="s">
        <v>606</v>
      </c>
      <c r="G4" s="82" t="s">
        <v>1336</v>
      </c>
      <c r="H4" s="83" t="s">
        <v>6</v>
      </c>
      <c r="I4" s="83" t="s">
        <v>609</v>
      </c>
      <c r="J4" s="91" t="s">
        <v>608</v>
      </c>
      <c r="K4" s="69"/>
      <c r="L4" s="85" t="s">
        <v>1</v>
      </c>
      <c r="M4" s="85" t="s">
        <v>50</v>
      </c>
      <c r="N4" s="86" t="s">
        <v>4</v>
      </c>
      <c r="O4" s="86" t="s">
        <v>16</v>
      </c>
      <c r="P4" s="86" t="s">
        <v>53</v>
      </c>
      <c r="Q4" s="87" t="s">
        <v>26</v>
      </c>
      <c r="R4" s="88" t="s">
        <v>11</v>
      </c>
      <c r="S4" s="88" t="s">
        <v>15</v>
      </c>
      <c r="T4" s="88" t="s">
        <v>2490</v>
      </c>
      <c r="U4" s="88" t="s">
        <v>5</v>
      </c>
      <c r="V4" s="89" t="s">
        <v>2491</v>
      </c>
      <c r="X4" s="52" t="str">
        <f t="shared" ref="X4:AA9" si="0">B4</f>
        <v>No.</v>
      </c>
      <c r="Y4" s="53" t="str">
        <f t="shared" si="0"/>
        <v>Ref.</v>
      </c>
      <c r="Z4" s="53" t="str">
        <f t="shared" si="0"/>
        <v>Model</v>
      </c>
      <c r="AA4" s="238" t="str">
        <f t="shared" si="0"/>
        <v>Supply Flow Rate
 CFM</v>
      </c>
      <c r="AB4" s="241" t="str">
        <f t="shared" ref="AB4:AB9" si="1">J4</f>
        <v>ESP
 (Inwg)</v>
      </c>
      <c r="AC4" s="54" t="s">
        <v>396</v>
      </c>
      <c r="AD4" s="54" t="s">
        <v>30</v>
      </c>
      <c r="AE4" s="53" t="s">
        <v>32</v>
      </c>
      <c r="AF4" s="53" t="s">
        <v>397</v>
      </c>
      <c r="AG4" s="53" t="s">
        <v>34</v>
      </c>
      <c r="AH4" s="53" t="s">
        <v>8</v>
      </c>
      <c r="AI4" s="53" t="s">
        <v>36</v>
      </c>
      <c r="AJ4" s="235" t="s">
        <v>654</v>
      </c>
      <c r="AK4" s="236" t="s">
        <v>572</v>
      </c>
      <c r="AL4" s="242"/>
      <c r="AM4" s="48" t="str">
        <f t="shared" ref="AM4:AO9" si="2">B4</f>
        <v>No.</v>
      </c>
      <c r="AN4" s="49" t="str">
        <f t="shared" si="2"/>
        <v>Ref.</v>
      </c>
      <c r="AO4" s="49" t="str">
        <f t="shared" si="2"/>
        <v>Model</v>
      </c>
      <c r="AP4" s="49" t="s">
        <v>39</v>
      </c>
      <c r="AQ4" s="50" t="s">
        <v>40</v>
      </c>
      <c r="AR4" s="50" t="s">
        <v>38</v>
      </c>
      <c r="AS4" s="243" t="s">
        <v>645</v>
      </c>
      <c r="AT4" s="243" t="s">
        <v>2136</v>
      </c>
      <c r="AU4" s="51" t="s">
        <v>41</v>
      </c>
    </row>
    <row r="5" spans="1:52" s="7" customFormat="1" ht="16.5">
      <c r="A5" s="62"/>
      <c r="B5" s="24">
        <v>1</v>
      </c>
      <c r="C5" s="6" t="s">
        <v>49</v>
      </c>
      <c r="D5" s="22" t="s">
        <v>2841</v>
      </c>
      <c r="E5" s="22">
        <f>F5*2.1191</f>
        <v>0</v>
      </c>
      <c r="F5" s="12"/>
      <c r="G5" s="26"/>
      <c r="H5" s="8"/>
      <c r="I5" s="201"/>
      <c r="J5" s="221">
        <f>I5/249</f>
        <v>0</v>
      </c>
      <c r="K5" s="69"/>
      <c r="L5" s="43"/>
      <c r="M5" s="43">
        <f>L5*0.68</f>
        <v>0</v>
      </c>
      <c r="N5" s="9"/>
      <c r="O5" s="9"/>
      <c r="P5" s="9"/>
      <c r="Q5" s="9">
        <f>SUM(M5:P5)</f>
        <v>0</v>
      </c>
      <c r="R5" s="22">
        <f>Q5*3.75</f>
        <v>0</v>
      </c>
      <c r="S5" s="22">
        <f>R5*1.25</f>
        <v>0</v>
      </c>
      <c r="T5" s="22">
        <f>CEILING(S5,5)</f>
        <v>0</v>
      </c>
      <c r="U5" s="22">
        <v>1</v>
      </c>
      <c r="V5" s="23">
        <f>U5*T5</f>
        <v>0</v>
      </c>
      <c r="X5" s="12">
        <f t="shared" si="0"/>
        <v>1</v>
      </c>
      <c r="Y5" s="8" t="str">
        <f t="shared" si="0"/>
        <v>AHU</v>
      </c>
      <c r="Z5" s="8" t="str">
        <f t="shared" si="0"/>
        <v>XXX</v>
      </c>
      <c r="AA5" s="8">
        <f t="shared" si="0"/>
        <v>0</v>
      </c>
      <c r="AB5" s="118">
        <f t="shared" si="1"/>
        <v>0</v>
      </c>
      <c r="AC5" s="118"/>
      <c r="AD5" s="119"/>
      <c r="AE5" s="119"/>
      <c r="AF5" s="119"/>
      <c r="AG5" s="119"/>
      <c r="AH5" s="119">
        <f>SUM(AB5:AG5)</f>
        <v>0</v>
      </c>
      <c r="AI5" s="8"/>
      <c r="AJ5" s="201"/>
      <c r="AK5" s="13"/>
      <c r="AM5" s="12">
        <f t="shared" si="2"/>
        <v>1</v>
      </c>
      <c r="AN5" s="8" t="str">
        <f t="shared" si="2"/>
        <v>AHU</v>
      </c>
      <c r="AO5" s="8" t="str">
        <f t="shared" si="2"/>
        <v>XXX</v>
      </c>
      <c r="AP5" s="210"/>
      <c r="AQ5" s="223"/>
      <c r="AR5" s="223"/>
      <c r="AS5" s="226"/>
      <c r="AT5" s="226"/>
      <c r="AU5" s="213"/>
    </row>
    <row r="6" spans="1:52" s="7" customFormat="1" ht="16.5">
      <c r="A6" s="62"/>
      <c r="B6" s="12">
        <v>2</v>
      </c>
      <c r="C6" s="6"/>
      <c r="D6" s="9"/>
      <c r="E6" s="22">
        <f>F6*2.1191</f>
        <v>0</v>
      </c>
      <c r="F6" s="12"/>
      <c r="G6" s="26"/>
      <c r="H6" s="8"/>
      <c r="I6" s="201"/>
      <c r="J6" s="221">
        <f>I6/249</f>
        <v>0</v>
      </c>
      <c r="K6" s="69"/>
      <c r="L6" s="43"/>
      <c r="M6" s="43">
        <f>L6*0.68</f>
        <v>0</v>
      </c>
      <c r="N6" s="9"/>
      <c r="O6" s="9"/>
      <c r="P6" s="9"/>
      <c r="Q6" s="9">
        <f>SUM(M6:P6)</f>
        <v>0</v>
      </c>
      <c r="R6" s="9">
        <f>Q6*3.75</f>
        <v>0</v>
      </c>
      <c r="S6" s="9">
        <f>R6*1.25</f>
        <v>0</v>
      </c>
      <c r="T6" s="9">
        <f>CEILING(S6,5)</f>
        <v>0</v>
      </c>
      <c r="U6" s="9"/>
      <c r="V6" s="10">
        <f>U6*T6</f>
        <v>0</v>
      </c>
      <c r="X6" s="12">
        <f t="shared" si="0"/>
        <v>2</v>
      </c>
      <c r="Y6" s="8">
        <f t="shared" si="0"/>
        <v>0</v>
      </c>
      <c r="Z6" s="8">
        <f t="shared" si="0"/>
        <v>0</v>
      </c>
      <c r="AA6" s="8">
        <f t="shared" si="0"/>
        <v>0</v>
      </c>
      <c r="AB6" s="118">
        <f t="shared" si="1"/>
        <v>0</v>
      </c>
      <c r="AC6" s="118"/>
      <c r="AD6" s="119"/>
      <c r="AE6" s="119"/>
      <c r="AF6" s="119"/>
      <c r="AG6" s="119"/>
      <c r="AH6" s="119">
        <f>SUM(AB6:AG6)</f>
        <v>0</v>
      </c>
      <c r="AI6" s="8"/>
      <c r="AJ6" s="201"/>
      <c r="AK6" s="13"/>
      <c r="AM6" s="12">
        <f t="shared" si="2"/>
        <v>2</v>
      </c>
      <c r="AN6" s="8">
        <f t="shared" si="2"/>
        <v>0</v>
      </c>
      <c r="AO6" s="8">
        <f t="shared" si="2"/>
        <v>0</v>
      </c>
      <c r="AP6" s="210"/>
      <c r="AQ6" s="223"/>
      <c r="AR6" s="223"/>
      <c r="AS6" s="226"/>
      <c r="AT6" s="226"/>
      <c r="AU6" s="213"/>
    </row>
    <row r="7" spans="1:52" s="7" customFormat="1" ht="16.5">
      <c r="A7" s="62"/>
      <c r="B7" s="12">
        <v>3</v>
      </c>
      <c r="C7" s="6"/>
      <c r="D7" s="9"/>
      <c r="E7" s="22">
        <f>F7*2.1191</f>
        <v>0</v>
      </c>
      <c r="F7" s="12"/>
      <c r="G7" s="26"/>
      <c r="H7" s="8"/>
      <c r="I7" s="201"/>
      <c r="J7" s="221">
        <f>I7/249</f>
        <v>0</v>
      </c>
      <c r="K7" s="69"/>
      <c r="L7" s="43"/>
      <c r="M7" s="43">
        <f>L7*0.68</f>
        <v>0</v>
      </c>
      <c r="N7" s="9"/>
      <c r="O7" s="9"/>
      <c r="P7" s="9"/>
      <c r="Q7" s="9">
        <f>SUM(M7:P7)</f>
        <v>0</v>
      </c>
      <c r="R7" s="9">
        <f>Q7*3.75</f>
        <v>0</v>
      </c>
      <c r="S7" s="9">
        <f>R7*1.25</f>
        <v>0</v>
      </c>
      <c r="T7" s="9">
        <f>CEILING(S7,5)</f>
        <v>0</v>
      </c>
      <c r="U7" s="9"/>
      <c r="V7" s="10">
        <f>U7*T7</f>
        <v>0</v>
      </c>
      <c r="X7" s="12">
        <f t="shared" si="0"/>
        <v>3</v>
      </c>
      <c r="Y7" s="8">
        <f t="shared" si="0"/>
        <v>0</v>
      </c>
      <c r="Z7" s="8">
        <f t="shared" si="0"/>
        <v>0</v>
      </c>
      <c r="AA7" s="8">
        <f t="shared" si="0"/>
        <v>0</v>
      </c>
      <c r="AB7" s="118">
        <f t="shared" si="1"/>
        <v>0</v>
      </c>
      <c r="AC7" s="118"/>
      <c r="AD7" s="119"/>
      <c r="AE7" s="119"/>
      <c r="AF7" s="119"/>
      <c r="AG7" s="119"/>
      <c r="AH7" s="119">
        <f>SUM(AB7:AG7)</f>
        <v>0</v>
      </c>
      <c r="AI7" s="8"/>
      <c r="AJ7" s="201"/>
      <c r="AK7" s="13"/>
      <c r="AM7" s="12">
        <f t="shared" si="2"/>
        <v>3</v>
      </c>
      <c r="AN7" s="8">
        <f t="shared" si="2"/>
        <v>0</v>
      </c>
      <c r="AO7" s="8">
        <f t="shared" si="2"/>
        <v>0</v>
      </c>
      <c r="AP7" s="210"/>
      <c r="AQ7" s="223"/>
      <c r="AR7" s="223"/>
      <c r="AS7" s="226"/>
      <c r="AT7" s="226"/>
      <c r="AU7" s="213"/>
    </row>
    <row r="8" spans="1:52" s="7" customFormat="1" ht="16.5">
      <c r="A8" s="62"/>
      <c r="B8" s="12">
        <v>4</v>
      </c>
      <c r="C8" s="6"/>
      <c r="D8" s="9"/>
      <c r="E8" s="22">
        <f>F8*2.1191</f>
        <v>0</v>
      </c>
      <c r="F8" s="12"/>
      <c r="G8" s="26"/>
      <c r="H8" s="8"/>
      <c r="I8" s="201"/>
      <c r="J8" s="221">
        <f>I8/249</f>
        <v>0</v>
      </c>
      <c r="K8" s="69"/>
      <c r="L8" s="43"/>
      <c r="M8" s="43">
        <f>L8*0.68</f>
        <v>0</v>
      </c>
      <c r="N8" s="9"/>
      <c r="O8" s="9"/>
      <c r="P8" s="9"/>
      <c r="Q8" s="9">
        <f>SUM(M8:P8)</f>
        <v>0</v>
      </c>
      <c r="R8" s="9">
        <f>Q8*3.75</f>
        <v>0</v>
      </c>
      <c r="S8" s="9">
        <f>R8*1.25</f>
        <v>0</v>
      </c>
      <c r="T8" s="9">
        <f>CEILING(S8,5)</f>
        <v>0</v>
      </c>
      <c r="U8" s="9"/>
      <c r="V8" s="10">
        <f>U8*T8</f>
        <v>0</v>
      </c>
      <c r="X8" s="12">
        <f t="shared" si="0"/>
        <v>4</v>
      </c>
      <c r="Y8" s="8">
        <f t="shared" si="0"/>
        <v>0</v>
      </c>
      <c r="Z8" s="8">
        <f t="shared" si="0"/>
        <v>0</v>
      </c>
      <c r="AA8" s="8">
        <f t="shared" si="0"/>
        <v>0</v>
      </c>
      <c r="AB8" s="118">
        <f t="shared" si="1"/>
        <v>0</v>
      </c>
      <c r="AC8" s="118"/>
      <c r="AD8" s="119"/>
      <c r="AE8" s="119"/>
      <c r="AF8" s="119"/>
      <c r="AG8" s="119"/>
      <c r="AH8" s="119">
        <f>SUM(AB8:AG8)</f>
        <v>0</v>
      </c>
      <c r="AI8" s="8"/>
      <c r="AJ8" s="201"/>
      <c r="AK8" s="13"/>
      <c r="AM8" s="12">
        <f t="shared" si="2"/>
        <v>4</v>
      </c>
      <c r="AN8" s="8">
        <f t="shared" si="2"/>
        <v>0</v>
      </c>
      <c r="AO8" s="8">
        <f t="shared" si="2"/>
        <v>0</v>
      </c>
      <c r="AP8" s="210"/>
      <c r="AQ8" s="223"/>
      <c r="AR8" s="223"/>
      <c r="AS8" s="226"/>
      <c r="AT8" s="226"/>
      <c r="AU8" s="213"/>
    </row>
    <row r="9" spans="1:52" s="7" customFormat="1" ht="15.75" customHeight="1" thickBot="1">
      <c r="A9" s="62"/>
      <c r="B9" s="38">
        <v>5</v>
      </c>
      <c r="C9" s="17"/>
      <c r="D9" s="18"/>
      <c r="E9" s="18">
        <f>F9*2.1191</f>
        <v>0</v>
      </c>
      <c r="F9" s="14"/>
      <c r="G9" s="27"/>
      <c r="H9" s="15"/>
      <c r="I9" s="202"/>
      <c r="J9" s="222">
        <f>I9/249</f>
        <v>0</v>
      </c>
      <c r="K9" s="70"/>
      <c r="L9" s="56"/>
      <c r="M9" s="18">
        <f>L9*0.68</f>
        <v>0</v>
      </c>
      <c r="N9" s="18"/>
      <c r="O9" s="18"/>
      <c r="P9" s="18"/>
      <c r="Q9" s="18">
        <f>SUM(M9:P9)</f>
        <v>0</v>
      </c>
      <c r="R9" s="18">
        <f>Q9*3.75</f>
        <v>0</v>
      </c>
      <c r="S9" s="18">
        <f>R9*1.25</f>
        <v>0</v>
      </c>
      <c r="T9" s="18">
        <f>CEILING(S9,5)</f>
        <v>0</v>
      </c>
      <c r="U9" s="18"/>
      <c r="V9" s="19">
        <f>U9*T9</f>
        <v>0</v>
      </c>
      <c r="X9" s="14">
        <f t="shared" si="0"/>
        <v>5</v>
      </c>
      <c r="Y9" s="15">
        <f t="shared" si="0"/>
        <v>0</v>
      </c>
      <c r="Z9" s="15">
        <f t="shared" si="0"/>
        <v>0</v>
      </c>
      <c r="AA9" s="15">
        <f t="shared" si="0"/>
        <v>0</v>
      </c>
      <c r="AB9" s="120">
        <f t="shared" si="1"/>
        <v>0</v>
      </c>
      <c r="AC9" s="120"/>
      <c r="AD9" s="121"/>
      <c r="AE9" s="121"/>
      <c r="AF9" s="121"/>
      <c r="AG9" s="121"/>
      <c r="AH9" s="121">
        <f>SUM(AB9:AG9)</f>
        <v>0</v>
      </c>
      <c r="AI9" s="15"/>
      <c r="AJ9" s="202"/>
      <c r="AK9" s="16"/>
      <c r="AM9" s="14">
        <f t="shared" si="2"/>
        <v>5</v>
      </c>
      <c r="AN9" s="15">
        <f t="shared" si="2"/>
        <v>0</v>
      </c>
      <c r="AO9" s="15">
        <f t="shared" si="2"/>
        <v>0</v>
      </c>
      <c r="AP9" s="211"/>
      <c r="AQ9" s="224"/>
      <c r="AR9" s="224"/>
      <c r="AS9" s="227"/>
      <c r="AT9" s="227"/>
      <c r="AU9" s="214"/>
    </row>
    <row r="10" spans="1:52" s="7" customFormat="1" ht="17.25" thickBot="1">
      <c r="A10" s="62"/>
      <c r="Q10" s="11"/>
      <c r="R10" s="11"/>
      <c r="S10" s="11"/>
      <c r="T10" s="11"/>
      <c r="U10" s="172">
        <f>SUM(U5:U9)</f>
        <v>1</v>
      </c>
      <c r="V10" s="173">
        <f>SUM(V5:V9)</f>
        <v>0</v>
      </c>
    </row>
    <row r="11" spans="1:52" ht="16.5" thickBot="1">
      <c r="A11" s="62"/>
    </row>
    <row r="12" spans="1:52" ht="21" thickBot="1">
      <c r="A12" s="99"/>
      <c r="C12" s="1790" t="s">
        <v>2144</v>
      </c>
      <c r="D12" s="1784"/>
      <c r="E12" s="1784"/>
      <c r="F12" s="1785"/>
    </row>
    <row r="13" spans="1:52" ht="16.5" thickBot="1">
      <c r="A13" s="99"/>
      <c r="C13" s="764" t="s">
        <v>3</v>
      </c>
      <c r="D13" s="765"/>
      <c r="E13" s="765"/>
      <c r="F13" s="766"/>
    </row>
    <row r="14" spans="1:52" ht="15.75">
      <c r="A14" s="62"/>
    </row>
    <row r="15" spans="1:52" ht="15.75">
      <c r="A15" s="62"/>
    </row>
    <row r="16" spans="1:52"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6">
    <mergeCell ref="AM3:AU3"/>
    <mergeCell ref="C12:F12"/>
    <mergeCell ref="B3:E3"/>
    <mergeCell ref="F3:J3"/>
    <mergeCell ref="L3:V3"/>
    <mergeCell ref="X3:AK3"/>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7" r:id="rId4" name="Hide">
          <controlPr defaultSize="0" autoLine="0" r:id="rId5">
            <anchor moveWithCells="1">
              <from>
                <xdr:col>0</xdr:col>
                <xdr:colOff>0</xdr:colOff>
                <xdr:row>2</xdr:row>
                <xdr:rowOff>0</xdr:rowOff>
              </from>
              <to>
                <xdr:col>2</xdr:col>
                <xdr:colOff>200025</xdr:colOff>
                <xdr:row>3</xdr:row>
                <xdr:rowOff>95250</xdr:rowOff>
              </to>
            </anchor>
          </controlPr>
        </control>
      </mc:Choice>
      <mc:Fallback>
        <control shapeId="29697" r:id="rId4" name="Hide"/>
      </mc:Fallback>
    </mc:AlternateContent>
    <mc:AlternateContent xmlns:mc="http://schemas.openxmlformats.org/markup-compatibility/2006">
      <mc:Choice Requires="x14">
        <control shapeId="29698" r:id="rId6" name="Specs">
          <controlPr defaultSize="0" autoLine="0" r:id="rId7">
            <anchor moveWithCells="1">
              <from>
                <xdr:col>0</xdr:col>
                <xdr:colOff>0</xdr:colOff>
                <xdr:row>3</xdr:row>
                <xdr:rowOff>133350</xdr:rowOff>
              </from>
              <to>
                <xdr:col>3</xdr:col>
                <xdr:colOff>123825</xdr:colOff>
                <xdr:row>3</xdr:row>
                <xdr:rowOff>447675</xdr:rowOff>
              </to>
            </anchor>
          </controlPr>
        </control>
      </mc:Choice>
      <mc:Fallback>
        <control shapeId="29698" r:id="rId6" name="Specs"/>
      </mc:Fallback>
    </mc:AlternateContent>
    <mc:AlternateContent xmlns:mc="http://schemas.openxmlformats.org/markup-compatibility/2006">
      <mc:Choice Requires="x14">
        <control shapeId="29699" r:id="rId8" name="Technical">
          <controlPr defaultSize="0" autoLine="0" r:id="rId9">
            <anchor moveWithCells="1">
              <from>
                <xdr:col>0</xdr:col>
                <xdr:colOff>0</xdr:colOff>
                <xdr:row>3</xdr:row>
                <xdr:rowOff>133350</xdr:rowOff>
              </from>
              <to>
                <xdr:col>3</xdr:col>
                <xdr:colOff>123825</xdr:colOff>
                <xdr:row>3</xdr:row>
                <xdr:rowOff>447675</xdr:rowOff>
              </to>
            </anchor>
          </controlPr>
        </control>
      </mc:Choice>
      <mc:Fallback>
        <control shapeId="29699" r:id="rId8" name="Technical"/>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5_Chemical"/>
  <dimension ref="A1:AV56"/>
  <sheetViews>
    <sheetView zoomScale="80" zoomScaleNormal="80" workbookViewId="0">
      <pane xSplit="1" topLeftCell="B1" activePane="topRight" state="frozen"/>
      <selection pane="topRight" activeCell="A4" sqref="A4"/>
    </sheetView>
  </sheetViews>
  <sheetFormatPr defaultColWidth="9.140625" defaultRowHeight="15"/>
  <cols>
    <col min="1" max="1" width="55.7109375" style="1" hidden="1" customWidth="1"/>
    <col min="2" max="2" width="4.42578125" style="1" bestFit="1" customWidth="1"/>
    <col min="3" max="3" width="16.7109375" style="1" customWidth="1"/>
    <col min="4" max="4" width="17" style="1" customWidth="1"/>
    <col min="5" max="5" width="18.7109375" style="1" customWidth="1"/>
    <col min="6" max="6" width="10.85546875" style="1" customWidth="1"/>
    <col min="7" max="7" width="16.7109375" style="1" customWidth="1"/>
    <col min="8" max="8" width="19.140625" style="1" customWidth="1"/>
    <col min="9" max="9" width="9.28515625" style="1" customWidth="1"/>
    <col min="10" max="10" width="9.140625" style="1"/>
    <col min="11" max="11" width="3.42578125" style="1" customWidth="1"/>
    <col min="12" max="12" width="11.7109375" style="1" customWidth="1"/>
    <col min="13" max="13" width="10.7109375" style="1" customWidth="1"/>
    <col min="14" max="17" width="9.140625" style="1"/>
    <col min="18" max="18" width="13.85546875" style="1" customWidth="1"/>
    <col min="19" max="23" width="9.140625" style="1"/>
    <col min="24" max="24" width="4.42578125" style="1" bestFit="1" customWidth="1"/>
    <col min="25" max="26" width="14.7109375" style="1" customWidth="1"/>
    <col min="27" max="27" width="22.140625" style="1" bestFit="1" customWidth="1"/>
    <col min="28" max="28" width="8.5703125" style="1" bestFit="1" customWidth="1"/>
    <col min="29" max="31" width="9.140625" style="1"/>
    <col min="32" max="33" width="10.140625" style="1" bestFit="1" customWidth="1"/>
    <col min="34" max="16384" width="9.140625" style="1"/>
  </cols>
  <sheetData>
    <row r="1" spans="1:48" ht="15.75" hidden="1" customHeight="1" thickBot="1">
      <c r="A1" s="159" t="s">
        <v>394</v>
      </c>
      <c r="B1" s="160">
        <v>0</v>
      </c>
      <c r="C1" s="160">
        <v>1</v>
      </c>
      <c r="D1" s="160">
        <v>2</v>
      </c>
      <c r="E1" s="160">
        <v>3</v>
      </c>
      <c r="F1" s="160">
        <v>0</v>
      </c>
      <c r="G1" s="160">
        <v>0</v>
      </c>
      <c r="H1" s="160">
        <v>0</v>
      </c>
      <c r="I1" s="160">
        <v>0</v>
      </c>
      <c r="J1" s="160">
        <v>4</v>
      </c>
      <c r="K1" s="160">
        <v>0</v>
      </c>
      <c r="L1" s="160">
        <v>0</v>
      </c>
      <c r="M1" s="160">
        <v>0</v>
      </c>
      <c r="N1" s="160">
        <v>0</v>
      </c>
      <c r="O1" s="160">
        <v>0</v>
      </c>
      <c r="P1" s="160">
        <v>0</v>
      </c>
      <c r="Q1" s="160">
        <v>0</v>
      </c>
      <c r="R1" s="160">
        <v>0</v>
      </c>
      <c r="S1" s="160">
        <v>0</v>
      </c>
      <c r="T1" s="160">
        <v>0</v>
      </c>
      <c r="U1" s="160">
        <v>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row>
    <row r="2" spans="1:48" ht="14.25" hidden="1" customHeight="1" thickBot="1">
      <c r="A2" s="62"/>
      <c r="B2" s="1">
        <v>0</v>
      </c>
      <c r="C2" s="1" t="s">
        <v>427</v>
      </c>
      <c r="D2" s="1" t="s">
        <v>428</v>
      </c>
      <c r="E2" s="1" t="s">
        <v>426</v>
      </c>
      <c r="F2" s="1">
        <v>0</v>
      </c>
      <c r="G2" s="1" t="s">
        <v>1335</v>
      </c>
      <c r="H2" s="1">
        <v>0</v>
      </c>
      <c r="I2" s="1">
        <v>0</v>
      </c>
      <c r="J2" s="1" t="s">
        <v>396</v>
      </c>
      <c r="K2" s="1">
        <v>0</v>
      </c>
      <c r="L2" s="1">
        <v>0</v>
      </c>
      <c r="M2" s="1">
        <v>0</v>
      </c>
      <c r="N2" s="1">
        <v>0</v>
      </c>
      <c r="O2" s="1">
        <v>0</v>
      </c>
      <c r="P2" s="1">
        <v>0</v>
      </c>
      <c r="Q2" s="1">
        <v>0</v>
      </c>
      <c r="R2" s="1">
        <v>0</v>
      </c>
      <c r="S2" s="1">
        <v>0</v>
      </c>
      <c r="T2" s="1" t="s">
        <v>2102</v>
      </c>
      <c r="U2" s="1" t="s">
        <v>2100</v>
      </c>
      <c r="V2" s="1" t="s">
        <v>2101</v>
      </c>
      <c r="W2" s="1">
        <v>0</v>
      </c>
      <c r="X2" s="1">
        <v>0</v>
      </c>
      <c r="Y2" s="1">
        <v>0</v>
      </c>
      <c r="Z2" s="1">
        <v>0</v>
      </c>
      <c r="AA2" s="1">
        <v>0</v>
      </c>
      <c r="AB2" s="1">
        <v>0</v>
      </c>
      <c r="AC2" s="1">
        <v>0</v>
      </c>
      <c r="AD2" s="1">
        <v>0</v>
      </c>
      <c r="AE2" s="1">
        <v>0</v>
      </c>
      <c r="AF2" s="1">
        <v>0</v>
      </c>
      <c r="AG2" s="1">
        <v>0</v>
      </c>
      <c r="AH2" s="1">
        <v>0</v>
      </c>
      <c r="AI2" s="1">
        <v>0</v>
      </c>
      <c r="AJ2" s="1">
        <v>0</v>
      </c>
      <c r="AK2" s="1" t="s">
        <v>570</v>
      </c>
      <c r="AL2" s="1" t="s">
        <v>571</v>
      </c>
      <c r="AM2" s="1">
        <v>0</v>
      </c>
      <c r="AN2" s="1">
        <v>0</v>
      </c>
      <c r="AO2" s="1">
        <v>0</v>
      </c>
      <c r="AP2" s="1">
        <v>0</v>
      </c>
      <c r="AQ2" s="1" t="s">
        <v>39</v>
      </c>
      <c r="AR2" s="1" t="s">
        <v>40</v>
      </c>
      <c r="AS2" s="1" t="s">
        <v>38</v>
      </c>
      <c r="AT2" s="1" t="s">
        <v>645</v>
      </c>
      <c r="AU2" s="1" t="s">
        <v>2136</v>
      </c>
      <c r="AV2" s="1" t="s">
        <v>41</v>
      </c>
    </row>
    <row r="3" spans="1:48" s="7" customFormat="1" ht="19.5" customHeight="1" thickTop="1" thickBot="1">
      <c r="A3" s="60" t="s">
        <v>80</v>
      </c>
      <c r="B3" s="1791" t="s">
        <v>21</v>
      </c>
      <c r="C3" s="1776"/>
      <c r="D3" s="1776"/>
      <c r="E3" s="1776"/>
      <c r="F3" s="1786" t="s">
        <v>17</v>
      </c>
      <c r="G3" s="1787"/>
      <c r="H3" s="1788"/>
      <c r="I3" s="1795"/>
      <c r="J3" s="1789"/>
      <c r="K3" s="96"/>
      <c r="L3" s="1777" t="s">
        <v>24</v>
      </c>
      <c r="M3" s="1778"/>
      <c r="N3" s="1778"/>
      <c r="O3" s="1778"/>
      <c r="P3" s="1778"/>
      <c r="Q3" s="1778"/>
      <c r="R3" s="1778"/>
      <c r="S3" s="1778"/>
      <c r="T3" s="1778"/>
      <c r="U3" s="1778"/>
      <c r="V3" s="1779"/>
      <c r="X3" s="1792" t="s">
        <v>43</v>
      </c>
      <c r="Y3" s="1793"/>
      <c r="Z3" s="1793"/>
      <c r="AA3" s="1793"/>
      <c r="AB3" s="1793"/>
      <c r="AC3" s="1793"/>
      <c r="AD3" s="1793"/>
      <c r="AE3" s="1793"/>
      <c r="AF3" s="1793"/>
      <c r="AG3" s="1793"/>
      <c r="AH3" s="1793"/>
      <c r="AI3" s="1793"/>
      <c r="AJ3" s="1793"/>
      <c r="AK3" s="1793"/>
      <c r="AL3" s="1794"/>
      <c r="AN3" s="1780" t="s">
        <v>42</v>
      </c>
      <c r="AO3" s="1781"/>
      <c r="AP3" s="1781"/>
      <c r="AQ3" s="1781"/>
      <c r="AR3" s="1781"/>
      <c r="AS3" s="1781"/>
      <c r="AT3" s="1781"/>
      <c r="AU3" s="1781"/>
      <c r="AV3" s="1782"/>
    </row>
    <row r="4" spans="1:48" s="7" customFormat="1" ht="50.25" thickTop="1">
      <c r="A4" s="61"/>
      <c r="B4" s="90" t="s">
        <v>2</v>
      </c>
      <c r="C4" s="79" t="s">
        <v>3</v>
      </c>
      <c r="D4" s="79" t="s">
        <v>0</v>
      </c>
      <c r="E4" s="92" t="s">
        <v>81</v>
      </c>
      <c r="F4" s="761" t="s">
        <v>2149</v>
      </c>
      <c r="G4" s="82" t="s">
        <v>1336</v>
      </c>
      <c r="H4" s="83" t="s">
        <v>6</v>
      </c>
      <c r="I4" s="83" t="s">
        <v>609</v>
      </c>
      <c r="J4" s="91" t="s">
        <v>608</v>
      </c>
      <c r="K4" s="94"/>
      <c r="L4" s="84" t="s">
        <v>1</v>
      </c>
      <c r="M4" s="85" t="s">
        <v>50</v>
      </c>
      <c r="N4" s="86" t="s">
        <v>4</v>
      </c>
      <c r="O4" s="86" t="s">
        <v>16</v>
      </c>
      <c r="P4" s="86" t="s">
        <v>53</v>
      </c>
      <c r="Q4" s="87" t="s">
        <v>26</v>
      </c>
      <c r="R4" s="88" t="s">
        <v>11</v>
      </c>
      <c r="S4" s="88" t="s">
        <v>15</v>
      </c>
      <c r="T4" s="88" t="s">
        <v>2490</v>
      </c>
      <c r="U4" s="88" t="s">
        <v>5</v>
      </c>
      <c r="V4" s="89" t="s">
        <v>2491</v>
      </c>
      <c r="X4" s="52" t="str">
        <f t="shared" ref="X4:AA9" si="0">B4</f>
        <v>No.</v>
      </c>
      <c r="Y4" s="53" t="str">
        <f t="shared" si="0"/>
        <v>Ref.</v>
      </c>
      <c r="Z4" s="53" t="str">
        <f t="shared" si="0"/>
        <v>Model</v>
      </c>
      <c r="AA4" s="238" t="str">
        <f t="shared" si="0"/>
        <v>Supply Flow Rate
 CFM</v>
      </c>
      <c r="AB4" s="241" t="str">
        <f t="shared" ref="AB4:AB9" si="1">J4</f>
        <v>ESP
 (Inwg)</v>
      </c>
      <c r="AC4" s="54" t="s">
        <v>31</v>
      </c>
      <c r="AD4" s="53" t="s">
        <v>30</v>
      </c>
      <c r="AE4" s="53" t="s">
        <v>32</v>
      </c>
      <c r="AF4" s="238" t="s">
        <v>398</v>
      </c>
      <c r="AG4" s="238" t="s">
        <v>399</v>
      </c>
      <c r="AH4" s="53" t="s">
        <v>34</v>
      </c>
      <c r="AI4" s="53" t="s">
        <v>8</v>
      </c>
      <c r="AJ4" s="53" t="s">
        <v>36</v>
      </c>
      <c r="AK4" s="235" t="s">
        <v>654</v>
      </c>
      <c r="AL4" s="236" t="s">
        <v>572</v>
      </c>
      <c r="AM4" s="242"/>
      <c r="AN4" s="48" t="str">
        <f t="shared" ref="AN4:AP9" si="2">B4</f>
        <v>No.</v>
      </c>
      <c r="AO4" s="49" t="str">
        <f t="shared" si="2"/>
        <v>Ref.</v>
      </c>
      <c r="AP4" s="49" t="str">
        <f t="shared" si="2"/>
        <v>Model</v>
      </c>
      <c r="AQ4" s="49" t="s">
        <v>39</v>
      </c>
      <c r="AR4" s="50" t="s">
        <v>40</v>
      </c>
      <c r="AS4" s="50" t="s">
        <v>38</v>
      </c>
      <c r="AT4" s="243" t="s">
        <v>645</v>
      </c>
      <c r="AU4" s="243" t="s">
        <v>2136</v>
      </c>
      <c r="AV4" s="51" t="s">
        <v>41</v>
      </c>
    </row>
    <row r="5" spans="1:48" s="7" customFormat="1" ht="16.5">
      <c r="A5" s="62"/>
      <c r="B5" s="24">
        <v>1</v>
      </c>
      <c r="C5" s="25" t="s">
        <v>2177</v>
      </c>
      <c r="D5" s="22" t="s">
        <v>413</v>
      </c>
      <c r="E5" s="93">
        <f>F5*2.1191</f>
        <v>0</v>
      </c>
      <c r="F5" s="12"/>
      <c r="G5" s="26" t="s">
        <v>2176</v>
      </c>
      <c r="H5" s="8"/>
      <c r="I5" s="201"/>
      <c r="J5" s="215">
        <f>I5/249</f>
        <v>0</v>
      </c>
      <c r="K5" s="94"/>
      <c r="L5" s="20"/>
      <c r="M5" s="43">
        <f>L5*0.68</f>
        <v>0</v>
      </c>
      <c r="N5" s="9"/>
      <c r="O5" s="9"/>
      <c r="P5" s="9"/>
      <c r="Q5" s="9">
        <f>SUM(M5:P5)</f>
        <v>0</v>
      </c>
      <c r="R5" s="22">
        <f>Q5*3.75</f>
        <v>0</v>
      </c>
      <c r="S5" s="22">
        <f>R5*1.25</f>
        <v>0</v>
      </c>
      <c r="T5" s="22">
        <f>CEILING(S5,5)</f>
        <v>0</v>
      </c>
      <c r="U5" s="22">
        <v>1</v>
      </c>
      <c r="V5" s="23">
        <f>U5*T5</f>
        <v>0</v>
      </c>
      <c r="X5" s="12">
        <f t="shared" si="0"/>
        <v>1</v>
      </c>
      <c r="Y5" s="8" t="str">
        <f t="shared" si="0"/>
        <v>CH1</v>
      </c>
      <c r="Z5" s="8" t="str">
        <f t="shared" si="0"/>
        <v>PAH 050</v>
      </c>
      <c r="AA5" s="8">
        <f t="shared" si="0"/>
        <v>0</v>
      </c>
      <c r="AB5" s="118">
        <f t="shared" si="1"/>
        <v>0</v>
      </c>
      <c r="AC5" s="118"/>
      <c r="AD5" s="119"/>
      <c r="AE5" s="119"/>
      <c r="AF5" s="119"/>
      <c r="AG5" s="119"/>
      <c r="AH5" s="119"/>
      <c r="AI5" s="119">
        <f>SUM(AB5:AH5)</f>
        <v>0</v>
      </c>
      <c r="AJ5" s="8"/>
      <c r="AK5" s="778">
        <v>5.5</v>
      </c>
      <c r="AL5" s="13">
        <v>1</v>
      </c>
      <c r="AN5" s="12">
        <f t="shared" si="2"/>
        <v>1</v>
      </c>
      <c r="AO5" s="8" t="str">
        <f t="shared" si="2"/>
        <v>CH1</v>
      </c>
      <c r="AP5" s="8" t="str">
        <f t="shared" si="2"/>
        <v>PAH 050</v>
      </c>
      <c r="AQ5" s="210"/>
      <c r="AR5" s="223"/>
      <c r="AS5" s="223"/>
      <c r="AT5" s="226"/>
      <c r="AU5" s="226"/>
      <c r="AV5" s="213"/>
    </row>
    <row r="6" spans="1:48" s="7" customFormat="1" ht="16.5">
      <c r="A6" s="62"/>
      <c r="B6" s="12">
        <v>2</v>
      </c>
      <c r="C6" s="6"/>
      <c r="D6" s="9"/>
      <c r="E6" s="93">
        <f>F6*2.1191</f>
        <v>0</v>
      </c>
      <c r="F6" s="12"/>
      <c r="G6" s="26"/>
      <c r="H6" s="8"/>
      <c r="I6" s="201"/>
      <c r="J6" s="215">
        <f>I6/249</f>
        <v>0</v>
      </c>
      <c r="K6" s="94"/>
      <c r="L6" s="20"/>
      <c r="M6" s="43">
        <f>L6*0.68</f>
        <v>0</v>
      </c>
      <c r="N6" s="9"/>
      <c r="O6" s="9"/>
      <c r="P6" s="9"/>
      <c r="Q6" s="9">
        <f>SUM(M6:P6)</f>
        <v>0</v>
      </c>
      <c r="R6" s="9">
        <f>Q6*3.75</f>
        <v>0</v>
      </c>
      <c r="S6" s="9">
        <f>R6*1.25</f>
        <v>0</v>
      </c>
      <c r="T6" s="9">
        <f>CEILING(S6,5)</f>
        <v>0</v>
      </c>
      <c r="U6" s="9"/>
      <c r="V6" s="10">
        <f>U6*T6</f>
        <v>0</v>
      </c>
      <c r="X6" s="12">
        <f t="shared" si="0"/>
        <v>2</v>
      </c>
      <c r="Y6" s="8">
        <f t="shared" si="0"/>
        <v>0</v>
      </c>
      <c r="Z6" s="8">
        <f t="shared" si="0"/>
        <v>0</v>
      </c>
      <c r="AA6" s="8">
        <f t="shared" si="0"/>
        <v>0</v>
      </c>
      <c r="AB6" s="118">
        <f t="shared" si="1"/>
        <v>0</v>
      </c>
      <c r="AC6" s="118"/>
      <c r="AD6" s="119"/>
      <c r="AE6" s="119"/>
      <c r="AF6" s="119"/>
      <c r="AG6" s="119"/>
      <c r="AH6" s="119"/>
      <c r="AI6" s="119">
        <f>SUM(AB6:AH6)</f>
        <v>0</v>
      </c>
      <c r="AJ6" s="8"/>
      <c r="AK6" s="201"/>
      <c r="AL6" s="13"/>
      <c r="AN6" s="12">
        <f t="shared" si="2"/>
        <v>2</v>
      </c>
      <c r="AO6" s="8">
        <f t="shared" si="2"/>
        <v>0</v>
      </c>
      <c r="AP6" s="8">
        <f t="shared" si="2"/>
        <v>0</v>
      </c>
      <c r="AQ6" s="210"/>
      <c r="AR6" s="223"/>
      <c r="AS6" s="223"/>
      <c r="AT6" s="226"/>
      <c r="AU6" s="226"/>
      <c r="AV6" s="213"/>
    </row>
    <row r="7" spans="1:48" s="7" customFormat="1" ht="16.5">
      <c r="A7" s="62"/>
      <c r="B7" s="12">
        <v>3</v>
      </c>
      <c r="C7" s="6"/>
      <c r="D7" s="9"/>
      <c r="E7" s="93">
        <f>F7*2.1191</f>
        <v>0</v>
      </c>
      <c r="F7" s="12"/>
      <c r="G7" s="26"/>
      <c r="H7" s="8"/>
      <c r="I7" s="201"/>
      <c r="J7" s="215">
        <f>I7/249</f>
        <v>0</v>
      </c>
      <c r="K7" s="94"/>
      <c r="L7" s="20"/>
      <c r="M7" s="43">
        <f>L7*0.68</f>
        <v>0</v>
      </c>
      <c r="N7" s="9"/>
      <c r="O7" s="9"/>
      <c r="P7" s="9"/>
      <c r="Q7" s="9">
        <f>SUM(M7:P7)</f>
        <v>0</v>
      </c>
      <c r="R7" s="9">
        <f>Q7*3.75</f>
        <v>0</v>
      </c>
      <c r="S7" s="9">
        <f>R7*1.25</f>
        <v>0</v>
      </c>
      <c r="T7" s="9">
        <f>CEILING(S7,5)</f>
        <v>0</v>
      </c>
      <c r="U7" s="9"/>
      <c r="V7" s="10">
        <f>U7*T7</f>
        <v>0</v>
      </c>
      <c r="X7" s="12">
        <f t="shared" si="0"/>
        <v>3</v>
      </c>
      <c r="Y7" s="8">
        <f t="shared" si="0"/>
        <v>0</v>
      </c>
      <c r="Z7" s="8">
        <f t="shared" si="0"/>
        <v>0</v>
      </c>
      <c r="AA7" s="8">
        <f t="shared" si="0"/>
        <v>0</v>
      </c>
      <c r="AB7" s="118">
        <f t="shared" si="1"/>
        <v>0</v>
      </c>
      <c r="AC7" s="118"/>
      <c r="AD7" s="119"/>
      <c r="AE7" s="119"/>
      <c r="AF7" s="119"/>
      <c r="AG7" s="119"/>
      <c r="AH7" s="119"/>
      <c r="AI7" s="119">
        <f>SUM(AB7:AH7)</f>
        <v>0</v>
      </c>
      <c r="AJ7" s="8"/>
      <c r="AK7" s="201"/>
      <c r="AL7" s="13"/>
      <c r="AN7" s="12">
        <f t="shared" si="2"/>
        <v>3</v>
      </c>
      <c r="AO7" s="8">
        <f t="shared" si="2"/>
        <v>0</v>
      </c>
      <c r="AP7" s="8">
        <f t="shared" si="2"/>
        <v>0</v>
      </c>
      <c r="AQ7" s="210"/>
      <c r="AR7" s="223"/>
      <c r="AS7" s="223"/>
      <c r="AT7" s="226"/>
      <c r="AU7" s="226"/>
      <c r="AV7" s="213"/>
    </row>
    <row r="8" spans="1:48" s="7" customFormat="1" ht="16.5">
      <c r="A8" s="62"/>
      <c r="B8" s="12">
        <v>4</v>
      </c>
      <c r="C8" s="6"/>
      <c r="D8" s="9"/>
      <c r="E8" s="93">
        <f>F8*2.1191</f>
        <v>0</v>
      </c>
      <c r="F8" s="12"/>
      <c r="G8" s="26"/>
      <c r="H8" s="8"/>
      <c r="I8" s="201"/>
      <c r="J8" s="215">
        <f>I8/249</f>
        <v>0</v>
      </c>
      <c r="K8" s="94"/>
      <c r="L8" s="20"/>
      <c r="M8" s="43">
        <f>L8*0.68</f>
        <v>0</v>
      </c>
      <c r="N8" s="9"/>
      <c r="O8" s="9"/>
      <c r="P8" s="9"/>
      <c r="Q8" s="9">
        <f>SUM(M8:P8)</f>
        <v>0</v>
      </c>
      <c r="R8" s="9">
        <f>Q8*3.75</f>
        <v>0</v>
      </c>
      <c r="S8" s="9">
        <f>R8*1.25</f>
        <v>0</v>
      </c>
      <c r="T8" s="9">
        <f>CEILING(S8,5)</f>
        <v>0</v>
      </c>
      <c r="U8" s="9"/>
      <c r="V8" s="10">
        <f>U8*T8</f>
        <v>0</v>
      </c>
      <c r="X8" s="12">
        <f t="shared" si="0"/>
        <v>4</v>
      </c>
      <c r="Y8" s="8">
        <f t="shared" si="0"/>
        <v>0</v>
      </c>
      <c r="Z8" s="8">
        <f t="shared" si="0"/>
        <v>0</v>
      </c>
      <c r="AA8" s="8">
        <f t="shared" si="0"/>
        <v>0</v>
      </c>
      <c r="AB8" s="118">
        <f t="shared" si="1"/>
        <v>0</v>
      </c>
      <c r="AC8" s="118"/>
      <c r="AD8" s="119"/>
      <c r="AE8" s="119"/>
      <c r="AF8" s="119"/>
      <c r="AG8" s="119"/>
      <c r="AH8" s="119"/>
      <c r="AI8" s="119">
        <f>SUM(AB8:AH8)</f>
        <v>0</v>
      </c>
      <c r="AJ8" s="8"/>
      <c r="AK8" s="201"/>
      <c r="AL8" s="13"/>
      <c r="AN8" s="12">
        <f t="shared" si="2"/>
        <v>4</v>
      </c>
      <c r="AO8" s="8">
        <f t="shared" si="2"/>
        <v>0</v>
      </c>
      <c r="AP8" s="8">
        <f t="shared" si="2"/>
        <v>0</v>
      </c>
      <c r="AQ8" s="210"/>
      <c r="AR8" s="223"/>
      <c r="AS8" s="223"/>
      <c r="AT8" s="226"/>
      <c r="AU8" s="226"/>
      <c r="AV8" s="213"/>
    </row>
    <row r="9" spans="1:48" s="7" customFormat="1" ht="15.75" customHeight="1" thickBot="1">
      <c r="A9" s="62"/>
      <c r="B9" s="38">
        <v>5</v>
      </c>
      <c r="C9" s="17"/>
      <c r="D9" s="18"/>
      <c r="E9" s="171">
        <f>F9*2.1191</f>
        <v>0</v>
      </c>
      <c r="F9" s="14"/>
      <c r="G9" s="27"/>
      <c r="H9" s="15"/>
      <c r="I9" s="202"/>
      <c r="J9" s="216">
        <f>I9/249</f>
        <v>0</v>
      </c>
      <c r="K9" s="95"/>
      <c r="L9" s="21"/>
      <c r="M9" s="18">
        <f>L9*0.68</f>
        <v>0</v>
      </c>
      <c r="N9" s="18"/>
      <c r="O9" s="18"/>
      <c r="P9" s="18"/>
      <c r="Q9" s="18">
        <f>SUM(M9:P9)</f>
        <v>0</v>
      </c>
      <c r="R9" s="18">
        <f>Q9*3.75</f>
        <v>0</v>
      </c>
      <c r="S9" s="18">
        <f>R9*1.25</f>
        <v>0</v>
      </c>
      <c r="T9" s="18">
        <f>CEILING(S9,5)</f>
        <v>0</v>
      </c>
      <c r="U9" s="18"/>
      <c r="V9" s="19">
        <f>U9*T9</f>
        <v>0</v>
      </c>
      <c r="X9" s="14">
        <f t="shared" si="0"/>
        <v>5</v>
      </c>
      <c r="Y9" s="15">
        <f t="shared" si="0"/>
        <v>0</v>
      </c>
      <c r="Z9" s="15">
        <f t="shared" si="0"/>
        <v>0</v>
      </c>
      <c r="AA9" s="15">
        <f t="shared" si="0"/>
        <v>0</v>
      </c>
      <c r="AB9" s="120">
        <f t="shared" si="1"/>
        <v>0</v>
      </c>
      <c r="AC9" s="120"/>
      <c r="AD9" s="121"/>
      <c r="AE9" s="121"/>
      <c r="AF9" s="121"/>
      <c r="AG9" s="121"/>
      <c r="AH9" s="121"/>
      <c r="AI9" s="121">
        <f>SUM(AB9:AH9)</f>
        <v>0</v>
      </c>
      <c r="AJ9" s="15"/>
      <c r="AK9" s="202"/>
      <c r="AL9" s="16"/>
      <c r="AN9" s="14">
        <f t="shared" si="2"/>
        <v>5</v>
      </c>
      <c r="AO9" s="15">
        <f t="shared" si="2"/>
        <v>0</v>
      </c>
      <c r="AP9" s="15">
        <f t="shared" si="2"/>
        <v>0</v>
      </c>
      <c r="AQ9" s="211"/>
      <c r="AR9" s="224"/>
      <c r="AS9" s="224"/>
      <c r="AT9" s="227"/>
      <c r="AU9" s="227"/>
      <c r="AV9" s="214"/>
    </row>
    <row r="10" spans="1:48" s="7" customFormat="1" ht="17.25" thickBot="1">
      <c r="A10" s="62"/>
      <c r="Q10" s="11"/>
      <c r="R10" s="11"/>
      <c r="S10" s="11"/>
      <c r="T10" s="11"/>
      <c r="U10" s="172">
        <f>SUM(U5:U9)</f>
        <v>1</v>
      </c>
      <c r="V10" s="173">
        <f>SUM(V5:V9)</f>
        <v>0</v>
      </c>
    </row>
    <row r="11" spans="1:48" ht="16.5" thickBot="1">
      <c r="A11" s="62"/>
    </row>
    <row r="12" spans="1:48" ht="21" thickBot="1">
      <c r="A12" s="62"/>
      <c r="C12" s="1790" t="s">
        <v>2145</v>
      </c>
      <c r="D12" s="1784"/>
      <c r="E12" s="1784"/>
      <c r="F12" s="1785"/>
    </row>
    <row r="13" spans="1:48" ht="15.75">
      <c r="A13" s="62"/>
      <c r="C13" s="39" t="s">
        <v>3</v>
      </c>
      <c r="D13" s="39"/>
      <c r="E13" s="39"/>
      <c r="F13" s="39"/>
    </row>
    <row r="14" spans="1:48" ht="15.75">
      <c r="A14" s="62"/>
    </row>
    <row r="15" spans="1:48" ht="15.75">
      <c r="A15" s="62"/>
    </row>
    <row r="16" spans="1:48"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6">
    <mergeCell ref="AN3:AV3"/>
    <mergeCell ref="C12:F12"/>
    <mergeCell ref="B3:E3"/>
    <mergeCell ref="F3:J3"/>
    <mergeCell ref="L3:V3"/>
    <mergeCell ref="X3:AL3"/>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2769" r:id="rId4" name="Hide">
          <controlPr defaultSize="0" autoLine="0" r:id="rId5">
            <anchor moveWithCells="1">
              <from>
                <xdr:col>0</xdr:col>
                <xdr:colOff>0</xdr:colOff>
                <xdr:row>2</xdr:row>
                <xdr:rowOff>0</xdr:rowOff>
              </from>
              <to>
                <xdr:col>2</xdr:col>
                <xdr:colOff>200025</xdr:colOff>
                <xdr:row>3</xdr:row>
                <xdr:rowOff>95250</xdr:rowOff>
              </to>
            </anchor>
          </controlPr>
        </control>
      </mc:Choice>
      <mc:Fallback>
        <control shapeId="32769" r:id="rId4" name="Hide"/>
      </mc:Fallback>
    </mc:AlternateContent>
    <mc:AlternateContent xmlns:mc="http://schemas.openxmlformats.org/markup-compatibility/2006">
      <mc:Choice Requires="x14">
        <control shapeId="32770" r:id="rId6" name="Specs">
          <controlPr defaultSize="0" autoLine="0" r:id="rId7">
            <anchor moveWithCells="1">
              <from>
                <xdr:col>0</xdr:col>
                <xdr:colOff>0</xdr:colOff>
                <xdr:row>3</xdr:row>
                <xdr:rowOff>133350</xdr:rowOff>
              </from>
              <to>
                <xdr:col>3</xdr:col>
                <xdr:colOff>123825</xdr:colOff>
                <xdr:row>3</xdr:row>
                <xdr:rowOff>447675</xdr:rowOff>
              </to>
            </anchor>
          </controlPr>
        </control>
      </mc:Choice>
      <mc:Fallback>
        <control shapeId="32770" r:id="rId6" name="Specs"/>
      </mc:Fallback>
    </mc:AlternateContent>
    <mc:AlternateContent xmlns:mc="http://schemas.openxmlformats.org/markup-compatibility/2006">
      <mc:Choice Requires="x14">
        <control shapeId="32771" r:id="rId8" name="Technical">
          <controlPr defaultSize="0" autoLine="0" r:id="rId9">
            <anchor moveWithCells="1">
              <from>
                <xdr:col>0</xdr:col>
                <xdr:colOff>0</xdr:colOff>
                <xdr:row>3</xdr:row>
                <xdr:rowOff>133350</xdr:rowOff>
              </from>
              <to>
                <xdr:col>3</xdr:col>
                <xdr:colOff>123825</xdr:colOff>
                <xdr:row>3</xdr:row>
                <xdr:rowOff>447675</xdr:rowOff>
              </to>
            </anchor>
          </controlPr>
        </control>
      </mc:Choice>
      <mc:Fallback>
        <control shapeId="32771" r:id="rId8" name="Technical"/>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2_CM"/>
  <dimension ref="A1:BQ56"/>
  <sheetViews>
    <sheetView zoomScale="80" zoomScaleNormal="80" workbookViewId="0">
      <pane xSplit="1" topLeftCell="B1" activePane="topRight" state="frozen"/>
      <selection pane="topRight" activeCell="AJ18" sqref="AJ18"/>
    </sheetView>
  </sheetViews>
  <sheetFormatPr defaultColWidth="9.140625" defaultRowHeight="15"/>
  <cols>
    <col min="1" max="1" width="55.7109375" style="1" hidden="1" customWidth="1"/>
    <col min="2" max="2" width="6" style="1" customWidth="1"/>
    <col min="3" max="4" width="15.85546875" style="1" customWidth="1"/>
    <col min="5" max="5" width="16.5703125" style="1" customWidth="1"/>
    <col min="6" max="9" width="9.140625" style="1"/>
    <col min="10" max="10" width="12.42578125" style="1" bestFit="1" customWidth="1"/>
    <col min="11" max="11" width="9.140625" style="1"/>
    <col min="12" max="12" width="11.5703125" style="1" customWidth="1"/>
    <col min="13" max="13" width="10.85546875" style="1" bestFit="1" customWidth="1"/>
    <col min="14" max="14" width="8.5703125" style="1" customWidth="1"/>
    <col min="15" max="15" width="9.85546875" style="1" customWidth="1"/>
    <col min="16" max="16" width="9.140625" style="1"/>
    <col min="17" max="17" width="18.5703125" style="1" customWidth="1"/>
    <col min="18" max="21" width="9.140625" style="1"/>
    <col min="22" max="23" width="5.42578125" style="1" customWidth="1"/>
    <col min="24" max="29" width="7.7109375" style="1" customWidth="1"/>
    <col min="30" max="30" width="3.85546875" style="1" customWidth="1"/>
    <col min="31" max="31" width="11.140625" style="1" bestFit="1" customWidth="1"/>
    <col min="32" max="36" width="9.140625" style="1"/>
    <col min="37" max="37" width="12.5703125" style="1" customWidth="1"/>
    <col min="38" max="45" width="9.140625" style="1"/>
    <col min="46" max="46" width="22.140625" style="1" bestFit="1" customWidth="1"/>
    <col min="47" max="47" width="11.5703125" style="1" customWidth="1"/>
    <col min="48" max="16384" width="9.140625" style="1"/>
  </cols>
  <sheetData>
    <row r="1" spans="1:69" ht="15.75" hidden="1" customHeight="1" thickBot="1">
      <c r="A1" s="159" t="s">
        <v>394</v>
      </c>
      <c r="B1" s="160">
        <v>0</v>
      </c>
      <c r="C1" s="160">
        <v>1</v>
      </c>
      <c r="D1" s="160">
        <v>2</v>
      </c>
      <c r="E1" s="160">
        <v>3</v>
      </c>
      <c r="F1" s="160">
        <v>4</v>
      </c>
      <c r="G1" s="160">
        <v>0</v>
      </c>
      <c r="H1" s="160">
        <v>0</v>
      </c>
      <c r="I1" s="160">
        <v>0</v>
      </c>
      <c r="J1" s="160">
        <v>0</v>
      </c>
      <c r="K1" s="160">
        <v>5</v>
      </c>
      <c r="L1" s="160">
        <v>6</v>
      </c>
      <c r="M1" s="160">
        <v>7</v>
      </c>
      <c r="N1" s="160">
        <v>0</v>
      </c>
      <c r="O1" s="160">
        <v>8</v>
      </c>
      <c r="P1" s="160">
        <v>9</v>
      </c>
      <c r="Q1" s="160">
        <v>0</v>
      </c>
      <c r="R1" s="160">
        <v>10</v>
      </c>
      <c r="S1" s="160">
        <v>0</v>
      </c>
      <c r="T1" s="160">
        <v>0</v>
      </c>
      <c r="U1" s="160">
        <v>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c r="BE1" s="160">
        <v>0</v>
      </c>
      <c r="BF1" s="160">
        <v>0</v>
      </c>
      <c r="BG1" s="160">
        <v>0</v>
      </c>
      <c r="BH1" s="160">
        <v>0</v>
      </c>
      <c r="BI1" s="160">
        <v>0</v>
      </c>
      <c r="BJ1" s="160">
        <v>0</v>
      </c>
      <c r="BK1" s="160">
        <v>0</v>
      </c>
      <c r="BL1" s="160">
        <v>0</v>
      </c>
      <c r="BM1" s="160">
        <v>0</v>
      </c>
      <c r="BN1" s="160">
        <v>0</v>
      </c>
      <c r="BO1" s="160">
        <v>0</v>
      </c>
      <c r="BP1" s="160">
        <v>0</v>
      </c>
      <c r="BQ1" s="160">
        <v>0</v>
      </c>
    </row>
    <row r="2" spans="1:69" ht="14.25" hidden="1" customHeight="1" thickBot="1">
      <c r="A2" s="62"/>
      <c r="B2" s="1">
        <v>0</v>
      </c>
      <c r="C2" s="1" t="s">
        <v>427</v>
      </c>
      <c r="D2" s="1" t="s">
        <v>428</v>
      </c>
      <c r="E2" s="1" t="s">
        <v>426</v>
      </c>
      <c r="F2" s="1" t="s">
        <v>2098</v>
      </c>
      <c r="G2" s="1" t="s">
        <v>2099</v>
      </c>
      <c r="H2" s="1" t="s">
        <v>2116</v>
      </c>
      <c r="I2" s="1" t="s">
        <v>2117</v>
      </c>
      <c r="J2" s="1" t="s">
        <v>2120</v>
      </c>
      <c r="K2" s="1" t="s">
        <v>2104</v>
      </c>
      <c r="L2" s="1" t="s">
        <v>2662</v>
      </c>
      <c r="M2" s="1">
        <v>0</v>
      </c>
      <c r="N2" s="1">
        <v>0</v>
      </c>
      <c r="O2" s="1">
        <v>0</v>
      </c>
      <c r="P2" s="1">
        <v>0</v>
      </c>
      <c r="Q2" s="1" t="s">
        <v>1335</v>
      </c>
      <c r="R2" s="1" t="s">
        <v>578</v>
      </c>
      <c r="S2" s="1" t="s">
        <v>1331</v>
      </c>
      <c r="T2" s="1">
        <v>0</v>
      </c>
      <c r="U2" s="1" t="s">
        <v>396</v>
      </c>
      <c r="V2" s="1" t="s">
        <v>2658</v>
      </c>
      <c r="W2" s="1" t="s">
        <v>2659</v>
      </c>
      <c r="X2" s="1">
        <v>0</v>
      </c>
      <c r="Y2" s="1">
        <v>0</v>
      </c>
      <c r="Z2" s="1" t="s">
        <v>2660</v>
      </c>
      <c r="AA2" s="1" t="s">
        <v>2661</v>
      </c>
      <c r="AB2" s="1">
        <v>0</v>
      </c>
      <c r="AC2" s="1">
        <v>0</v>
      </c>
      <c r="AD2" s="1">
        <v>0</v>
      </c>
      <c r="AE2" s="1">
        <v>0</v>
      </c>
      <c r="AF2" s="1">
        <v>0</v>
      </c>
      <c r="AG2" s="1">
        <v>0</v>
      </c>
      <c r="AH2" s="1">
        <v>0</v>
      </c>
      <c r="AI2" s="1">
        <v>0</v>
      </c>
      <c r="AJ2" s="1">
        <v>0</v>
      </c>
      <c r="AK2" s="1">
        <v>0</v>
      </c>
      <c r="AL2" s="1">
        <v>0</v>
      </c>
      <c r="AM2" s="1" t="s">
        <v>2102</v>
      </c>
      <c r="AN2" s="1" t="s">
        <v>2100</v>
      </c>
      <c r="AO2" s="1" t="s">
        <v>2101</v>
      </c>
      <c r="AP2" s="1">
        <v>0</v>
      </c>
      <c r="AQ2" s="1">
        <v>0</v>
      </c>
      <c r="AR2" s="1">
        <v>0</v>
      </c>
      <c r="AS2" s="1">
        <v>0</v>
      </c>
      <c r="AT2" s="1">
        <v>0</v>
      </c>
      <c r="AU2" s="1">
        <v>0</v>
      </c>
      <c r="AV2" s="1">
        <v>0</v>
      </c>
      <c r="AW2" s="1">
        <v>0</v>
      </c>
      <c r="AX2" s="1">
        <v>0</v>
      </c>
      <c r="AY2" s="1">
        <v>0</v>
      </c>
      <c r="AZ2" s="1" t="s">
        <v>2119</v>
      </c>
      <c r="BA2" s="1">
        <v>0</v>
      </c>
      <c r="BB2" s="1">
        <v>0</v>
      </c>
      <c r="BC2" s="1">
        <v>0</v>
      </c>
      <c r="BD2" s="1" t="s">
        <v>570</v>
      </c>
      <c r="BE2" s="1" t="s">
        <v>571</v>
      </c>
      <c r="BF2" s="1">
        <v>0</v>
      </c>
      <c r="BG2" s="1">
        <v>0</v>
      </c>
      <c r="BH2" s="1">
        <v>0</v>
      </c>
      <c r="BI2" s="1">
        <v>0</v>
      </c>
      <c r="BJ2" s="1" t="s">
        <v>39</v>
      </c>
      <c r="BK2" s="1" t="s">
        <v>40</v>
      </c>
      <c r="BL2" s="1" t="s">
        <v>38</v>
      </c>
      <c r="BM2" s="1" t="s">
        <v>645</v>
      </c>
      <c r="BN2" s="1" t="s">
        <v>2136</v>
      </c>
      <c r="BO2" s="1" t="s">
        <v>41</v>
      </c>
      <c r="BP2" s="1">
        <v>0</v>
      </c>
      <c r="BQ2" s="1">
        <v>0</v>
      </c>
    </row>
    <row r="3" spans="1:69" s="7" customFormat="1" ht="19.5" customHeight="1" thickTop="1" thickBot="1">
      <c r="A3" s="60" t="s">
        <v>80</v>
      </c>
      <c r="B3" s="1791" t="s">
        <v>21</v>
      </c>
      <c r="C3" s="1776"/>
      <c r="D3" s="1776"/>
      <c r="E3" s="1776"/>
      <c r="F3" s="1776"/>
      <c r="G3" s="1776"/>
      <c r="H3" s="1776"/>
      <c r="I3" s="1776"/>
      <c r="J3" s="1776"/>
      <c r="K3" s="1799"/>
      <c r="L3" s="1796" t="s">
        <v>17</v>
      </c>
      <c r="M3" s="1797"/>
      <c r="N3" s="1797"/>
      <c r="O3" s="1797"/>
      <c r="P3" s="1797"/>
      <c r="Q3" s="1797"/>
      <c r="R3" s="1797"/>
      <c r="S3" s="1797"/>
      <c r="T3" s="1797"/>
      <c r="U3" s="1797"/>
      <c r="V3" s="1797"/>
      <c r="W3" s="1797"/>
      <c r="X3" s="1797"/>
      <c r="Y3" s="1797"/>
      <c r="Z3" s="1797"/>
      <c r="AA3" s="1797"/>
      <c r="AB3" s="1797"/>
      <c r="AC3" s="1798"/>
      <c r="AD3" s="68"/>
      <c r="AE3" s="1800" t="s">
        <v>24</v>
      </c>
      <c r="AF3" s="1801"/>
      <c r="AG3" s="1801"/>
      <c r="AH3" s="1801"/>
      <c r="AI3" s="1801"/>
      <c r="AJ3" s="1801"/>
      <c r="AK3" s="1801"/>
      <c r="AL3" s="1801"/>
      <c r="AM3" s="1801"/>
      <c r="AN3" s="1801"/>
      <c r="AO3" s="1802"/>
      <c r="AQ3" s="1792" t="s">
        <v>43</v>
      </c>
      <c r="AR3" s="1793"/>
      <c r="AS3" s="1793"/>
      <c r="AT3" s="1793"/>
      <c r="AU3" s="1793"/>
      <c r="AV3" s="1793"/>
      <c r="AW3" s="1793"/>
      <c r="AX3" s="1793"/>
      <c r="AY3" s="1793"/>
      <c r="AZ3" s="1793"/>
      <c r="BA3" s="1793"/>
      <c r="BB3" s="1793"/>
      <c r="BC3" s="1793"/>
      <c r="BD3" s="1793"/>
      <c r="BE3" s="1794"/>
      <c r="BG3" s="1780" t="s">
        <v>42</v>
      </c>
      <c r="BH3" s="1781"/>
      <c r="BI3" s="1781"/>
      <c r="BJ3" s="1781"/>
      <c r="BK3" s="1781"/>
      <c r="BL3" s="1781"/>
      <c r="BM3" s="1781"/>
      <c r="BN3" s="1781"/>
      <c r="BO3" s="1782"/>
    </row>
    <row r="4" spans="1:69" s="7" customFormat="1" ht="50.25" thickTop="1">
      <c r="A4" s="98"/>
      <c r="B4" s="90" t="s">
        <v>2</v>
      </c>
      <c r="C4" s="79" t="s">
        <v>3</v>
      </c>
      <c r="D4" s="79" t="s">
        <v>0</v>
      </c>
      <c r="E4" s="79" t="s">
        <v>81</v>
      </c>
      <c r="F4" s="79" t="s">
        <v>87</v>
      </c>
      <c r="G4" s="79" t="s">
        <v>582</v>
      </c>
      <c r="H4" s="92" t="s">
        <v>583</v>
      </c>
      <c r="I4" s="92" t="s">
        <v>584</v>
      </c>
      <c r="J4" s="92" t="s">
        <v>2121</v>
      </c>
      <c r="K4" s="80" t="s">
        <v>14</v>
      </c>
      <c r="L4" s="83" t="s">
        <v>595</v>
      </c>
      <c r="M4" s="83" t="s">
        <v>596</v>
      </c>
      <c r="N4" s="83" t="s">
        <v>597</v>
      </c>
      <c r="O4" s="82" t="s">
        <v>2149</v>
      </c>
      <c r="P4" s="82" t="s">
        <v>6</v>
      </c>
      <c r="Q4" s="82" t="s">
        <v>1336</v>
      </c>
      <c r="R4" s="83" t="s">
        <v>599</v>
      </c>
      <c r="S4" s="82" t="s">
        <v>2137</v>
      </c>
      <c r="T4" s="82" t="s">
        <v>610</v>
      </c>
      <c r="U4" s="82" t="s">
        <v>611</v>
      </c>
      <c r="V4" s="83" t="s">
        <v>585</v>
      </c>
      <c r="W4" s="83" t="s">
        <v>586</v>
      </c>
      <c r="X4" s="83" t="s">
        <v>587</v>
      </c>
      <c r="Y4" s="83" t="s">
        <v>588</v>
      </c>
      <c r="Z4" s="83" t="s">
        <v>589</v>
      </c>
      <c r="AA4" s="83" t="s">
        <v>590</v>
      </c>
      <c r="AB4" s="83" t="s">
        <v>591</v>
      </c>
      <c r="AC4" s="91" t="s">
        <v>592</v>
      </c>
      <c r="AD4" s="69"/>
      <c r="AE4" s="88" t="s">
        <v>10</v>
      </c>
      <c r="AF4" s="88" t="s">
        <v>4</v>
      </c>
      <c r="AG4" s="88" t="s">
        <v>25</v>
      </c>
      <c r="AH4" s="88" t="s">
        <v>16</v>
      </c>
      <c r="AI4" s="88" t="s">
        <v>53</v>
      </c>
      <c r="AJ4" s="88" t="s">
        <v>26</v>
      </c>
      <c r="AK4" s="88" t="s">
        <v>11</v>
      </c>
      <c r="AL4" s="88" t="s">
        <v>15</v>
      </c>
      <c r="AM4" s="88" t="s">
        <v>2490</v>
      </c>
      <c r="AN4" s="88" t="s">
        <v>5</v>
      </c>
      <c r="AO4" s="89" t="s">
        <v>2491</v>
      </c>
      <c r="AQ4" s="52" t="str">
        <f t="shared" ref="AQ4:AT9" si="0">B4</f>
        <v>No.</v>
      </c>
      <c r="AR4" s="53" t="str">
        <f t="shared" si="0"/>
        <v>Ref.</v>
      </c>
      <c r="AS4" s="53" t="str">
        <f t="shared" si="0"/>
        <v>Model</v>
      </c>
      <c r="AT4" s="238" t="str">
        <f t="shared" si="0"/>
        <v>Supply Flow Rate
 CFM</v>
      </c>
      <c r="AU4" s="241" t="str">
        <f t="shared" ref="AU4:AU9" si="1">U4</f>
        <v>ESP
  (Inwg)</v>
      </c>
      <c r="AV4" s="54" t="s">
        <v>31</v>
      </c>
      <c r="AW4" s="54" t="s">
        <v>29</v>
      </c>
      <c r="AX4" s="53" t="s">
        <v>30</v>
      </c>
      <c r="AY4" s="53" t="s">
        <v>32</v>
      </c>
      <c r="AZ4" s="53" t="s">
        <v>33</v>
      </c>
      <c r="BA4" s="53" t="s">
        <v>34</v>
      </c>
      <c r="BB4" s="53" t="s">
        <v>8</v>
      </c>
      <c r="BC4" s="53" t="s">
        <v>36</v>
      </c>
      <c r="BD4" s="235" t="s">
        <v>655</v>
      </c>
      <c r="BE4" s="236" t="s">
        <v>572</v>
      </c>
      <c r="BF4" s="242"/>
      <c r="BG4" s="48" t="str">
        <f t="shared" ref="BG4:BI9" si="2">B4</f>
        <v>No.</v>
      </c>
      <c r="BH4" s="49" t="str">
        <f t="shared" si="2"/>
        <v>Ref.</v>
      </c>
      <c r="BI4" s="49" t="str">
        <f t="shared" si="2"/>
        <v>Model</v>
      </c>
      <c r="BJ4" s="49" t="s">
        <v>39</v>
      </c>
      <c r="BK4" s="50" t="s">
        <v>40</v>
      </c>
      <c r="BL4" s="50" t="s">
        <v>38</v>
      </c>
      <c r="BM4" s="243" t="s">
        <v>645</v>
      </c>
      <c r="BN4" s="243" t="s">
        <v>2136</v>
      </c>
      <c r="BO4" s="51" t="s">
        <v>41</v>
      </c>
    </row>
    <row r="5" spans="1:69" s="7" customFormat="1" ht="16.5">
      <c r="A5" s="99"/>
      <c r="B5" s="24">
        <v>1</v>
      </c>
      <c r="C5" s="25" t="s">
        <v>2177</v>
      </c>
      <c r="D5" s="22" t="s">
        <v>413</v>
      </c>
      <c r="E5" s="22">
        <f>O5*2.1191</f>
        <v>0</v>
      </c>
      <c r="F5" s="22"/>
      <c r="G5" s="93"/>
      <c r="H5" s="93"/>
      <c r="I5" s="93"/>
      <c r="J5" s="93"/>
      <c r="K5" s="107"/>
      <c r="L5" s="12"/>
      <c r="M5" s="26">
        <f>L5*3412</f>
        <v>0</v>
      </c>
      <c r="N5" s="26"/>
      <c r="O5" s="8"/>
      <c r="P5" s="8"/>
      <c r="Q5" s="8"/>
      <c r="R5" s="8" t="s">
        <v>2840</v>
      </c>
      <c r="S5" s="8"/>
      <c r="T5" s="8"/>
      <c r="U5" s="119">
        <f>T5/249</f>
        <v>0</v>
      </c>
      <c r="V5" s="210"/>
      <c r="W5" s="210"/>
      <c r="X5" s="210">
        <f t="shared" ref="X5:Y9" si="3">V5*1.8+32</f>
        <v>32</v>
      </c>
      <c r="Y5" s="210">
        <f t="shared" si="3"/>
        <v>32</v>
      </c>
      <c r="Z5" s="210"/>
      <c r="AA5" s="210"/>
      <c r="AB5" s="210">
        <f t="shared" ref="AB5:AC9" si="4">Z5*1.8+32</f>
        <v>32</v>
      </c>
      <c r="AC5" s="213">
        <f t="shared" si="4"/>
        <v>32</v>
      </c>
      <c r="AD5" s="69"/>
      <c r="AE5" s="43"/>
      <c r="AF5" s="9"/>
      <c r="AG5" s="9"/>
      <c r="AH5" s="9"/>
      <c r="AI5" s="9"/>
      <c r="AJ5" s="9">
        <f>SUM(AE5:AI5)</f>
        <v>0</v>
      </c>
      <c r="AK5" s="22">
        <f>AJ5*3.75</f>
        <v>0</v>
      </c>
      <c r="AL5" s="22">
        <f>AK5*1.25</f>
        <v>0</v>
      </c>
      <c r="AM5" s="22">
        <f>CEILING(AL5,5)</f>
        <v>0</v>
      </c>
      <c r="AN5" s="22">
        <v>1</v>
      </c>
      <c r="AO5" s="23">
        <f>AN5*AM5</f>
        <v>0</v>
      </c>
      <c r="AQ5" s="12">
        <f t="shared" si="0"/>
        <v>1</v>
      </c>
      <c r="AR5" s="8" t="str">
        <f t="shared" si="0"/>
        <v>CH1</v>
      </c>
      <c r="AS5" s="8" t="str">
        <f t="shared" si="0"/>
        <v>PAH 050</v>
      </c>
      <c r="AT5" s="8">
        <f t="shared" si="0"/>
        <v>0</v>
      </c>
      <c r="AU5" s="118">
        <f t="shared" si="1"/>
        <v>0</v>
      </c>
      <c r="AV5" s="118"/>
      <c r="AW5" s="119"/>
      <c r="AX5" s="119"/>
      <c r="AY5" s="119"/>
      <c r="AZ5" s="119"/>
      <c r="BA5" s="119"/>
      <c r="BB5" s="119">
        <f>SUM(AU5:BA5)</f>
        <v>0</v>
      </c>
      <c r="BC5" s="8"/>
      <c r="BD5" s="201"/>
      <c r="BE5" s="13"/>
      <c r="BG5" s="12">
        <f t="shared" si="2"/>
        <v>1</v>
      </c>
      <c r="BH5" s="8" t="str">
        <f t="shared" si="2"/>
        <v>CH1</v>
      </c>
      <c r="BI5" s="8" t="str">
        <f t="shared" si="2"/>
        <v>PAH 050</v>
      </c>
      <c r="BJ5" s="210"/>
      <c r="BK5" s="223"/>
      <c r="BL5" s="223"/>
      <c r="BM5" s="226"/>
      <c r="BN5" s="226"/>
      <c r="BO5" s="213"/>
    </row>
    <row r="6" spans="1:69" s="7" customFormat="1" ht="16.5">
      <c r="A6" s="99"/>
      <c r="B6" s="12">
        <v>2</v>
      </c>
      <c r="C6" s="6"/>
      <c r="D6" s="9"/>
      <c r="E6" s="22">
        <f>O6*2.1191</f>
        <v>0</v>
      </c>
      <c r="F6" s="9"/>
      <c r="G6" s="170"/>
      <c r="H6" s="170"/>
      <c r="I6" s="170"/>
      <c r="J6" s="170"/>
      <c r="K6" s="108"/>
      <c r="L6" s="12"/>
      <c r="M6" s="26">
        <f>L6*3412</f>
        <v>0</v>
      </c>
      <c r="N6" s="26"/>
      <c r="O6" s="8"/>
      <c r="P6" s="8"/>
      <c r="Q6" s="8"/>
      <c r="R6" s="8"/>
      <c r="S6" s="8"/>
      <c r="T6" s="8"/>
      <c r="U6" s="119">
        <f t="shared" ref="U6:U9" si="5">T6/249</f>
        <v>0</v>
      </c>
      <c r="V6" s="210"/>
      <c r="W6" s="210"/>
      <c r="X6" s="210">
        <f t="shared" si="3"/>
        <v>32</v>
      </c>
      <c r="Y6" s="210">
        <f t="shared" si="3"/>
        <v>32</v>
      </c>
      <c r="Z6" s="210"/>
      <c r="AA6" s="210"/>
      <c r="AB6" s="210">
        <f t="shared" si="4"/>
        <v>32</v>
      </c>
      <c r="AC6" s="213">
        <f t="shared" si="4"/>
        <v>32</v>
      </c>
      <c r="AD6" s="69"/>
      <c r="AE6" s="43"/>
      <c r="AF6" s="9"/>
      <c r="AG6" s="9"/>
      <c r="AH6" s="9"/>
      <c r="AI6" s="9"/>
      <c r="AJ6" s="9">
        <f>SUM(AE6:AI6)</f>
        <v>0</v>
      </c>
      <c r="AK6" s="9">
        <f>AJ6*3.75</f>
        <v>0</v>
      </c>
      <c r="AL6" s="9">
        <f>AK6*1.25</f>
        <v>0</v>
      </c>
      <c r="AM6" s="9">
        <f>CEILING(AL6,5)</f>
        <v>0</v>
      </c>
      <c r="AN6" s="9"/>
      <c r="AO6" s="10">
        <f>AN6*AM6</f>
        <v>0</v>
      </c>
      <c r="AQ6" s="12">
        <f t="shared" si="0"/>
        <v>2</v>
      </c>
      <c r="AR6" s="8">
        <f t="shared" si="0"/>
        <v>0</v>
      </c>
      <c r="AS6" s="8">
        <f t="shared" si="0"/>
        <v>0</v>
      </c>
      <c r="AT6" s="8">
        <f t="shared" si="0"/>
        <v>0</v>
      </c>
      <c r="AU6" s="118">
        <f t="shared" si="1"/>
        <v>0</v>
      </c>
      <c r="AV6" s="118"/>
      <c r="AW6" s="119"/>
      <c r="AX6" s="119"/>
      <c r="AY6" s="119"/>
      <c r="AZ6" s="119"/>
      <c r="BA6" s="119"/>
      <c r="BB6" s="119">
        <f>SUM(AU6:BA6)</f>
        <v>0</v>
      </c>
      <c r="BC6" s="8"/>
      <c r="BD6" s="201"/>
      <c r="BE6" s="13"/>
      <c r="BG6" s="12">
        <f t="shared" si="2"/>
        <v>2</v>
      </c>
      <c r="BH6" s="8">
        <f t="shared" si="2"/>
        <v>0</v>
      </c>
      <c r="BI6" s="8">
        <f t="shared" si="2"/>
        <v>0</v>
      </c>
      <c r="BJ6" s="210"/>
      <c r="BK6" s="223"/>
      <c r="BL6" s="223"/>
      <c r="BM6" s="226"/>
      <c r="BN6" s="226"/>
      <c r="BO6" s="213"/>
    </row>
    <row r="7" spans="1:69" s="7" customFormat="1" ht="16.5">
      <c r="A7" s="99"/>
      <c r="B7" s="12">
        <v>3</v>
      </c>
      <c r="C7" s="6"/>
      <c r="D7" s="9"/>
      <c r="E7" s="22">
        <f>O7*2.1191</f>
        <v>0</v>
      </c>
      <c r="F7" s="9"/>
      <c r="G7" s="170"/>
      <c r="H7" s="170"/>
      <c r="I7" s="170"/>
      <c r="J7" s="170"/>
      <c r="K7" s="108"/>
      <c r="L7" s="12"/>
      <c r="M7" s="26">
        <f>L7*3412</f>
        <v>0</v>
      </c>
      <c r="N7" s="26"/>
      <c r="O7" s="8"/>
      <c r="P7" s="8"/>
      <c r="Q7" s="8"/>
      <c r="R7" s="8"/>
      <c r="S7" s="8"/>
      <c r="T7" s="8"/>
      <c r="U7" s="119">
        <f t="shared" si="5"/>
        <v>0</v>
      </c>
      <c r="V7" s="210"/>
      <c r="W7" s="210"/>
      <c r="X7" s="210">
        <f t="shared" si="3"/>
        <v>32</v>
      </c>
      <c r="Y7" s="210">
        <f t="shared" si="3"/>
        <v>32</v>
      </c>
      <c r="Z7" s="210"/>
      <c r="AA7" s="210"/>
      <c r="AB7" s="210">
        <f t="shared" si="4"/>
        <v>32</v>
      </c>
      <c r="AC7" s="213">
        <f t="shared" si="4"/>
        <v>32</v>
      </c>
      <c r="AD7" s="69"/>
      <c r="AE7" s="43"/>
      <c r="AF7" s="9"/>
      <c r="AG7" s="9"/>
      <c r="AH7" s="9"/>
      <c r="AI7" s="9"/>
      <c r="AJ7" s="9">
        <f>SUM(AE7:AI7)</f>
        <v>0</v>
      </c>
      <c r="AK7" s="9">
        <f>AJ7*3.75</f>
        <v>0</v>
      </c>
      <c r="AL7" s="9">
        <f>AK7*1.25</f>
        <v>0</v>
      </c>
      <c r="AM7" s="9">
        <f>CEILING(AL7,5)</f>
        <v>0</v>
      </c>
      <c r="AN7" s="9"/>
      <c r="AO7" s="10">
        <f>AN7*AM7</f>
        <v>0</v>
      </c>
      <c r="AQ7" s="12">
        <f t="shared" si="0"/>
        <v>3</v>
      </c>
      <c r="AR7" s="8">
        <f t="shared" si="0"/>
        <v>0</v>
      </c>
      <c r="AS7" s="8">
        <f t="shared" si="0"/>
        <v>0</v>
      </c>
      <c r="AT7" s="8">
        <f t="shared" si="0"/>
        <v>0</v>
      </c>
      <c r="AU7" s="118">
        <f t="shared" si="1"/>
        <v>0</v>
      </c>
      <c r="AV7" s="118"/>
      <c r="AW7" s="119"/>
      <c r="AX7" s="119"/>
      <c r="AY7" s="119"/>
      <c r="AZ7" s="119"/>
      <c r="BA7" s="119"/>
      <c r="BB7" s="119">
        <f>SUM(AU7:BA7)</f>
        <v>0</v>
      </c>
      <c r="BC7" s="8"/>
      <c r="BD7" s="201"/>
      <c r="BE7" s="13"/>
      <c r="BG7" s="12">
        <f t="shared" si="2"/>
        <v>3</v>
      </c>
      <c r="BH7" s="8">
        <f t="shared" si="2"/>
        <v>0</v>
      </c>
      <c r="BI7" s="8">
        <f t="shared" si="2"/>
        <v>0</v>
      </c>
      <c r="BJ7" s="210"/>
      <c r="BK7" s="223"/>
      <c r="BL7" s="223"/>
      <c r="BM7" s="226"/>
      <c r="BN7" s="226"/>
      <c r="BO7" s="213"/>
    </row>
    <row r="8" spans="1:69" s="7" customFormat="1" ht="16.5">
      <c r="A8" s="99"/>
      <c r="B8" s="12">
        <v>4</v>
      </c>
      <c r="C8" s="6"/>
      <c r="D8" s="9"/>
      <c r="E8" s="22">
        <f>O8*2.1191</f>
        <v>0</v>
      </c>
      <c r="F8" s="9"/>
      <c r="G8" s="170"/>
      <c r="H8" s="170"/>
      <c r="I8" s="170"/>
      <c r="J8" s="170"/>
      <c r="K8" s="108"/>
      <c r="L8" s="12"/>
      <c r="M8" s="26">
        <f>L8*3412</f>
        <v>0</v>
      </c>
      <c r="N8" s="26"/>
      <c r="O8" s="8"/>
      <c r="P8" s="8"/>
      <c r="Q8" s="8"/>
      <c r="R8" s="8"/>
      <c r="S8" s="8"/>
      <c r="T8" s="8"/>
      <c r="U8" s="119">
        <f t="shared" si="5"/>
        <v>0</v>
      </c>
      <c r="V8" s="210"/>
      <c r="W8" s="210"/>
      <c r="X8" s="210">
        <f t="shared" si="3"/>
        <v>32</v>
      </c>
      <c r="Y8" s="210">
        <f t="shared" si="3"/>
        <v>32</v>
      </c>
      <c r="Z8" s="210"/>
      <c r="AA8" s="210"/>
      <c r="AB8" s="210">
        <f t="shared" si="4"/>
        <v>32</v>
      </c>
      <c r="AC8" s="213">
        <f t="shared" si="4"/>
        <v>32</v>
      </c>
      <c r="AD8" s="69"/>
      <c r="AE8" s="43"/>
      <c r="AF8" s="9"/>
      <c r="AG8" s="9"/>
      <c r="AH8" s="9"/>
      <c r="AI8" s="9"/>
      <c r="AJ8" s="9">
        <f>SUM(AE8:AI8)</f>
        <v>0</v>
      </c>
      <c r="AK8" s="9">
        <f>AJ8*3.75</f>
        <v>0</v>
      </c>
      <c r="AL8" s="9">
        <f>AK8*1.25</f>
        <v>0</v>
      </c>
      <c r="AM8" s="9">
        <f>CEILING(AL8,5)</f>
        <v>0</v>
      </c>
      <c r="AN8" s="9"/>
      <c r="AO8" s="10">
        <f>AN8*AM8</f>
        <v>0</v>
      </c>
      <c r="AQ8" s="12">
        <f t="shared" si="0"/>
        <v>4</v>
      </c>
      <c r="AR8" s="8">
        <f t="shared" si="0"/>
        <v>0</v>
      </c>
      <c r="AS8" s="8">
        <f t="shared" si="0"/>
        <v>0</v>
      </c>
      <c r="AT8" s="8">
        <f t="shared" si="0"/>
        <v>0</v>
      </c>
      <c r="AU8" s="118">
        <f t="shared" si="1"/>
        <v>0</v>
      </c>
      <c r="AV8" s="118"/>
      <c r="AW8" s="119"/>
      <c r="AX8" s="119"/>
      <c r="AY8" s="119"/>
      <c r="AZ8" s="119"/>
      <c r="BA8" s="119"/>
      <c r="BB8" s="119">
        <f>SUM(AU8:BA8)</f>
        <v>0</v>
      </c>
      <c r="BC8" s="8"/>
      <c r="BD8" s="201"/>
      <c r="BE8" s="13"/>
      <c r="BG8" s="12">
        <f t="shared" si="2"/>
        <v>4</v>
      </c>
      <c r="BH8" s="8">
        <f t="shared" si="2"/>
        <v>0</v>
      </c>
      <c r="BI8" s="8">
        <f t="shared" si="2"/>
        <v>0</v>
      </c>
      <c r="BJ8" s="210"/>
      <c r="BK8" s="223"/>
      <c r="BL8" s="223"/>
      <c r="BM8" s="226"/>
      <c r="BN8" s="226"/>
      <c r="BO8" s="213"/>
    </row>
    <row r="9" spans="1:69" s="7" customFormat="1" ht="15.75" customHeight="1" thickBot="1">
      <c r="A9" s="99"/>
      <c r="B9" s="38">
        <v>5</v>
      </c>
      <c r="C9" s="17"/>
      <c r="D9" s="18"/>
      <c r="E9" s="100">
        <f>O9*2.1191</f>
        <v>0</v>
      </c>
      <c r="F9" s="18"/>
      <c r="G9" s="171"/>
      <c r="H9" s="171"/>
      <c r="I9" s="171"/>
      <c r="J9" s="171"/>
      <c r="K9" s="109"/>
      <c r="L9" s="14"/>
      <c r="M9" s="15">
        <f>L9*3412</f>
        <v>0</v>
      </c>
      <c r="N9" s="15"/>
      <c r="O9" s="15"/>
      <c r="P9" s="15"/>
      <c r="Q9" s="15"/>
      <c r="R9" s="15"/>
      <c r="S9" s="15"/>
      <c r="T9" s="15"/>
      <c r="U9" s="211">
        <f t="shared" si="5"/>
        <v>0</v>
      </c>
      <c r="V9" s="211"/>
      <c r="W9" s="211"/>
      <c r="X9" s="211">
        <f t="shared" si="3"/>
        <v>32</v>
      </c>
      <c r="Y9" s="211">
        <f t="shared" si="3"/>
        <v>32</v>
      </c>
      <c r="Z9" s="211"/>
      <c r="AA9" s="211"/>
      <c r="AB9" s="211">
        <f t="shared" si="4"/>
        <v>32</v>
      </c>
      <c r="AC9" s="214">
        <f t="shared" si="4"/>
        <v>32</v>
      </c>
      <c r="AD9" s="70"/>
      <c r="AE9" s="18"/>
      <c r="AF9" s="18"/>
      <c r="AG9" s="18"/>
      <c r="AH9" s="18"/>
      <c r="AI9" s="18"/>
      <c r="AJ9" s="18">
        <f>SUM(AE9:AI9)</f>
        <v>0</v>
      </c>
      <c r="AK9" s="18">
        <f>AJ9*3.75</f>
        <v>0</v>
      </c>
      <c r="AL9" s="18">
        <f>AK9*1.25</f>
        <v>0</v>
      </c>
      <c r="AM9" s="18">
        <f>CEILING(AL9,5)</f>
        <v>0</v>
      </c>
      <c r="AN9" s="18"/>
      <c r="AO9" s="19">
        <f>AN9*AM9</f>
        <v>0</v>
      </c>
      <c r="AQ9" s="14">
        <f t="shared" si="0"/>
        <v>5</v>
      </c>
      <c r="AR9" s="15">
        <f t="shared" si="0"/>
        <v>0</v>
      </c>
      <c r="AS9" s="15">
        <f t="shared" si="0"/>
        <v>0</v>
      </c>
      <c r="AT9" s="15">
        <f t="shared" si="0"/>
        <v>0</v>
      </c>
      <c r="AU9" s="120">
        <f t="shared" si="1"/>
        <v>0</v>
      </c>
      <c r="AV9" s="120"/>
      <c r="AW9" s="121"/>
      <c r="AX9" s="121"/>
      <c r="AY9" s="121"/>
      <c r="AZ9" s="121"/>
      <c r="BA9" s="121"/>
      <c r="BB9" s="121">
        <f>SUM(AU9:BA9)</f>
        <v>0</v>
      </c>
      <c r="BC9" s="15"/>
      <c r="BD9" s="202"/>
      <c r="BE9" s="16"/>
      <c r="BG9" s="14">
        <f t="shared" si="2"/>
        <v>5</v>
      </c>
      <c r="BH9" s="15">
        <f t="shared" si="2"/>
        <v>0</v>
      </c>
      <c r="BI9" s="15">
        <f t="shared" si="2"/>
        <v>0</v>
      </c>
      <c r="BJ9" s="211"/>
      <c r="BK9" s="224"/>
      <c r="BL9" s="224"/>
      <c r="BM9" s="227"/>
      <c r="BN9" s="227"/>
      <c r="BO9" s="214"/>
    </row>
    <row r="10" spans="1:69" s="7" customFormat="1" ht="17.25" thickBot="1">
      <c r="A10" s="62"/>
      <c r="F10" s="11"/>
      <c r="G10" s="11"/>
      <c r="H10" s="11"/>
      <c r="I10" s="11"/>
      <c r="J10" s="11"/>
      <c r="K10" s="11"/>
      <c r="AJ10" s="11"/>
      <c r="AK10" s="11"/>
      <c r="AL10" s="11"/>
      <c r="AM10" s="11"/>
      <c r="AN10" s="172">
        <f>SUM(AN5:AN9)</f>
        <v>1</v>
      </c>
      <c r="AO10" s="173">
        <f>SUM(AO5:AO9)</f>
        <v>0</v>
      </c>
    </row>
    <row r="11" spans="1:69" ht="15.75">
      <c r="A11" s="62"/>
    </row>
    <row r="12" spans="1:69" ht="16.5" thickBot="1">
      <c r="A12" s="62"/>
    </row>
    <row r="13" spans="1:69" ht="21" thickBot="1">
      <c r="A13" s="62"/>
      <c r="C13" s="1790" t="s">
        <v>59</v>
      </c>
      <c r="D13" s="1784"/>
      <c r="E13" s="1784"/>
      <c r="F13" s="1784"/>
      <c r="G13" s="1784"/>
      <c r="H13" s="1784"/>
      <c r="I13" s="1784"/>
      <c r="J13" s="1784"/>
      <c r="K13" s="1784"/>
      <c r="L13" s="1785"/>
    </row>
    <row r="14" spans="1:69" ht="15.75">
      <c r="A14" s="62"/>
      <c r="C14" s="39" t="s">
        <v>3</v>
      </c>
      <c r="D14" s="39"/>
      <c r="E14" s="39"/>
      <c r="F14" s="39"/>
      <c r="G14" s="39"/>
      <c r="H14" s="39"/>
      <c r="I14" s="39"/>
      <c r="J14" s="39"/>
      <c r="K14" s="39"/>
      <c r="L14" s="39"/>
    </row>
    <row r="15" spans="1:69" ht="15.75">
      <c r="A15" s="62"/>
    </row>
    <row r="16" spans="1:69"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6">
    <mergeCell ref="BG3:BO3"/>
    <mergeCell ref="C13:L13"/>
    <mergeCell ref="L3:AC3"/>
    <mergeCell ref="B3:K3"/>
    <mergeCell ref="AE3:AO3"/>
    <mergeCell ref="AQ3:BE3"/>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245" r:id="rId4" name="FPM">
          <controlPr defaultSize="0" autoLine="0" r:id="rId5">
            <anchor moveWithCells="1">
              <from>
                <xdr:col>0</xdr:col>
                <xdr:colOff>0</xdr:colOff>
                <xdr:row>4</xdr:row>
                <xdr:rowOff>0</xdr:rowOff>
              </from>
              <to>
                <xdr:col>3</xdr:col>
                <xdr:colOff>76200</xdr:colOff>
                <xdr:row>5</xdr:row>
                <xdr:rowOff>104775</xdr:rowOff>
              </to>
            </anchor>
          </controlPr>
        </control>
      </mc:Choice>
      <mc:Fallback>
        <control shapeId="10245" r:id="rId4" name="FPM"/>
      </mc:Fallback>
    </mc:AlternateContent>
    <mc:AlternateContent xmlns:mc="http://schemas.openxmlformats.org/markup-compatibility/2006">
      <mc:Choice Requires="x14">
        <control shapeId="10244" r:id="rId6" name="Flow_Calculate">
          <controlPr defaultSize="0" autoLine="0" r:id="rId7">
            <anchor moveWithCells="1">
              <from>
                <xdr:col>0</xdr:col>
                <xdr:colOff>0</xdr:colOff>
                <xdr:row>4</xdr:row>
                <xdr:rowOff>0</xdr:rowOff>
              </from>
              <to>
                <xdr:col>3</xdr:col>
                <xdr:colOff>76200</xdr:colOff>
                <xdr:row>5</xdr:row>
                <xdr:rowOff>104775</xdr:rowOff>
              </to>
            </anchor>
          </controlPr>
        </control>
      </mc:Choice>
      <mc:Fallback>
        <control shapeId="10244" r:id="rId6" name="Flow_Calculate"/>
      </mc:Fallback>
    </mc:AlternateContent>
    <mc:AlternateContent xmlns:mc="http://schemas.openxmlformats.org/markup-compatibility/2006">
      <mc:Choice Requires="x14">
        <control shapeId="10243" r:id="rId8" name="Technical">
          <controlPr defaultSize="0" autoLine="0" r:id="rId9">
            <anchor moveWithCells="1">
              <from>
                <xdr:col>0</xdr:col>
                <xdr:colOff>0</xdr:colOff>
                <xdr:row>3</xdr:row>
                <xdr:rowOff>133350</xdr:rowOff>
              </from>
              <to>
                <xdr:col>3</xdr:col>
                <xdr:colOff>76200</xdr:colOff>
                <xdr:row>3</xdr:row>
                <xdr:rowOff>447675</xdr:rowOff>
              </to>
            </anchor>
          </controlPr>
        </control>
      </mc:Choice>
      <mc:Fallback>
        <control shapeId="10243" r:id="rId8" name="Technical"/>
      </mc:Fallback>
    </mc:AlternateContent>
    <mc:AlternateContent xmlns:mc="http://schemas.openxmlformats.org/markup-compatibility/2006">
      <mc:Choice Requires="x14">
        <control shapeId="10242" r:id="rId10" name="Specs">
          <controlPr defaultSize="0" autoLine="0" r:id="rId11">
            <anchor moveWithCells="1">
              <from>
                <xdr:col>0</xdr:col>
                <xdr:colOff>0</xdr:colOff>
                <xdr:row>3</xdr:row>
                <xdr:rowOff>133350</xdr:rowOff>
              </from>
              <to>
                <xdr:col>3</xdr:col>
                <xdr:colOff>76200</xdr:colOff>
                <xdr:row>3</xdr:row>
                <xdr:rowOff>447675</xdr:rowOff>
              </to>
            </anchor>
          </controlPr>
        </control>
      </mc:Choice>
      <mc:Fallback>
        <control shapeId="10242" r:id="rId10" name="Specs"/>
      </mc:Fallback>
    </mc:AlternateContent>
    <mc:AlternateContent xmlns:mc="http://schemas.openxmlformats.org/markup-compatibility/2006">
      <mc:Choice Requires="x14">
        <control shapeId="10241" r:id="rId12" name="Hide">
          <controlPr defaultSize="0" autoLine="0" r:id="rId13">
            <anchor moveWithCells="1">
              <from>
                <xdr:col>0</xdr:col>
                <xdr:colOff>0</xdr:colOff>
                <xdr:row>2</xdr:row>
                <xdr:rowOff>0</xdr:rowOff>
              </from>
              <to>
                <xdr:col>2</xdr:col>
                <xdr:colOff>104775</xdr:colOff>
                <xdr:row>3</xdr:row>
                <xdr:rowOff>57150</xdr:rowOff>
              </to>
            </anchor>
          </controlPr>
        </control>
      </mc:Choice>
      <mc:Fallback>
        <control shapeId="10241" r:id="rId12" name="Hid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3_FCU"/>
  <dimension ref="A1:AZ56"/>
  <sheetViews>
    <sheetView zoomScale="80" zoomScaleNormal="80" workbookViewId="0">
      <pane xSplit="1" topLeftCell="B1" activePane="topRight" state="frozen"/>
      <selection pane="topRight" activeCell="A4" sqref="A4"/>
    </sheetView>
  </sheetViews>
  <sheetFormatPr defaultColWidth="9.140625" defaultRowHeight="15"/>
  <cols>
    <col min="1" max="1" width="55.7109375" style="1" hidden="1" customWidth="1"/>
    <col min="2" max="2" width="4.42578125" style="3" bestFit="1" customWidth="1"/>
    <col min="3" max="4" width="11.42578125" style="3" customWidth="1"/>
    <col min="5" max="5" width="17.7109375" style="3" customWidth="1"/>
    <col min="6" max="9" width="9.42578125" style="3" customWidth="1"/>
    <col min="10" max="10" width="9.140625" style="3"/>
    <col min="11" max="12" width="12.85546875" style="3" customWidth="1"/>
    <col min="13" max="13" width="12" style="3" customWidth="1"/>
    <col min="14" max="14" width="9.140625" style="3"/>
    <col min="15" max="15" width="9.28515625" style="3" customWidth="1"/>
    <col min="16" max="18" width="6.7109375" style="3" customWidth="1"/>
    <col min="19" max="21" width="7.42578125" style="3" customWidth="1"/>
    <col min="22" max="25" width="8.7109375" style="3" customWidth="1"/>
    <col min="26" max="26" width="3.85546875" style="3" customWidth="1"/>
    <col min="27" max="27" width="10.5703125" style="3" customWidth="1"/>
    <col min="28" max="31" width="9.140625" style="3"/>
    <col min="32" max="32" width="12.5703125" style="3" customWidth="1"/>
    <col min="33" max="48" width="9.140625" style="3"/>
    <col min="49" max="49" width="10.28515625" style="3" bestFit="1" customWidth="1"/>
    <col min="50" max="50" width="13.140625" style="3" bestFit="1" customWidth="1"/>
    <col min="51" max="16384" width="9.140625" style="3"/>
  </cols>
  <sheetData>
    <row r="1" spans="1:52" s="1" customFormat="1" ht="15.75" hidden="1" customHeight="1" thickBot="1">
      <c r="A1" s="159" t="s">
        <v>394</v>
      </c>
      <c r="B1" s="160">
        <v>0</v>
      </c>
      <c r="C1" s="160">
        <v>1</v>
      </c>
      <c r="D1" s="160">
        <v>2</v>
      </c>
      <c r="E1" s="160">
        <v>3</v>
      </c>
      <c r="F1" s="160">
        <v>4</v>
      </c>
      <c r="G1" s="160">
        <v>0</v>
      </c>
      <c r="H1" s="160">
        <v>0</v>
      </c>
      <c r="I1" s="160">
        <v>0</v>
      </c>
      <c r="J1" s="160">
        <v>6</v>
      </c>
      <c r="K1" s="160">
        <v>0</v>
      </c>
      <c r="L1" s="160">
        <v>0</v>
      </c>
      <c r="M1" s="160">
        <v>0</v>
      </c>
      <c r="N1" s="160">
        <v>0</v>
      </c>
      <c r="O1" s="160">
        <v>0</v>
      </c>
      <c r="P1" s="160">
        <v>0</v>
      </c>
      <c r="Q1" s="160">
        <v>0</v>
      </c>
      <c r="R1" s="160">
        <v>0</v>
      </c>
      <c r="S1" s="160">
        <v>0</v>
      </c>
      <c r="T1" s="160">
        <v>0</v>
      </c>
      <c r="U1" s="160">
        <v>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row>
    <row r="2" spans="1:52" s="1" customFormat="1" ht="14.25" hidden="1" customHeight="1" thickBot="1">
      <c r="A2" s="62"/>
      <c r="B2" s="1">
        <v>0</v>
      </c>
      <c r="C2" s="1" t="s">
        <v>427</v>
      </c>
      <c r="D2" s="1" t="s">
        <v>428</v>
      </c>
      <c r="E2" s="1" t="s">
        <v>426</v>
      </c>
      <c r="F2" s="1" t="s">
        <v>2098</v>
      </c>
      <c r="G2" s="1" t="s">
        <v>2099</v>
      </c>
      <c r="H2" s="1">
        <v>0</v>
      </c>
      <c r="I2" s="1">
        <v>0</v>
      </c>
      <c r="J2" s="1" t="s">
        <v>2104</v>
      </c>
      <c r="K2" s="1" t="s">
        <v>2662</v>
      </c>
      <c r="L2" s="1">
        <v>0</v>
      </c>
      <c r="M2" s="1">
        <v>0</v>
      </c>
      <c r="N2" s="1">
        <v>0</v>
      </c>
      <c r="O2" s="1">
        <v>0</v>
      </c>
      <c r="P2" s="1" t="s">
        <v>396</v>
      </c>
      <c r="Q2" s="1">
        <v>0</v>
      </c>
      <c r="R2" s="1" t="s">
        <v>2658</v>
      </c>
      <c r="S2" s="713" t="s">
        <v>2659</v>
      </c>
      <c r="T2" s="1">
        <v>0</v>
      </c>
      <c r="U2" s="1">
        <v>0</v>
      </c>
      <c r="V2" s="1" t="s">
        <v>2660</v>
      </c>
      <c r="W2" s="1" t="s">
        <v>2661</v>
      </c>
      <c r="X2" s="1">
        <v>0</v>
      </c>
      <c r="Y2" s="1">
        <v>0</v>
      </c>
      <c r="Z2" s="1">
        <v>0</v>
      </c>
      <c r="AA2" s="1">
        <v>0</v>
      </c>
      <c r="AB2" s="1">
        <v>0</v>
      </c>
      <c r="AC2" s="1">
        <v>0</v>
      </c>
      <c r="AD2" s="1">
        <v>0</v>
      </c>
      <c r="AE2" s="1">
        <v>0</v>
      </c>
      <c r="AF2" s="1">
        <v>0</v>
      </c>
      <c r="AG2" s="1">
        <v>0</v>
      </c>
      <c r="AH2" s="1" t="s">
        <v>2102</v>
      </c>
      <c r="AI2" s="1" t="s">
        <v>2100</v>
      </c>
      <c r="AJ2" s="1" t="s">
        <v>2101</v>
      </c>
      <c r="AK2" s="1">
        <v>0</v>
      </c>
      <c r="AL2" s="1">
        <v>0</v>
      </c>
      <c r="AM2" s="1">
        <v>0</v>
      </c>
      <c r="AN2" s="1">
        <v>0</v>
      </c>
      <c r="AO2" s="1" t="s">
        <v>39</v>
      </c>
      <c r="AP2" s="1" t="s">
        <v>40</v>
      </c>
      <c r="AQ2" s="1" t="s">
        <v>38</v>
      </c>
      <c r="AR2" s="1" t="s">
        <v>645</v>
      </c>
      <c r="AS2" s="1" t="s">
        <v>2136</v>
      </c>
      <c r="AT2" s="1" t="s">
        <v>41</v>
      </c>
      <c r="AU2" s="1">
        <v>0</v>
      </c>
      <c r="AV2" s="1">
        <v>0</v>
      </c>
      <c r="AW2" s="1">
        <v>0</v>
      </c>
      <c r="AX2" s="1">
        <v>0</v>
      </c>
      <c r="AY2" s="1">
        <v>0</v>
      </c>
      <c r="AZ2" s="1">
        <v>0</v>
      </c>
    </row>
    <row r="3" spans="1:52" s="7" customFormat="1" ht="19.5" customHeight="1" thickTop="1" thickBot="1">
      <c r="A3" s="60" t="s">
        <v>80</v>
      </c>
      <c r="B3" s="1806" t="s">
        <v>21</v>
      </c>
      <c r="C3" s="1807"/>
      <c r="D3" s="1807"/>
      <c r="E3" s="1807"/>
      <c r="F3" s="1807"/>
      <c r="G3" s="1808"/>
      <c r="H3" s="1808"/>
      <c r="I3" s="1808"/>
      <c r="J3" s="1809"/>
      <c r="K3" s="1780" t="s">
        <v>17</v>
      </c>
      <c r="L3" s="1781"/>
      <c r="M3" s="1781"/>
      <c r="N3" s="1781"/>
      <c r="O3" s="1781"/>
      <c r="P3" s="1781"/>
      <c r="Q3" s="1781"/>
      <c r="R3" s="1781"/>
      <c r="S3" s="1781"/>
      <c r="T3" s="1781"/>
      <c r="U3" s="1781"/>
      <c r="V3" s="1781"/>
      <c r="W3" s="1781"/>
      <c r="X3" s="1781"/>
      <c r="Y3" s="1782"/>
      <c r="Z3" s="68"/>
      <c r="AA3" s="1803" t="s">
        <v>24</v>
      </c>
      <c r="AB3" s="1804"/>
      <c r="AC3" s="1804"/>
      <c r="AD3" s="1804"/>
      <c r="AE3" s="1804"/>
      <c r="AF3" s="1804"/>
      <c r="AG3" s="1804"/>
      <c r="AH3" s="1804"/>
      <c r="AI3" s="1804"/>
      <c r="AJ3" s="1805"/>
      <c r="AL3" s="1780" t="s">
        <v>42</v>
      </c>
      <c r="AM3" s="1781"/>
      <c r="AN3" s="1781"/>
      <c r="AO3" s="1781"/>
      <c r="AP3" s="1781"/>
      <c r="AQ3" s="1781"/>
      <c r="AR3" s="1781"/>
      <c r="AS3" s="1781"/>
      <c r="AT3" s="1782"/>
    </row>
    <row r="4" spans="1:52" s="7" customFormat="1" ht="50.25" thickTop="1">
      <c r="A4" s="61"/>
      <c r="B4" s="71" t="s">
        <v>2</v>
      </c>
      <c r="C4" s="72" t="s">
        <v>3</v>
      </c>
      <c r="D4" s="72" t="s">
        <v>0</v>
      </c>
      <c r="E4" s="72" t="s">
        <v>81</v>
      </c>
      <c r="F4" s="72" t="s">
        <v>87</v>
      </c>
      <c r="G4" s="72" t="s">
        <v>582</v>
      </c>
      <c r="H4" s="72" t="s">
        <v>583</v>
      </c>
      <c r="I4" s="72" t="s">
        <v>584</v>
      </c>
      <c r="J4" s="73" t="s">
        <v>14</v>
      </c>
      <c r="K4" s="67" t="s">
        <v>595</v>
      </c>
      <c r="L4" s="67" t="s">
        <v>596</v>
      </c>
      <c r="M4" s="67" t="s">
        <v>600</v>
      </c>
      <c r="N4" s="67" t="s">
        <v>606</v>
      </c>
      <c r="O4" s="67" t="s">
        <v>599</v>
      </c>
      <c r="P4" s="67" t="s">
        <v>609</v>
      </c>
      <c r="Q4" s="67" t="s">
        <v>2143</v>
      </c>
      <c r="R4" s="67" t="s">
        <v>585</v>
      </c>
      <c r="S4" s="67" t="s">
        <v>586</v>
      </c>
      <c r="T4" s="67" t="s">
        <v>587</v>
      </c>
      <c r="U4" s="67" t="s">
        <v>588</v>
      </c>
      <c r="V4" s="67" t="s">
        <v>589</v>
      </c>
      <c r="W4" s="67" t="s">
        <v>590</v>
      </c>
      <c r="X4" s="67" t="s">
        <v>591</v>
      </c>
      <c r="Y4" s="212" t="s">
        <v>592</v>
      </c>
      <c r="Z4" s="69"/>
      <c r="AA4" s="74" t="s">
        <v>27</v>
      </c>
      <c r="AB4" s="75" t="s">
        <v>4</v>
      </c>
      <c r="AC4" s="75" t="s">
        <v>16</v>
      </c>
      <c r="AD4" s="75" t="s">
        <v>64</v>
      </c>
      <c r="AE4" s="76" t="s">
        <v>26</v>
      </c>
      <c r="AF4" s="77" t="s">
        <v>2719</v>
      </c>
      <c r="AG4" s="77" t="s">
        <v>15</v>
      </c>
      <c r="AH4" s="88" t="s">
        <v>2490</v>
      </c>
      <c r="AI4" s="88" t="s">
        <v>5</v>
      </c>
      <c r="AJ4" s="89" t="s">
        <v>2491</v>
      </c>
      <c r="AL4" s="48" t="str">
        <f t="shared" ref="AL4:AN9" si="0">B4</f>
        <v>No.</v>
      </c>
      <c r="AM4" s="49" t="str">
        <f t="shared" si="0"/>
        <v>Ref.</v>
      </c>
      <c r="AN4" s="49" t="str">
        <f t="shared" si="0"/>
        <v>Model</v>
      </c>
      <c r="AO4" s="49" t="s">
        <v>39</v>
      </c>
      <c r="AP4" s="50" t="s">
        <v>40</v>
      </c>
      <c r="AQ4" s="50" t="s">
        <v>38</v>
      </c>
      <c r="AR4" s="243" t="s">
        <v>645</v>
      </c>
      <c r="AS4" s="243" t="s">
        <v>2136</v>
      </c>
      <c r="AT4" s="51" t="s">
        <v>41</v>
      </c>
      <c r="AW4" s="3"/>
      <c r="AX4" s="3"/>
    </row>
    <row r="5" spans="1:52" s="7" customFormat="1" ht="16.5">
      <c r="A5" s="62"/>
      <c r="B5" s="24">
        <v>1</v>
      </c>
      <c r="C5" s="25" t="s">
        <v>2840</v>
      </c>
      <c r="D5" s="22" t="s">
        <v>2840</v>
      </c>
      <c r="E5" s="22">
        <f>N5*2.1191</f>
        <v>0</v>
      </c>
      <c r="F5" s="22" t="s">
        <v>2840</v>
      </c>
      <c r="G5" s="93"/>
      <c r="H5" s="93"/>
      <c r="I5" s="93"/>
      <c r="J5" s="107"/>
      <c r="K5" s="26"/>
      <c r="L5" s="26">
        <f>K5*3412</f>
        <v>0</v>
      </c>
      <c r="M5" s="26"/>
      <c r="N5" s="8"/>
      <c r="O5" s="8" t="s">
        <v>2840</v>
      </c>
      <c r="P5" s="8"/>
      <c r="Q5" s="119">
        <f>P5/250</f>
        <v>0</v>
      </c>
      <c r="R5" s="210"/>
      <c r="S5" s="210"/>
      <c r="T5" s="210">
        <f t="shared" ref="T5:U9" si="1">R5*1.8+32</f>
        <v>32</v>
      </c>
      <c r="U5" s="210">
        <f t="shared" si="1"/>
        <v>32</v>
      </c>
      <c r="V5" s="210"/>
      <c r="W5" s="210"/>
      <c r="X5" s="210">
        <f t="shared" ref="X5:Y9" si="2">V5*1.8+32</f>
        <v>32</v>
      </c>
      <c r="Y5" s="210">
        <f t="shared" si="2"/>
        <v>32</v>
      </c>
      <c r="Z5" s="69"/>
      <c r="AA5" s="20"/>
      <c r="AB5" s="9"/>
      <c r="AC5" s="9"/>
      <c r="AD5" s="9"/>
      <c r="AE5" s="9">
        <f>SUM(AA5:AD5)</f>
        <v>0</v>
      </c>
      <c r="AF5" s="22">
        <f>AE5*1</f>
        <v>0</v>
      </c>
      <c r="AG5" s="22">
        <f>AF5*1.25</f>
        <v>0</v>
      </c>
      <c r="AH5" s="22">
        <f>CEILING(AG5,5)</f>
        <v>0</v>
      </c>
      <c r="AI5" s="22">
        <v>1</v>
      </c>
      <c r="AJ5" s="23">
        <f>AI5*AH5</f>
        <v>0</v>
      </c>
      <c r="AL5" s="12">
        <f t="shared" si="0"/>
        <v>1</v>
      </c>
      <c r="AM5" s="8" t="str">
        <f t="shared" si="0"/>
        <v>XX</v>
      </c>
      <c r="AN5" s="8" t="str">
        <f t="shared" si="0"/>
        <v>XX</v>
      </c>
      <c r="AO5" s="210"/>
      <c r="AP5" s="223"/>
      <c r="AQ5" s="223"/>
      <c r="AR5" s="226"/>
      <c r="AS5" s="226"/>
      <c r="AT5" s="213"/>
      <c r="AW5" s="3"/>
      <c r="AX5" s="3"/>
    </row>
    <row r="6" spans="1:52" s="7" customFormat="1" ht="16.5">
      <c r="A6" s="62"/>
      <c r="B6" s="12">
        <v>2</v>
      </c>
      <c r="C6" s="25"/>
      <c r="D6" s="22"/>
      <c r="E6" s="22">
        <f>N6*2.1191</f>
        <v>0</v>
      </c>
      <c r="F6" s="9"/>
      <c r="G6" s="93"/>
      <c r="H6" s="93"/>
      <c r="I6" s="93"/>
      <c r="J6" s="108"/>
      <c r="K6" s="26"/>
      <c r="L6" s="26">
        <f>K6*3412</f>
        <v>0</v>
      </c>
      <c r="M6" s="26"/>
      <c r="N6" s="8"/>
      <c r="O6" s="8"/>
      <c r="P6" s="8"/>
      <c r="Q6" s="119">
        <f>P6/250</f>
        <v>0</v>
      </c>
      <c r="R6" s="210"/>
      <c r="S6" s="210"/>
      <c r="T6" s="210">
        <f t="shared" si="1"/>
        <v>32</v>
      </c>
      <c r="U6" s="210">
        <f t="shared" si="1"/>
        <v>32</v>
      </c>
      <c r="V6" s="210"/>
      <c r="W6" s="210"/>
      <c r="X6" s="210">
        <f t="shared" si="2"/>
        <v>32</v>
      </c>
      <c r="Y6" s="210">
        <f t="shared" si="2"/>
        <v>32</v>
      </c>
      <c r="Z6" s="69"/>
      <c r="AA6" s="20"/>
      <c r="AB6" s="9"/>
      <c r="AC6" s="9"/>
      <c r="AD6" s="9"/>
      <c r="AE6" s="9">
        <f>SUM(AA6:AD6)</f>
        <v>0</v>
      </c>
      <c r="AF6" s="22">
        <f t="shared" ref="AF6:AF9" si="3">AE6*1</f>
        <v>0</v>
      </c>
      <c r="AG6" s="9">
        <f>AF6*1.25</f>
        <v>0</v>
      </c>
      <c r="AH6" s="9">
        <f>CEILING(AG6,5)</f>
        <v>0</v>
      </c>
      <c r="AI6" s="9"/>
      <c r="AJ6" s="10">
        <f>AI6*AH6</f>
        <v>0</v>
      </c>
      <c r="AL6" s="12">
        <f t="shared" si="0"/>
        <v>2</v>
      </c>
      <c r="AM6" s="8">
        <f t="shared" si="0"/>
        <v>0</v>
      </c>
      <c r="AN6" s="8">
        <f t="shared" si="0"/>
        <v>0</v>
      </c>
      <c r="AO6" s="210"/>
      <c r="AP6" s="223"/>
      <c r="AQ6" s="223"/>
      <c r="AR6" s="226"/>
      <c r="AS6" s="226"/>
      <c r="AT6" s="213"/>
      <c r="AW6" s="3"/>
      <c r="AX6" s="3"/>
    </row>
    <row r="7" spans="1:52" s="7" customFormat="1" ht="16.5">
      <c r="A7" s="62"/>
      <c r="B7" s="12">
        <v>3</v>
      </c>
      <c r="C7" s="25"/>
      <c r="D7" s="22"/>
      <c r="E7" s="22">
        <f>N7*2.1191</f>
        <v>0</v>
      </c>
      <c r="F7" s="9"/>
      <c r="G7" s="93"/>
      <c r="H7" s="93"/>
      <c r="I7" s="93"/>
      <c r="J7" s="108"/>
      <c r="K7" s="26"/>
      <c r="L7" s="26">
        <f>K7*3412</f>
        <v>0</v>
      </c>
      <c r="M7" s="26"/>
      <c r="N7" s="8"/>
      <c r="O7" s="8"/>
      <c r="P7" s="8"/>
      <c r="Q7" s="119">
        <f>P7/250</f>
        <v>0</v>
      </c>
      <c r="R7" s="210"/>
      <c r="S7" s="210"/>
      <c r="T7" s="210">
        <f t="shared" si="1"/>
        <v>32</v>
      </c>
      <c r="U7" s="210">
        <f t="shared" si="1"/>
        <v>32</v>
      </c>
      <c r="V7" s="210"/>
      <c r="W7" s="210"/>
      <c r="X7" s="210">
        <f t="shared" si="2"/>
        <v>32</v>
      </c>
      <c r="Y7" s="210">
        <f t="shared" si="2"/>
        <v>32</v>
      </c>
      <c r="Z7" s="69"/>
      <c r="AA7" s="20"/>
      <c r="AB7" s="9"/>
      <c r="AC7" s="9"/>
      <c r="AD7" s="9"/>
      <c r="AE7" s="9">
        <f>SUM(AA7:AD7)</f>
        <v>0</v>
      </c>
      <c r="AF7" s="22">
        <f t="shared" si="3"/>
        <v>0</v>
      </c>
      <c r="AG7" s="9">
        <f>AF7*1.25</f>
        <v>0</v>
      </c>
      <c r="AH7" s="9">
        <f>CEILING(AG7,5)</f>
        <v>0</v>
      </c>
      <c r="AI7" s="9"/>
      <c r="AJ7" s="10">
        <f>AI7*AH7</f>
        <v>0</v>
      </c>
      <c r="AL7" s="12">
        <f t="shared" si="0"/>
        <v>3</v>
      </c>
      <c r="AM7" s="8">
        <f t="shared" si="0"/>
        <v>0</v>
      </c>
      <c r="AN7" s="8">
        <f t="shared" si="0"/>
        <v>0</v>
      </c>
      <c r="AO7" s="210"/>
      <c r="AP7" s="223"/>
      <c r="AQ7" s="223"/>
      <c r="AR7" s="226"/>
      <c r="AS7" s="226"/>
      <c r="AT7" s="213"/>
      <c r="AW7" s="3"/>
      <c r="AX7" s="3"/>
    </row>
    <row r="8" spans="1:52" s="7" customFormat="1" ht="16.5">
      <c r="A8" s="62"/>
      <c r="B8" s="12">
        <v>4</v>
      </c>
      <c r="C8" s="6"/>
      <c r="D8" s="9"/>
      <c r="E8" s="22">
        <f>N8*2.1191</f>
        <v>0</v>
      </c>
      <c r="F8" s="9"/>
      <c r="G8" s="93"/>
      <c r="H8" s="93"/>
      <c r="I8" s="93"/>
      <c r="J8" s="108"/>
      <c r="K8" s="26"/>
      <c r="L8" s="26">
        <f>K8*3412</f>
        <v>0</v>
      </c>
      <c r="M8" s="26"/>
      <c r="N8" s="8"/>
      <c r="O8" s="8"/>
      <c r="P8" s="8"/>
      <c r="Q8" s="119">
        <f>P8/250</f>
        <v>0</v>
      </c>
      <c r="R8" s="210"/>
      <c r="S8" s="210"/>
      <c r="T8" s="210">
        <f t="shared" si="1"/>
        <v>32</v>
      </c>
      <c r="U8" s="210">
        <f t="shared" si="1"/>
        <v>32</v>
      </c>
      <c r="V8" s="210"/>
      <c r="W8" s="210"/>
      <c r="X8" s="210">
        <f t="shared" si="2"/>
        <v>32</v>
      </c>
      <c r="Y8" s="210">
        <f t="shared" si="2"/>
        <v>32</v>
      </c>
      <c r="Z8" s="69"/>
      <c r="AA8" s="20"/>
      <c r="AB8" s="9"/>
      <c r="AC8" s="9"/>
      <c r="AD8" s="9"/>
      <c r="AE8" s="9">
        <f>SUM(AA8:AD8)</f>
        <v>0</v>
      </c>
      <c r="AF8" s="22">
        <f t="shared" si="3"/>
        <v>0</v>
      </c>
      <c r="AG8" s="9">
        <f>AF8*1.25</f>
        <v>0</v>
      </c>
      <c r="AH8" s="9">
        <f>CEILING(AG8,5)</f>
        <v>0</v>
      </c>
      <c r="AI8" s="9"/>
      <c r="AJ8" s="10">
        <f>AI8*AH8</f>
        <v>0</v>
      </c>
      <c r="AL8" s="12">
        <f t="shared" si="0"/>
        <v>4</v>
      </c>
      <c r="AM8" s="8">
        <f t="shared" si="0"/>
        <v>0</v>
      </c>
      <c r="AN8" s="8">
        <f t="shared" si="0"/>
        <v>0</v>
      </c>
      <c r="AO8" s="210"/>
      <c r="AP8" s="223"/>
      <c r="AQ8" s="223"/>
      <c r="AR8" s="226"/>
      <c r="AS8" s="226"/>
      <c r="AT8" s="213"/>
      <c r="AW8" s="3"/>
      <c r="AX8" s="3"/>
    </row>
    <row r="9" spans="1:52" s="7" customFormat="1" ht="15.75" customHeight="1" thickBot="1">
      <c r="A9" s="62"/>
      <c r="B9" s="38">
        <v>5</v>
      </c>
      <c r="C9" s="17"/>
      <c r="D9" s="18"/>
      <c r="E9" s="18">
        <f>N9*2.1191</f>
        <v>0</v>
      </c>
      <c r="F9" s="18"/>
      <c r="G9" s="18"/>
      <c r="H9" s="18"/>
      <c r="I9" s="18"/>
      <c r="J9" s="109"/>
      <c r="K9" s="27"/>
      <c r="L9" s="15">
        <f>K9*3412</f>
        <v>0</v>
      </c>
      <c r="M9" s="15"/>
      <c r="N9" s="15"/>
      <c r="O9" s="15"/>
      <c r="P9" s="15"/>
      <c r="Q9" s="121">
        <f>P9/250</f>
        <v>0</v>
      </c>
      <c r="R9" s="211"/>
      <c r="S9" s="211"/>
      <c r="T9" s="211">
        <f t="shared" si="1"/>
        <v>32</v>
      </c>
      <c r="U9" s="211">
        <f t="shared" si="1"/>
        <v>32</v>
      </c>
      <c r="V9" s="211"/>
      <c r="W9" s="211"/>
      <c r="X9" s="211">
        <f t="shared" si="2"/>
        <v>32</v>
      </c>
      <c r="Y9" s="211">
        <f t="shared" si="2"/>
        <v>32</v>
      </c>
      <c r="Z9" s="70"/>
      <c r="AA9" s="21"/>
      <c r="AB9" s="18"/>
      <c r="AC9" s="18"/>
      <c r="AD9" s="18"/>
      <c r="AE9" s="18">
        <f>SUM(AA9:AD9)</f>
        <v>0</v>
      </c>
      <c r="AF9" s="18">
        <f t="shared" si="3"/>
        <v>0</v>
      </c>
      <c r="AG9" s="18">
        <f>AF9*1.25</f>
        <v>0</v>
      </c>
      <c r="AH9" s="18">
        <f>CEILING(AG9,5)</f>
        <v>0</v>
      </c>
      <c r="AI9" s="18"/>
      <c r="AJ9" s="19">
        <f>AI9*AH9</f>
        <v>0</v>
      </c>
      <c r="AL9" s="14">
        <f t="shared" si="0"/>
        <v>5</v>
      </c>
      <c r="AM9" s="15">
        <f t="shared" si="0"/>
        <v>0</v>
      </c>
      <c r="AN9" s="15">
        <f t="shared" si="0"/>
        <v>0</v>
      </c>
      <c r="AO9" s="211"/>
      <c r="AP9" s="224"/>
      <c r="AQ9" s="224"/>
      <c r="AR9" s="227"/>
      <c r="AS9" s="227"/>
      <c r="AT9" s="214"/>
      <c r="AW9" s="3"/>
      <c r="AX9" s="3"/>
    </row>
    <row r="10" spans="1:52" s="7" customFormat="1" ht="17.25" thickBot="1">
      <c r="A10" s="62"/>
      <c r="F10" s="11"/>
      <c r="G10" s="11"/>
      <c r="H10" s="11"/>
      <c r="I10" s="11"/>
      <c r="J10" s="11"/>
      <c r="AE10" s="11"/>
      <c r="AF10" s="11"/>
      <c r="AG10" s="11"/>
      <c r="AH10" s="11"/>
      <c r="AI10" s="172">
        <f>SUM(AI5:AI9)</f>
        <v>1</v>
      </c>
      <c r="AJ10" s="173">
        <f>SUM(AJ5:AJ9)</f>
        <v>0</v>
      </c>
      <c r="AW10" s="3"/>
      <c r="AX10" s="3"/>
    </row>
    <row r="11" spans="1:52" ht="15.75">
      <c r="A11" s="62"/>
    </row>
    <row r="12" spans="1:52" ht="16.5" thickBot="1">
      <c r="A12" s="62"/>
    </row>
    <row r="13" spans="1:52" ht="21" thickBot="1">
      <c r="A13" s="62"/>
      <c r="C13" s="1790" t="s">
        <v>70</v>
      </c>
      <c r="D13" s="1784"/>
      <c r="E13" s="1784"/>
      <c r="F13" s="1784"/>
      <c r="G13" s="1784"/>
      <c r="H13" s="1784"/>
      <c r="I13" s="1784"/>
      <c r="J13" s="1784"/>
      <c r="K13" s="1785"/>
    </row>
    <row r="14" spans="1:52" ht="15.75">
      <c r="A14" s="62"/>
      <c r="C14" s="39" t="s">
        <v>3</v>
      </c>
      <c r="D14" s="39"/>
      <c r="E14" s="39"/>
      <c r="F14" s="39"/>
      <c r="G14" s="39"/>
      <c r="H14" s="39"/>
      <c r="I14" s="39"/>
      <c r="J14" s="39"/>
      <c r="K14" s="39"/>
    </row>
    <row r="15" spans="1:52" ht="15.75">
      <c r="A15" s="62"/>
    </row>
    <row r="16" spans="1:52"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5">
    <mergeCell ref="AA3:AJ3"/>
    <mergeCell ref="AL3:AT3"/>
    <mergeCell ref="B3:J3"/>
    <mergeCell ref="C13:K13"/>
    <mergeCell ref="K3:Y3"/>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1267" r:id="rId4" name="Technical">
          <controlPr defaultSize="0" autoLine="0" r:id="rId5">
            <anchor moveWithCells="1">
              <from>
                <xdr:col>0</xdr:col>
                <xdr:colOff>0</xdr:colOff>
                <xdr:row>3</xdr:row>
                <xdr:rowOff>133350</xdr:rowOff>
              </from>
              <to>
                <xdr:col>3</xdr:col>
                <xdr:colOff>466725</xdr:colOff>
                <xdr:row>3</xdr:row>
                <xdr:rowOff>447675</xdr:rowOff>
              </to>
            </anchor>
          </controlPr>
        </control>
      </mc:Choice>
      <mc:Fallback>
        <control shapeId="11267" r:id="rId4" name="Technical"/>
      </mc:Fallback>
    </mc:AlternateContent>
    <mc:AlternateContent xmlns:mc="http://schemas.openxmlformats.org/markup-compatibility/2006">
      <mc:Choice Requires="x14">
        <control shapeId="11266" r:id="rId6" name="Specs">
          <controlPr defaultSize="0" autoLine="0" r:id="rId7">
            <anchor moveWithCells="1">
              <from>
                <xdr:col>0</xdr:col>
                <xdr:colOff>0</xdr:colOff>
                <xdr:row>3</xdr:row>
                <xdr:rowOff>133350</xdr:rowOff>
              </from>
              <to>
                <xdr:col>3</xdr:col>
                <xdr:colOff>466725</xdr:colOff>
                <xdr:row>3</xdr:row>
                <xdr:rowOff>447675</xdr:rowOff>
              </to>
            </anchor>
          </controlPr>
        </control>
      </mc:Choice>
      <mc:Fallback>
        <control shapeId="11266" r:id="rId6" name="Specs"/>
      </mc:Fallback>
    </mc:AlternateContent>
    <mc:AlternateContent xmlns:mc="http://schemas.openxmlformats.org/markup-compatibility/2006">
      <mc:Choice Requires="x14">
        <control shapeId="11265" r:id="rId8" name="Hide">
          <controlPr defaultSize="0" autoLine="0" r:id="rId9">
            <anchor moveWithCells="1">
              <from>
                <xdr:col>0</xdr:col>
                <xdr:colOff>0</xdr:colOff>
                <xdr:row>2</xdr:row>
                <xdr:rowOff>0</xdr:rowOff>
              </from>
              <to>
                <xdr:col>2</xdr:col>
                <xdr:colOff>209550</xdr:colOff>
                <xdr:row>3</xdr:row>
                <xdr:rowOff>57150</xdr:rowOff>
              </to>
            </anchor>
          </controlPr>
        </control>
      </mc:Choice>
      <mc:Fallback>
        <control shapeId="11265" r:id="rId8" name="Hide"/>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D1_A_PPH"/>
  <dimension ref="A1:CH70"/>
  <sheetViews>
    <sheetView zoomScale="80" zoomScaleNormal="80" workbookViewId="0">
      <pane xSplit="1" topLeftCell="B1" activePane="topRight" state="frozen"/>
      <selection pane="topRight" activeCell="AP18" sqref="AP18"/>
    </sheetView>
  </sheetViews>
  <sheetFormatPr defaultColWidth="9.140625" defaultRowHeight="16.5"/>
  <cols>
    <col min="1" max="1" width="55.7109375" style="1" hidden="1" customWidth="1"/>
    <col min="2" max="2" width="4.140625" style="7" bestFit="1" customWidth="1"/>
    <col min="3" max="3" width="41.42578125" style="7" customWidth="1"/>
    <col min="4" max="4" width="18.7109375" style="7" bestFit="1" customWidth="1"/>
    <col min="5" max="5" width="18.7109375" style="7" customWidth="1"/>
    <col min="6" max="6" width="22.140625" style="7" bestFit="1" customWidth="1"/>
    <col min="7" max="7" width="13.42578125" style="11" customWidth="1"/>
    <col min="8" max="8" width="15" style="11" bestFit="1" customWidth="1"/>
    <col min="9" max="12" width="13.42578125" style="11" customWidth="1"/>
    <col min="13" max="15" width="17.7109375" style="7" customWidth="1"/>
    <col min="16" max="17" width="12.140625" style="7" customWidth="1"/>
    <col min="18" max="19" width="11.5703125" style="7" customWidth="1"/>
    <col min="20" max="21" width="13.85546875" style="7" customWidth="1"/>
    <col min="22" max="22" width="7.85546875" style="7" bestFit="1" customWidth="1"/>
    <col min="23" max="23" width="6" style="7" customWidth="1"/>
    <col min="24" max="24" width="7.42578125" style="7" bestFit="1" customWidth="1"/>
    <col min="25" max="25" width="7.140625" style="7" bestFit="1" customWidth="1"/>
    <col min="26" max="26" width="10" style="7" customWidth="1"/>
    <col min="27" max="27" width="8.42578125" style="7" bestFit="1" customWidth="1"/>
    <col min="28" max="28" width="9.42578125" style="7" customWidth="1"/>
    <col min="29" max="29" width="8.85546875" style="7" customWidth="1"/>
    <col min="30" max="30" width="4.140625" style="7" customWidth="1"/>
    <col min="31" max="31" width="9.5703125" style="7" bestFit="1" customWidth="1"/>
    <col min="32" max="32" width="15.7109375" style="7" customWidth="1"/>
    <col min="33" max="33" width="9.28515625" style="7" bestFit="1" customWidth="1"/>
    <col min="34" max="34" width="11.5703125" style="7" customWidth="1"/>
    <col min="35" max="35" width="9.28515625" style="7" bestFit="1" customWidth="1"/>
    <col min="36" max="36" width="13.7109375" style="7" customWidth="1"/>
    <col min="37" max="37" width="10.5703125" style="7" bestFit="1" customWidth="1"/>
    <col min="38" max="38" width="13.7109375" style="7" bestFit="1" customWidth="1"/>
    <col min="39" max="39" width="11.28515625" style="7" customWidth="1"/>
    <col min="40" max="40" width="11.140625" style="7" customWidth="1"/>
    <col min="41" max="41" width="9.140625" style="7"/>
    <col min="42" max="42" width="11.28515625" style="7" customWidth="1"/>
    <col min="43" max="46" width="9.140625" style="7"/>
    <col min="47" max="47" width="22.140625" style="7" bestFit="1" customWidth="1"/>
    <col min="48" max="48" width="11" style="7" bestFit="1" customWidth="1"/>
    <col min="49" max="57" width="9.140625" style="7"/>
    <col min="58" max="58" width="10.5703125" style="7" customWidth="1"/>
    <col min="59" max="69" width="9.140625" style="7"/>
    <col min="70" max="70" width="11.42578125" style="7" bestFit="1" customWidth="1"/>
    <col min="71" max="72" width="9.140625" style="7"/>
    <col min="73" max="73" width="11" style="7" bestFit="1" customWidth="1"/>
    <col min="74" max="75" width="9.140625" style="7"/>
    <col min="76" max="76" width="11.28515625" style="7" customWidth="1"/>
    <col min="77" max="77" width="9.140625" style="7"/>
    <col min="78" max="78" width="11.5703125" style="7" customWidth="1"/>
    <col min="79" max="79" width="9.140625" style="7"/>
    <col min="80" max="80" width="11.28515625" style="7" customWidth="1"/>
    <col min="81" max="81" width="12.7109375" style="7" customWidth="1"/>
    <col min="82" max="82" width="16.42578125" style="7" customWidth="1"/>
    <col min="83" max="83" width="14.85546875" style="7" customWidth="1"/>
    <col min="84" max="16384" width="9.140625" style="7"/>
  </cols>
  <sheetData>
    <row r="1" spans="1:86" s="1" customFormat="1" ht="15.75" hidden="1" customHeight="1" thickBot="1">
      <c r="A1" s="159" t="s">
        <v>394</v>
      </c>
      <c r="B1" s="160">
        <v>1</v>
      </c>
      <c r="C1" s="160">
        <v>2</v>
      </c>
      <c r="D1" s="160">
        <v>3</v>
      </c>
      <c r="E1" s="160">
        <v>5</v>
      </c>
      <c r="F1" s="160">
        <v>4</v>
      </c>
      <c r="G1" s="160">
        <v>6</v>
      </c>
      <c r="H1" s="160">
        <v>0</v>
      </c>
      <c r="I1" s="160">
        <v>0</v>
      </c>
      <c r="J1" s="160">
        <v>0</v>
      </c>
      <c r="K1" s="160">
        <v>0</v>
      </c>
      <c r="L1" s="160">
        <v>0</v>
      </c>
      <c r="M1" s="160">
        <v>0</v>
      </c>
      <c r="N1" s="160">
        <v>0</v>
      </c>
      <c r="O1" s="160">
        <v>0</v>
      </c>
      <c r="P1" s="160">
        <v>0</v>
      </c>
      <c r="Q1" s="160">
        <v>0</v>
      </c>
      <c r="R1" s="160">
        <v>7</v>
      </c>
      <c r="S1" s="160">
        <v>0</v>
      </c>
      <c r="T1" s="160">
        <v>8</v>
      </c>
      <c r="U1" s="160">
        <v>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c r="BE1" s="160">
        <v>10</v>
      </c>
      <c r="BF1" s="160">
        <v>11</v>
      </c>
      <c r="BG1" s="160">
        <v>0</v>
      </c>
      <c r="BH1" s="160">
        <v>0</v>
      </c>
      <c r="BI1" s="160">
        <v>0</v>
      </c>
      <c r="BJ1" s="160">
        <v>0</v>
      </c>
      <c r="BK1" s="160">
        <v>12</v>
      </c>
      <c r="BL1" s="160">
        <v>13</v>
      </c>
      <c r="BM1" s="160">
        <v>14</v>
      </c>
      <c r="BN1" s="160">
        <v>15</v>
      </c>
      <c r="BO1" s="160">
        <v>16</v>
      </c>
      <c r="BP1" s="160">
        <v>17</v>
      </c>
      <c r="BQ1" s="160">
        <v>0</v>
      </c>
      <c r="BR1" s="160">
        <v>0</v>
      </c>
      <c r="BS1" s="160">
        <v>0</v>
      </c>
      <c r="BT1" s="160">
        <v>0</v>
      </c>
      <c r="BU1" s="160">
        <v>0</v>
      </c>
      <c r="BV1" s="160">
        <v>0</v>
      </c>
      <c r="BW1" s="160">
        <v>0</v>
      </c>
      <c r="BX1" s="160">
        <v>0</v>
      </c>
      <c r="BY1" s="160">
        <v>0</v>
      </c>
      <c r="BZ1" s="160">
        <v>0</v>
      </c>
      <c r="CA1" s="160">
        <v>0</v>
      </c>
      <c r="CB1" s="160">
        <v>0</v>
      </c>
      <c r="CC1" s="160">
        <v>0</v>
      </c>
      <c r="CD1" s="160">
        <v>0</v>
      </c>
      <c r="CE1" s="160">
        <v>0</v>
      </c>
      <c r="CF1" s="160">
        <v>0</v>
      </c>
      <c r="CG1" s="160">
        <v>0</v>
      </c>
      <c r="CH1" s="160">
        <v>0</v>
      </c>
    </row>
    <row r="2" spans="1:86" s="1" customFormat="1" ht="14.25" hidden="1" customHeight="1" thickBot="1">
      <c r="A2" s="62"/>
      <c r="B2" s="1" t="s">
        <v>1201</v>
      </c>
      <c r="C2" s="1" t="s">
        <v>427</v>
      </c>
      <c r="D2" s="1" t="s">
        <v>428</v>
      </c>
      <c r="E2" s="1" t="s">
        <v>2521</v>
      </c>
      <c r="F2" s="1" t="s">
        <v>426</v>
      </c>
      <c r="G2" s="1" t="s">
        <v>2098</v>
      </c>
      <c r="H2" s="1" t="s">
        <v>2099</v>
      </c>
      <c r="I2" s="1" t="s">
        <v>2116</v>
      </c>
      <c r="J2" s="1" t="s">
        <v>2117</v>
      </c>
      <c r="K2" s="1" t="s">
        <v>2120</v>
      </c>
      <c r="L2" s="1" t="s">
        <v>2104</v>
      </c>
      <c r="M2" s="1">
        <v>0</v>
      </c>
      <c r="N2" s="1">
        <v>0</v>
      </c>
      <c r="O2" s="1">
        <v>0</v>
      </c>
      <c r="P2" s="1">
        <v>0</v>
      </c>
      <c r="Q2" s="1" t="s">
        <v>1335</v>
      </c>
      <c r="R2" s="1" t="s">
        <v>578</v>
      </c>
      <c r="S2" s="1" t="s">
        <v>1331</v>
      </c>
      <c r="T2" s="1" t="s">
        <v>579</v>
      </c>
      <c r="U2" s="1" t="s">
        <v>1333</v>
      </c>
      <c r="V2" s="1">
        <v>0</v>
      </c>
      <c r="W2" s="713" t="s">
        <v>396</v>
      </c>
      <c r="X2" s="1">
        <v>0</v>
      </c>
      <c r="Y2" s="1">
        <v>0</v>
      </c>
      <c r="Z2" s="1">
        <v>0</v>
      </c>
      <c r="AA2" s="713" t="s">
        <v>2124</v>
      </c>
      <c r="AB2" s="1">
        <v>0</v>
      </c>
      <c r="AC2" s="1">
        <v>0</v>
      </c>
      <c r="AD2" s="1">
        <v>0</v>
      </c>
      <c r="AE2" s="1">
        <v>0</v>
      </c>
      <c r="AF2" s="1">
        <v>0</v>
      </c>
      <c r="AG2" s="1">
        <v>0</v>
      </c>
      <c r="AH2" s="1">
        <v>0</v>
      </c>
      <c r="AI2" s="1">
        <v>0</v>
      </c>
      <c r="AJ2" s="1">
        <v>0</v>
      </c>
      <c r="AK2" s="1">
        <v>0</v>
      </c>
      <c r="AL2" s="1">
        <v>0</v>
      </c>
      <c r="AM2" s="1">
        <v>0</v>
      </c>
      <c r="AN2" s="1" t="s">
        <v>2102</v>
      </c>
      <c r="AO2" s="1" t="s">
        <v>2100</v>
      </c>
      <c r="AP2" s="1" t="s">
        <v>2101</v>
      </c>
      <c r="AQ2" s="1">
        <v>0</v>
      </c>
      <c r="AR2" s="1">
        <v>0</v>
      </c>
      <c r="AS2" s="1">
        <v>0</v>
      </c>
      <c r="AT2" s="1">
        <v>0</v>
      </c>
      <c r="AU2" s="1">
        <v>0</v>
      </c>
      <c r="AV2" s="1">
        <v>0</v>
      </c>
      <c r="AW2" s="1">
        <v>0</v>
      </c>
      <c r="AX2" s="1">
        <v>0</v>
      </c>
      <c r="AY2" s="1">
        <v>0</v>
      </c>
      <c r="AZ2" s="1">
        <v>0</v>
      </c>
      <c r="BA2" s="1" t="s">
        <v>2119</v>
      </c>
      <c r="BB2" s="1">
        <v>0</v>
      </c>
      <c r="BC2" s="1">
        <v>0</v>
      </c>
      <c r="BD2" s="1">
        <v>0</v>
      </c>
      <c r="BE2" s="1" t="s">
        <v>570</v>
      </c>
      <c r="BF2" s="1" t="s">
        <v>571</v>
      </c>
      <c r="BG2" s="1">
        <v>0</v>
      </c>
      <c r="BH2" s="1">
        <v>0</v>
      </c>
      <c r="BI2" s="1">
        <v>0</v>
      </c>
      <c r="BJ2" s="1">
        <v>0</v>
      </c>
      <c r="BK2" s="1" t="s">
        <v>39</v>
      </c>
      <c r="BL2" s="1" t="s">
        <v>40</v>
      </c>
      <c r="BM2" s="1" t="s">
        <v>38</v>
      </c>
      <c r="BN2" s="1" t="s">
        <v>645</v>
      </c>
      <c r="BO2" s="1" t="s">
        <v>2136</v>
      </c>
      <c r="BP2" s="1" t="s">
        <v>41</v>
      </c>
      <c r="BQ2" s="1">
        <v>0</v>
      </c>
      <c r="BR2" s="1">
        <v>0</v>
      </c>
      <c r="BS2" s="1">
        <v>0</v>
      </c>
      <c r="BT2" s="1">
        <v>0</v>
      </c>
      <c r="BU2" s="1" t="s">
        <v>619</v>
      </c>
      <c r="BV2" s="1" t="s">
        <v>613</v>
      </c>
      <c r="BW2" s="1" t="s">
        <v>615</v>
      </c>
      <c r="BX2" s="1" t="s">
        <v>614</v>
      </c>
      <c r="BY2" s="1" t="s">
        <v>616</v>
      </c>
      <c r="BZ2" s="1" t="s">
        <v>617</v>
      </c>
      <c r="CA2" s="1" t="s">
        <v>618</v>
      </c>
      <c r="CB2" s="1" t="s">
        <v>2122</v>
      </c>
      <c r="CC2" s="1" t="s">
        <v>2123</v>
      </c>
      <c r="CD2" s="1" t="s">
        <v>2126</v>
      </c>
      <c r="CE2" s="1" t="s">
        <v>2128</v>
      </c>
      <c r="CF2" s="1" t="s">
        <v>1343</v>
      </c>
      <c r="CG2" s="1">
        <v>0</v>
      </c>
      <c r="CH2" s="1">
        <v>0</v>
      </c>
    </row>
    <row r="3" spans="1:86" ht="19.5" customHeight="1" thickTop="1" thickBot="1">
      <c r="A3" s="916" t="s">
        <v>80</v>
      </c>
      <c r="B3" s="1813" t="s">
        <v>21</v>
      </c>
      <c r="C3" s="1814"/>
      <c r="D3" s="1814"/>
      <c r="E3" s="1814"/>
      <c r="F3" s="1814"/>
      <c r="G3" s="1814"/>
      <c r="H3" s="1815"/>
      <c r="I3" s="1815"/>
      <c r="J3" s="1815"/>
      <c r="K3" s="1815"/>
      <c r="L3" s="1816"/>
      <c r="M3" s="1817" t="s">
        <v>17</v>
      </c>
      <c r="N3" s="1818"/>
      <c r="O3" s="1818"/>
      <c r="P3" s="1818"/>
      <c r="Q3" s="1818"/>
      <c r="R3" s="1818"/>
      <c r="S3" s="1818"/>
      <c r="T3" s="1818"/>
      <c r="U3" s="1818"/>
      <c r="V3" s="1818"/>
      <c r="W3" s="1818"/>
      <c r="X3" s="1818"/>
      <c r="Y3" s="1818"/>
      <c r="Z3" s="1818"/>
      <c r="AA3" s="1818"/>
      <c r="AB3" s="1818"/>
      <c r="AC3" s="1819"/>
      <c r="AD3" s="68"/>
      <c r="AE3" s="1810" t="s">
        <v>24</v>
      </c>
      <c r="AF3" s="1811"/>
      <c r="AG3" s="1811"/>
      <c r="AH3" s="1811"/>
      <c r="AI3" s="1811"/>
      <c r="AJ3" s="1811"/>
      <c r="AK3" s="1811"/>
      <c r="AL3" s="1811"/>
      <c r="AM3" s="1811"/>
      <c r="AN3" s="1811"/>
      <c r="AO3" s="1811"/>
      <c r="AP3" s="1812"/>
      <c r="AR3" s="1780" t="s">
        <v>569</v>
      </c>
      <c r="AS3" s="1781"/>
      <c r="AT3" s="1781"/>
      <c r="AU3" s="1781"/>
      <c r="AV3" s="1781"/>
      <c r="AW3" s="1781"/>
      <c r="AX3" s="1781"/>
      <c r="AY3" s="1781"/>
      <c r="AZ3" s="1781"/>
      <c r="BA3" s="1781"/>
      <c r="BB3" s="1781"/>
      <c r="BC3" s="1781"/>
      <c r="BD3" s="1781"/>
      <c r="BE3" s="1781"/>
      <c r="BF3" s="1782"/>
      <c r="BH3" s="1780" t="s">
        <v>42</v>
      </c>
      <c r="BI3" s="1781"/>
      <c r="BJ3" s="1781"/>
      <c r="BK3" s="1781"/>
      <c r="BL3" s="1781"/>
      <c r="BM3" s="1781"/>
      <c r="BN3" s="1781"/>
      <c r="BO3" s="1781"/>
      <c r="BP3" s="1782"/>
      <c r="BR3" s="1780" t="s">
        <v>2131</v>
      </c>
      <c r="BS3" s="1781"/>
      <c r="BT3" s="1781"/>
      <c r="BU3" s="1781"/>
      <c r="BV3" s="1781"/>
      <c r="BW3" s="1781"/>
      <c r="BX3" s="1781"/>
      <c r="BY3" s="1781"/>
      <c r="BZ3" s="1781"/>
      <c r="CA3" s="1781"/>
      <c r="CB3" s="1781"/>
      <c r="CC3" s="1781"/>
      <c r="CD3" s="1781"/>
      <c r="CE3" s="1781"/>
      <c r="CF3" s="1782"/>
    </row>
    <row r="4" spans="1:86" ht="50.25" thickTop="1">
      <c r="A4" s="98"/>
      <c r="B4" s="90" t="s">
        <v>2</v>
      </c>
      <c r="C4" s="79" t="s">
        <v>3</v>
      </c>
      <c r="D4" s="79" t="s">
        <v>0</v>
      </c>
      <c r="E4" s="79" t="s">
        <v>2520</v>
      </c>
      <c r="F4" s="79" t="s">
        <v>2502</v>
      </c>
      <c r="G4" s="79" t="s">
        <v>87</v>
      </c>
      <c r="H4" s="79" t="s">
        <v>582</v>
      </c>
      <c r="I4" s="92" t="s">
        <v>583</v>
      </c>
      <c r="J4" s="92" t="s">
        <v>584</v>
      </c>
      <c r="K4" s="92" t="s">
        <v>2121</v>
      </c>
      <c r="L4" s="80" t="s">
        <v>14</v>
      </c>
      <c r="M4" s="83" t="s">
        <v>595</v>
      </c>
      <c r="N4" s="83" t="s">
        <v>596</v>
      </c>
      <c r="O4" s="83" t="s">
        <v>597</v>
      </c>
      <c r="P4" s="101" t="s">
        <v>606</v>
      </c>
      <c r="Q4" s="82" t="s">
        <v>1336</v>
      </c>
      <c r="R4" s="83" t="s">
        <v>599</v>
      </c>
      <c r="S4" s="83" t="s">
        <v>1332</v>
      </c>
      <c r="T4" s="83" t="s">
        <v>594</v>
      </c>
      <c r="U4" s="82" t="s">
        <v>1334</v>
      </c>
      <c r="V4" s="82" t="s">
        <v>604</v>
      </c>
      <c r="W4" s="83" t="s">
        <v>605</v>
      </c>
      <c r="X4" s="82" t="s">
        <v>601</v>
      </c>
      <c r="Y4" s="83" t="s">
        <v>19</v>
      </c>
      <c r="Z4" s="83" t="s">
        <v>590</v>
      </c>
      <c r="AA4" s="82" t="s">
        <v>602</v>
      </c>
      <c r="AB4" s="83" t="s">
        <v>591</v>
      </c>
      <c r="AC4" s="83" t="s">
        <v>603</v>
      </c>
      <c r="AD4" s="69"/>
      <c r="AE4" s="84" t="s">
        <v>27</v>
      </c>
      <c r="AF4" s="86" t="s">
        <v>12</v>
      </c>
      <c r="AG4" s="86" t="s">
        <v>4</v>
      </c>
      <c r="AH4" s="86" t="s">
        <v>25</v>
      </c>
      <c r="AI4" s="86" t="s">
        <v>16</v>
      </c>
      <c r="AJ4" s="86" t="s">
        <v>7</v>
      </c>
      <c r="AK4" s="87" t="s">
        <v>26</v>
      </c>
      <c r="AL4" s="88" t="s">
        <v>11</v>
      </c>
      <c r="AM4" s="88" t="s">
        <v>15</v>
      </c>
      <c r="AN4" s="88" t="s">
        <v>2490</v>
      </c>
      <c r="AO4" s="88" t="s">
        <v>5</v>
      </c>
      <c r="AP4" s="89" t="s">
        <v>2491</v>
      </c>
      <c r="AR4" s="52" t="str">
        <f t="shared" ref="AR4:AT5" si="0">B4</f>
        <v>No.</v>
      </c>
      <c r="AS4" s="53" t="str">
        <f t="shared" si="0"/>
        <v>Ref.</v>
      </c>
      <c r="AT4" s="53" t="str">
        <f t="shared" si="0"/>
        <v>Model</v>
      </c>
      <c r="AU4" s="238" t="str">
        <f t="shared" ref="AU4:AU5" si="1">F4</f>
        <v>Air Flow Rate
 (CFM)</v>
      </c>
      <c r="AV4" s="241" t="str">
        <f t="shared" ref="AV4:AV5" si="2">W4</f>
        <v>ESP
(inwg)</v>
      </c>
      <c r="AW4" s="54" t="s">
        <v>31</v>
      </c>
      <c r="AX4" s="54" t="s">
        <v>29</v>
      </c>
      <c r="AY4" s="53" t="s">
        <v>30</v>
      </c>
      <c r="AZ4" s="53" t="s">
        <v>32</v>
      </c>
      <c r="BA4" s="53" t="s">
        <v>33</v>
      </c>
      <c r="BB4" s="53" t="s">
        <v>34</v>
      </c>
      <c r="BC4" s="53" t="s">
        <v>8</v>
      </c>
      <c r="BD4" s="53" t="s">
        <v>36</v>
      </c>
      <c r="BE4" s="235" t="s">
        <v>637</v>
      </c>
      <c r="BF4" s="236" t="s">
        <v>572</v>
      </c>
      <c r="BH4" s="48" t="str">
        <f t="shared" ref="BH4:BJ5" si="3">B4</f>
        <v>No.</v>
      </c>
      <c r="BI4" s="49" t="str">
        <f t="shared" si="3"/>
        <v>Ref.</v>
      </c>
      <c r="BJ4" s="49" t="str">
        <f t="shared" si="3"/>
        <v>Model</v>
      </c>
      <c r="BK4" s="49" t="s">
        <v>39</v>
      </c>
      <c r="BL4" s="50" t="s">
        <v>40</v>
      </c>
      <c r="BM4" s="50" t="s">
        <v>38</v>
      </c>
      <c r="BN4" s="243" t="s">
        <v>645</v>
      </c>
      <c r="BO4" s="243" t="s">
        <v>2136</v>
      </c>
      <c r="BP4" s="51" t="s">
        <v>41</v>
      </c>
      <c r="BR4" s="228" t="str">
        <f t="shared" ref="BR4:BT5" si="4">BH4</f>
        <v>No.</v>
      </c>
      <c r="BS4" s="234" t="str">
        <f t="shared" si="4"/>
        <v>Ref.</v>
      </c>
      <c r="BT4" s="234" t="str">
        <f t="shared" si="4"/>
        <v>Model</v>
      </c>
      <c r="BU4" s="234" t="s">
        <v>621</v>
      </c>
      <c r="BV4" s="234" t="s">
        <v>580</v>
      </c>
      <c r="BW4" s="234" t="s">
        <v>1329</v>
      </c>
      <c r="BX4" s="234" t="s">
        <v>581</v>
      </c>
      <c r="BY4" s="234" t="s">
        <v>1330</v>
      </c>
      <c r="BZ4" s="239" t="s">
        <v>620</v>
      </c>
      <c r="CA4" s="234" t="s">
        <v>5</v>
      </c>
      <c r="CB4" s="239" t="s">
        <v>2130</v>
      </c>
      <c r="CC4" s="239" t="s">
        <v>2129</v>
      </c>
      <c r="CD4" s="239" t="s">
        <v>2125</v>
      </c>
      <c r="CE4" s="239" t="s">
        <v>2127</v>
      </c>
      <c r="CF4" s="757" t="s">
        <v>1328</v>
      </c>
    </row>
    <row r="5" spans="1:86">
      <c r="A5" s="99"/>
      <c r="B5" s="24">
        <v>1</v>
      </c>
      <c r="C5" s="914" t="s">
        <v>2840</v>
      </c>
      <c r="D5" s="25" t="s">
        <v>2840</v>
      </c>
      <c r="E5" s="25" t="s">
        <v>2840</v>
      </c>
      <c r="F5" s="22">
        <f>P5*2.1191</f>
        <v>0</v>
      </c>
      <c r="G5" s="22" t="s">
        <v>2840</v>
      </c>
      <c r="H5" s="22"/>
      <c r="I5" s="754"/>
      <c r="J5" s="754"/>
      <c r="K5" s="755"/>
      <c r="L5" s="747"/>
      <c r="M5" s="12"/>
      <c r="N5" s="26">
        <f>M5*3412</f>
        <v>0</v>
      </c>
      <c r="O5" s="26"/>
      <c r="P5" s="8"/>
      <c r="Q5" s="8"/>
      <c r="R5" s="8" t="s">
        <v>2840</v>
      </c>
      <c r="S5" s="8"/>
      <c r="T5" s="8" t="s">
        <v>2840</v>
      </c>
      <c r="U5" s="8"/>
      <c r="V5" s="8"/>
      <c r="W5" s="119">
        <f>V5/249</f>
        <v>0</v>
      </c>
      <c r="X5" s="210"/>
      <c r="Y5" s="210"/>
      <c r="Z5" s="210"/>
      <c r="AA5" s="210">
        <f t="shared" ref="AA5:AC5" si="5">X5*1.8+32</f>
        <v>32</v>
      </c>
      <c r="AB5" s="210">
        <f t="shared" si="5"/>
        <v>32</v>
      </c>
      <c r="AC5" s="210">
        <f t="shared" si="5"/>
        <v>32</v>
      </c>
      <c r="AD5" s="69"/>
      <c r="AE5" s="20"/>
      <c r="AF5" s="9">
        <f>0.06*AE5</f>
        <v>0</v>
      </c>
      <c r="AG5" s="9"/>
      <c r="AH5" s="9"/>
      <c r="AI5" s="9"/>
      <c r="AJ5" s="9">
        <f>D65</f>
        <v>0</v>
      </c>
      <c r="AK5" s="9">
        <f>SUM(AE5:AJ5)</f>
        <v>0</v>
      </c>
      <c r="AL5" s="22">
        <f>AK5*3.75</f>
        <v>0</v>
      </c>
      <c r="AM5" s="22">
        <f>AL5*1.25</f>
        <v>0</v>
      </c>
      <c r="AN5" s="22">
        <f>CEILING(AM5,5)</f>
        <v>0</v>
      </c>
      <c r="AO5" s="22">
        <v>1</v>
      </c>
      <c r="AP5" s="23">
        <f>AO5*AN5</f>
        <v>0</v>
      </c>
      <c r="AR5" s="12">
        <f t="shared" si="0"/>
        <v>1</v>
      </c>
      <c r="AS5" s="8" t="str">
        <f t="shared" si="0"/>
        <v>XX</v>
      </c>
      <c r="AT5" s="8" t="str">
        <f t="shared" si="0"/>
        <v>XX</v>
      </c>
      <c r="AU5" s="8">
        <f t="shared" si="1"/>
        <v>0</v>
      </c>
      <c r="AV5" s="118">
        <f t="shared" si="2"/>
        <v>0</v>
      </c>
      <c r="AW5" s="118"/>
      <c r="AX5" s="119"/>
      <c r="AY5" s="119"/>
      <c r="AZ5" s="119"/>
      <c r="BA5" s="742"/>
      <c r="BB5" s="119"/>
      <c r="BC5" s="119">
        <f>SUM(AV5:BB5)</f>
        <v>0</v>
      </c>
      <c r="BD5" s="8"/>
      <c r="BE5" s="210"/>
      <c r="BF5" s="13"/>
      <c r="BH5" s="12">
        <f t="shared" si="3"/>
        <v>1</v>
      </c>
      <c r="BI5" s="8" t="str">
        <f t="shared" si="3"/>
        <v>XX</v>
      </c>
      <c r="BJ5" s="8" t="str">
        <f t="shared" si="3"/>
        <v>XX</v>
      </c>
      <c r="BK5" s="210"/>
      <c r="BL5" s="223"/>
      <c r="BM5" s="223"/>
      <c r="BN5" s="226"/>
      <c r="BO5" s="226"/>
      <c r="BP5" s="213"/>
      <c r="BR5" s="12">
        <f t="shared" si="4"/>
        <v>1</v>
      </c>
      <c r="BS5" s="8" t="str">
        <f t="shared" si="4"/>
        <v>XX</v>
      </c>
      <c r="BT5" s="8" t="str">
        <f t="shared" si="4"/>
        <v>XX</v>
      </c>
      <c r="BU5" s="742"/>
      <c r="BV5" s="749"/>
      <c r="BW5" s="752"/>
      <c r="BX5" s="223"/>
      <c r="BY5" s="210"/>
      <c r="BZ5" s="745"/>
      <c r="CA5" s="745"/>
      <c r="CB5" s="742"/>
      <c r="CC5" s="742"/>
      <c r="CD5" s="742"/>
      <c r="CE5" s="742"/>
      <c r="CF5" s="758"/>
    </row>
    <row r="6" spans="1:86">
      <c r="A6" s="99"/>
      <c r="B6" s="24">
        <v>2</v>
      </c>
      <c r="C6" s="914"/>
      <c r="D6" s="25"/>
      <c r="E6" s="25"/>
      <c r="F6" s="22">
        <f t="shared" ref="F6" si="6">P6*2.1191</f>
        <v>0</v>
      </c>
      <c r="G6" s="22"/>
      <c r="H6" s="22"/>
      <c r="I6" s="754"/>
      <c r="J6" s="754"/>
      <c r="K6" s="755"/>
      <c r="L6" s="747"/>
      <c r="M6" s="12"/>
      <c r="N6" s="26">
        <f t="shared" ref="N6" si="7">M6*3412</f>
        <v>0</v>
      </c>
      <c r="O6" s="26"/>
      <c r="P6" s="8"/>
      <c r="Q6" s="8"/>
      <c r="R6" s="8"/>
      <c r="S6" s="8"/>
      <c r="T6" s="8"/>
      <c r="U6" s="8"/>
      <c r="V6" s="8"/>
      <c r="W6" s="119">
        <f t="shared" ref="W6" si="8">V6/249</f>
        <v>0</v>
      </c>
      <c r="X6" s="210"/>
      <c r="Y6" s="210"/>
      <c r="Z6" s="210"/>
      <c r="AA6" s="210">
        <f t="shared" ref="AA6" si="9">X6*1.8+32</f>
        <v>32</v>
      </c>
      <c r="AB6" s="210">
        <f t="shared" ref="AB6" si="10">Y6*1.8+32</f>
        <v>32</v>
      </c>
      <c r="AC6" s="210">
        <f t="shared" ref="AC6" si="11">Z6*1.8+32</f>
        <v>32</v>
      </c>
      <c r="AD6" s="69"/>
      <c r="AE6" s="20"/>
      <c r="AF6" s="9">
        <f t="shared" ref="AF6" si="12">0.06*AE6</f>
        <v>0</v>
      </c>
      <c r="AG6" s="9"/>
      <c r="AH6" s="9"/>
      <c r="AI6" s="9"/>
      <c r="AJ6" s="9">
        <f t="shared" ref="AJ6" si="13">D66</f>
        <v>0</v>
      </c>
      <c r="AK6" s="9">
        <f t="shared" ref="AK6" si="14">SUM(AE6:AJ6)</f>
        <v>0</v>
      </c>
      <c r="AL6" s="22">
        <f t="shared" ref="AL6" si="15">AK6*3.75</f>
        <v>0</v>
      </c>
      <c r="AM6" s="22">
        <f t="shared" ref="AM6" si="16">AL6*1.25</f>
        <v>0</v>
      </c>
      <c r="AN6" s="22">
        <f t="shared" ref="AN6" si="17">CEILING(AM6,5)</f>
        <v>0</v>
      </c>
      <c r="AO6" s="22"/>
      <c r="AP6" s="23">
        <f t="shared" ref="AP6" si="18">AO6*AN6</f>
        <v>0</v>
      </c>
      <c r="AR6" s="12">
        <f t="shared" ref="AR6:AR9" si="19">B6</f>
        <v>2</v>
      </c>
      <c r="AS6" s="8">
        <f t="shared" ref="AS6:AS9" si="20">C6</f>
        <v>0</v>
      </c>
      <c r="AT6" s="8">
        <f t="shared" ref="AT6:AT9" si="21">D6</f>
        <v>0</v>
      </c>
      <c r="AU6" s="8">
        <f t="shared" ref="AU6:AU9" si="22">F6</f>
        <v>0</v>
      </c>
      <c r="AV6" s="118">
        <f t="shared" ref="AV6:AV9" si="23">W6</f>
        <v>0</v>
      </c>
      <c r="AW6" s="118"/>
      <c r="AX6" s="119"/>
      <c r="AY6" s="119"/>
      <c r="AZ6" s="119"/>
      <c r="BA6" s="742"/>
      <c r="BB6" s="119"/>
      <c r="BC6" s="119">
        <f t="shared" ref="BC6:BC9" si="24">SUM(AV6:BB6)</f>
        <v>0</v>
      </c>
      <c r="BD6" s="8"/>
      <c r="BE6" s="210"/>
      <c r="BF6" s="13"/>
      <c r="BH6" s="12">
        <f t="shared" ref="BH6:BH9" si="25">B6</f>
        <v>2</v>
      </c>
      <c r="BI6" s="8">
        <f t="shared" ref="BI6:BI9" si="26">C6</f>
        <v>0</v>
      </c>
      <c r="BJ6" s="8">
        <f t="shared" ref="BJ6:BJ9" si="27">D6</f>
        <v>0</v>
      </c>
      <c r="BK6" s="210"/>
      <c r="BL6" s="223"/>
      <c r="BM6" s="223"/>
      <c r="BN6" s="226"/>
      <c r="BO6" s="226"/>
      <c r="BP6" s="213"/>
      <c r="BR6" s="12">
        <f t="shared" ref="BR6:BR9" si="28">BH6</f>
        <v>2</v>
      </c>
      <c r="BS6" s="8">
        <f t="shared" ref="BS6:BS9" si="29">BI6</f>
        <v>0</v>
      </c>
      <c r="BT6" s="8">
        <f t="shared" ref="BT6:BT9" si="30">BJ6</f>
        <v>0</v>
      </c>
      <c r="BU6" s="742"/>
      <c r="BV6" s="749"/>
      <c r="BW6" s="752"/>
      <c r="BX6" s="223"/>
      <c r="BY6" s="210"/>
      <c r="BZ6" s="745"/>
      <c r="CA6" s="745"/>
      <c r="CB6" s="742"/>
      <c r="CC6" s="742"/>
      <c r="CD6" s="742"/>
      <c r="CE6" s="742"/>
      <c r="CF6" s="758"/>
    </row>
    <row r="7" spans="1:86">
      <c r="A7" s="99"/>
      <c r="B7" s="24">
        <v>3</v>
      </c>
      <c r="C7" s="914"/>
      <c r="D7" s="25"/>
      <c r="E7" s="25"/>
      <c r="F7" s="22">
        <f>P7*2.1191</f>
        <v>0</v>
      </c>
      <c r="G7" s="22"/>
      <c r="H7" s="22"/>
      <c r="I7" s="754"/>
      <c r="J7" s="754"/>
      <c r="K7" s="755"/>
      <c r="L7" s="747"/>
      <c r="M7" s="12"/>
      <c r="N7" s="26">
        <f>M7*3412</f>
        <v>0</v>
      </c>
      <c r="O7" s="26"/>
      <c r="P7" s="8"/>
      <c r="Q7" s="8"/>
      <c r="R7" s="8"/>
      <c r="S7" s="8"/>
      <c r="T7" s="8"/>
      <c r="U7" s="8"/>
      <c r="V7" s="8"/>
      <c r="W7" s="119">
        <f>V7/249</f>
        <v>0</v>
      </c>
      <c r="X7" s="210"/>
      <c r="Y7" s="210"/>
      <c r="Z7" s="210"/>
      <c r="AA7" s="210">
        <f t="shared" ref="AA7:AC9" si="31">X7*1.8+32</f>
        <v>32</v>
      </c>
      <c r="AB7" s="210">
        <f t="shared" si="31"/>
        <v>32</v>
      </c>
      <c r="AC7" s="210">
        <f t="shared" si="31"/>
        <v>32</v>
      </c>
      <c r="AD7" s="69"/>
      <c r="AE7" s="20"/>
      <c r="AF7" s="9">
        <f>0.06*AE7</f>
        <v>0</v>
      </c>
      <c r="AG7" s="9"/>
      <c r="AH7" s="9"/>
      <c r="AI7" s="9"/>
      <c r="AJ7" s="9">
        <f>D67</f>
        <v>0</v>
      </c>
      <c r="AK7" s="9">
        <f>SUM(AE7:AJ7)</f>
        <v>0</v>
      </c>
      <c r="AL7" s="22">
        <f>AK7*3.75</f>
        <v>0</v>
      </c>
      <c r="AM7" s="22">
        <f>AL7*1.25</f>
        <v>0</v>
      </c>
      <c r="AN7" s="22">
        <f>CEILING(AM7,5)</f>
        <v>0</v>
      </c>
      <c r="AO7" s="22"/>
      <c r="AP7" s="23">
        <f>AO7*AN7</f>
        <v>0</v>
      </c>
      <c r="AR7" s="12">
        <f t="shared" si="19"/>
        <v>3</v>
      </c>
      <c r="AS7" s="8">
        <f t="shared" si="20"/>
        <v>0</v>
      </c>
      <c r="AT7" s="8">
        <f t="shared" si="21"/>
        <v>0</v>
      </c>
      <c r="AU7" s="8">
        <f t="shared" si="22"/>
        <v>0</v>
      </c>
      <c r="AV7" s="118">
        <f t="shared" si="23"/>
        <v>0</v>
      </c>
      <c r="AW7" s="118"/>
      <c r="AX7" s="119"/>
      <c r="AY7" s="119"/>
      <c r="AZ7" s="119"/>
      <c r="BA7" s="742"/>
      <c r="BB7" s="119"/>
      <c r="BC7" s="119">
        <f t="shared" si="24"/>
        <v>0</v>
      </c>
      <c r="BD7" s="8"/>
      <c r="BE7" s="210"/>
      <c r="BF7" s="13"/>
      <c r="BH7" s="12">
        <f t="shared" si="25"/>
        <v>3</v>
      </c>
      <c r="BI7" s="8">
        <f t="shared" si="26"/>
        <v>0</v>
      </c>
      <c r="BJ7" s="8">
        <f t="shared" si="27"/>
        <v>0</v>
      </c>
      <c r="BK7" s="210"/>
      <c r="BL7" s="223"/>
      <c r="BM7" s="223"/>
      <c r="BN7" s="226"/>
      <c r="BO7" s="226"/>
      <c r="BP7" s="213"/>
      <c r="BR7" s="12">
        <f t="shared" si="28"/>
        <v>3</v>
      </c>
      <c r="BS7" s="8">
        <f t="shared" si="29"/>
        <v>0</v>
      </c>
      <c r="BT7" s="8">
        <f t="shared" si="30"/>
        <v>0</v>
      </c>
      <c r="BU7" s="742"/>
      <c r="BV7" s="749"/>
      <c r="BW7" s="752"/>
      <c r="BX7" s="223"/>
      <c r="BY7" s="210"/>
      <c r="BZ7" s="745"/>
      <c r="CA7" s="745"/>
      <c r="CB7" s="742"/>
      <c r="CC7" s="742"/>
      <c r="CD7" s="742"/>
      <c r="CE7" s="742"/>
      <c r="CF7" s="758"/>
    </row>
    <row r="8" spans="1:86">
      <c r="A8" s="99"/>
      <c r="B8" s="24">
        <v>4</v>
      </c>
      <c r="C8" s="914"/>
      <c r="D8" s="25"/>
      <c r="E8" s="25"/>
      <c r="F8" s="22">
        <f>P8*2.1191</f>
        <v>0</v>
      </c>
      <c r="G8" s="22"/>
      <c r="H8" s="22"/>
      <c r="I8" s="754"/>
      <c r="J8" s="754"/>
      <c r="K8" s="755"/>
      <c r="L8" s="747"/>
      <c r="M8" s="12"/>
      <c r="N8" s="26">
        <f>M8*3412</f>
        <v>0</v>
      </c>
      <c r="O8" s="26"/>
      <c r="P8" s="8"/>
      <c r="Q8" s="8"/>
      <c r="R8" s="8"/>
      <c r="S8" s="8"/>
      <c r="T8" s="8"/>
      <c r="U8" s="8"/>
      <c r="V8" s="8"/>
      <c r="W8" s="119">
        <f>V8/249</f>
        <v>0</v>
      </c>
      <c r="X8" s="210"/>
      <c r="Y8" s="210"/>
      <c r="Z8" s="210"/>
      <c r="AA8" s="210">
        <f t="shared" si="31"/>
        <v>32</v>
      </c>
      <c r="AB8" s="210">
        <f t="shared" si="31"/>
        <v>32</v>
      </c>
      <c r="AC8" s="210">
        <f t="shared" si="31"/>
        <v>32</v>
      </c>
      <c r="AD8" s="69"/>
      <c r="AE8" s="20"/>
      <c r="AF8" s="9">
        <f>0.06*AE8</f>
        <v>0</v>
      </c>
      <c r="AG8" s="9"/>
      <c r="AH8" s="9"/>
      <c r="AI8" s="9"/>
      <c r="AJ8" s="9">
        <f>D68</f>
        <v>0</v>
      </c>
      <c r="AK8" s="9">
        <f>SUM(AE8:AJ8)</f>
        <v>0</v>
      </c>
      <c r="AL8" s="22">
        <f>AK8*3.75</f>
        <v>0</v>
      </c>
      <c r="AM8" s="22">
        <f>AL8*1.25</f>
        <v>0</v>
      </c>
      <c r="AN8" s="22">
        <f>CEILING(AM8,5)</f>
        <v>0</v>
      </c>
      <c r="AO8" s="22"/>
      <c r="AP8" s="23">
        <f>AO8*AN8</f>
        <v>0</v>
      </c>
      <c r="AR8" s="12">
        <f t="shared" si="19"/>
        <v>4</v>
      </c>
      <c r="AS8" s="8">
        <f t="shared" si="20"/>
        <v>0</v>
      </c>
      <c r="AT8" s="8">
        <f t="shared" si="21"/>
        <v>0</v>
      </c>
      <c r="AU8" s="8">
        <f t="shared" si="22"/>
        <v>0</v>
      </c>
      <c r="AV8" s="118">
        <f t="shared" si="23"/>
        <v>0</v>
      </c>
      <c r="AW8" s="118"/>
      <c r="AX8" s="119"/>
      <c r="AY8" s="119"/>
      <c r="AZ8" s="119"/>
      <c r="BA8" s="742"/>
      <c r="BB8" s="119"/>
      <c r="BC8" s="119">
        <f t="shared" si="24"/>
        <v>0</v>
      </c>
      <c r="BD8" s="8"/>
      <c r="BE8" s="210"/>
      <c r="BF8" s="13"/>
      <c r="BH8" s="12">
        <f t="shared" si="25"/>
        <v>4</v>
      </c>
      <c r="BI8" s="8">
        <f t="shared" si="26"/>
        <v>0</v>
      </c>
      <c r="BJ8" s="8">
        <f t="shared" si="27"/>
        <v>0</v>
      </c>
      <c r="BK8" s="210"/>
      <c r="BL8" s="223"/>
      <c r="BM8" s="223"/>
      <c r="BN8" s="226"/>
      <c r="BO8" s="226"/>
      <c r="BP8" s="213"/>
      <c r="BR8" s="12">
        <f t="shared" si="28"/>
        <v>4</v>
      </c>
      <c r="BS8" s="8">
        <f t="shared" si="29"/>
        <v>0</v>
      </c>
      <c r="BT8" s="8">
        <f t="shared" si="30"/>
        <v>0</v>
      </c>
      <c r="BU8" s="742"/>
      <c r="BV8" s="749"/>
      <c r="BW8" s="752"/>
      <c r="BX8" s="223"/>
      <c r="BY8" s="210"/>
      <c r="BZ8" s="745"/>
      <c r="CA8" s="745"/>
      <c r="CB8" s="742"/>
      <c r="CC8" s="742"/>
      <c r="CD8" s="742"/>
      <c r="CE8" s="742"/>
      <c r="CF8" s="758"/>
    </row>
    <row r="9" spans="1:86" ht="17.25" thickBot="1">
      <c r="A9" s="99"/>
      <c r="B9" s="917">
        <v>5</v>
      </c>
      <c r="C9" s="918"/>
      <c r="D9" s="919"/>
      <c r="E9" s="919"/>
      <c r="F9" s="100">
        <f>P9*2.1191</f>
        <v>0</v>
      </c>
      <c r="G9" s="100"/>
      <c r="H9" s="100"/>
      <c r="I9" s="920"/>
      <c r="J9" s="920"/>
      <c r="K9" s="921"/>
      <c r="L9" s="922"/>
      <c r="M9" s="14"/>
      <c r="N9" s="27">
        <f>M9*3412</f>
        <v>0</v>
      </c>
      <c r="O9" s="27"/>
      <c r="P9" s="15"/>
      <c r="Q9" s="15"/>
      <c r="R9" s="15"/>
      <c r="S9" s="15"/>
      <c r="T9" s="15"/>
      <c r="U9" s="15"/>
      <c r="V9" s="15"/>
      <c r="W9" s="121">
        <f>V9/249</f>
        <v>0</v>
      </c>
      <c r="X9" s="211"/>
      <c r="Y9" s="211"/>
      <c r="Z9" s="211"/>
      <c r="AA9" s="211">
        <f t="shared" si="31"/>
        <v>32</v>
      </c>
      <c r="AB9" s="211">
        <f t="shared" si="31"/>
        <v>32</v>
      </c>
      <c r="AC9" s="211">
        <f t="shared" si="31"/>
        <v>32</v>
      </c>
      <c r="AD9" s="70"/>
      <c r="AE9" s="21"/>
      <c r="AF9" s="18">
        <f>0.06*AE9</f>
        <v>0</v>
      </c>
      <c r="AG9" s="18"/>
      <c r="AH9" s="18"/>
      <c r="AI9" s="18"/>
      <c r="AJ9" s="18">
        <f>D69</f>
        <v>0</v>
      </c>
      <c r="AK9" s="18">
        <f>SUM(AE9:AJ9)</f>
        <v>0</v>
      </c>
      <c r="AL9" s="100">
        <f>AK9*3.75</f>
        <v>0</v>
      </c>
      <c r="AM9" s="100">
        <f>AL9*1.25</f>
        <v>0</v>
      </c>
      <c r="AN9" s="100">
        <f>CEILING(AM9,5)</f>
        <v>0</v>
      </c>
      <c r="AO9" s="1061"/>
      <c r="AP9" s="923">
        <f>AO9*AN9</f>
        <v>0</v>
      </c>
      <c r="AR9" s="14">
        <f t="shared" si="19"/>
        <v>5</v>
      </c>
      <c r="AS9" s="15">
        <f t="shared" si="20"/>
        <v>0</v>
      </c>
      <c r="AT9" s="15">
        <f t="shared" si="21"/>
        <v>0</v>
      </c>
      <c r="AU9" s="15">
        <f t="shared" si="22"/>
        <v>0</v>
      </c>
      <c r="AV9" s="120">
        <f t="shared" si="23"/>
        <v>0</v>
      </c>
      <c r="AW9" s="120"/>
      <c r="AX9" s="121"/>
      <c r="AY9" s="121"/>
      <c r="AZ9" s="121"/>
      <c r="BA9" s="743"/>
      <c r="BB9" s="121"/>
      <c r="BC9" s="121">
        <f t="shared" si="24"/>
        <v>0</v>
      </c>
      <c r="BD9" s="15"/>
      <c r="BE9" s="211"/>
      <c r="BF9" s="16"/>
      <c r="BH9" s="14">
        <f t="shared" si="25"/>
        <v>5</v>
      </c>
      <c r="BI9" s="15">
        <f t="shared" si="26"/>
        <v>0</v>
      </c>
      <c r="BJ9" s="15">
        <f t="shared" si="27"/>
        <v>0</v>
      </c>
      <c r="BK9" s="211"/>
      <c r="BL9" s="224"/>
      <c r="BM9" s="224"/>
      <c r="BN9" s="227"/>
      <c r="BO9" s="227"/>
      <c r="BP9" s="214"/>
      <c r="BR9" s="14">
        <f t="shared" si="28"/>
        <v>5</v>
      </c>
      <c r="BS9" s="15">
        <f t="shared" si="29"/>
        <v>0</v>
      </c>
      <c r="BT9" s="15">
        <f t="shared" si="30"/>
        <v>0</v>
      </c>
      <c r="BU9" s="743"/>
      <c r="BV9" s="750"/>
      <c r="BW9" s="753"/>
      <c r="BX9" s="224"/>
      <c r="BY9" s="211"/>
      <c r="BZ9" s="746"/>
      <c r="CA9" s="746"/>
      <c r="CB9" s="743"/>
      <c r="CC9" s="743"/>
      <c r="CD9" s="743"/>
      <c r="CE9" s="743"/>
      <c r="CF9" s="759"/>
    </row>
    <row r="10" spans="1:86" ht="17.25" thickBot="1">
      <c r="A10" s="62"/>
      <c r="AK10" s="11"/>
      <c r="AL10" s="11"/>
      <c r="AM10" s="11"/>
      <c r="AN10" s="11"/>
      <c r="AO10" s="1062">
        <f>SUM(AO5:AO9)</f>
        <v>1</v>
      </c>
      <c r="AP10" s="173">
        <f>SUM(AP5:AP9)</f>
        <v>0</v>
      </c>
    </row>
    <row r="11" spans="1:86">
      <c r="A11" s="62"/>
    </row>
    <row r="12" spans="1:86">
      <c r="A12" s="62"/>
      <c r="G12" s="7"/>
      <c r="H12" s="7"/>
      <c r="I12" s="7"/>
      <c r="J12" s="7"/>
      <c r="K12" s="7"/>
      <c r="L12" s="7"/>
    </row>
    <row r="13" spans="1:86" ht="17.25" thickBot="1">
      <c r="A13" s="62"/>
    </row>
    <row r="14" spans="1:86" ht="21" thickBot="1">
      <c r="A14" s="62"/>
      <c r="C14" s="1790" t="s">
        <v>48</v>
      </c>
      <c r="D14" s="1784"/>
      <c r="E14" s="1784"/>
      <c r="F14" s="1784"/>
      <c r="G14" s="1784"/>
      <c r="H14" s="1784"/>
      <c r="I14" s="1784"/>
      <c r="J14" s="1784"/>
      <c r="K14" s="1784"/>
      <c r="L14" s="1784"/>
      <c r="M14" s="1785"/>
    </row>
    <row r="15" spans="1:86">
      <c r="A15" s="62"/>
      <c r="C15" s="39"/>
      <c r="D15" s="39"/>
      <c r="E15" s="39"/>
      <c r="F15" s="39"/>
      <c r="G15" s="39"/>
      <c r="H15" s="39"/>
      <c r="I15" s="39"/>
      <c r="J15" s="39"/>
      <c r="K15" s="39"/>
      <c r="L15" s="39"/>
      <c r="M15" s="39"/>
    </row>
    <row r="16" spans="1:86">
      <c r="A16" s="62"/>
      <c r="G16" s="7"/>
      <c r="H16" s="7"/>
      <c r="I16" s="7"/>
      <c r="J16" s="7"/>
      <c r="K16" s="7"/>
      <c r="L16" s="7"/>
    </row>
    <row r="17" spans="1:12">
      <c r="A17" s="62"/>
      <c r="G17" s="7"/>
      <c r="H17" s="7"/>
      <c r="I17" s="7"/>
      <c r="J17" s="7"/>
      <c r="K17" s="7"/>
      <c r="L17" s="7"/>
    </row>
    <row r="18" spans="1:12">
      <c r="A18" s="62"/>
      <c r="G18" s="7"/>
    </row>
    <row r="19" spans="1:12">
      <c r="A19" s="62"/>
      <c r="G19" s="7"/>
    </row>
    <row r="20" spans="1:12">
      <c r="A20" s="62"/>
      <c r="G20" s="7"/>
      <c r="H20" s="7"/>
      <c r="I20" s="7"/>
      <c r="J20" s="7"/>
      <c r="K20" s="7"/>
      <c r="L20" s="7"/>
    </row>
    <row r="21" spans="1:12">
      <c r="A21" s="62"/>
      <c r="G21" s="7"/>
      <c r="H21" s="7"/>
      <c r="I21" s="7"/>
      <c r="J21" s="7"/>
      <c r="K21" s="7"/>
      <c r="L21" s="7"/>
    </row>
    <row r="22" spans="1:12">
      <c r="A22" s="62"/>
      <c r="G22" s="7"/>
      <c r="H22" s="7"/>
      <c r="I22" s="7"/>
      <c r="J22" s="7"/>
      <c r="K22" s="7"/>
      <c r="L22" s="7"/>
    </row>
    <row r="23" spans="1:12">
      <c r="A23" s="62"/>
      <c r="G23" s="7"/>
      <c r="H23" s="7"/>
      <c r="I23" s="7"/>
      <c r="J23" s="7"/>
      <c r="K23" s="7"/>
      <c r="L23" s="7"/>
    </row>
    <row r="24" spans="1:12">
      <c r="A24" s="62"/>
      <c r="G24" s="7"/>
      <c r="H24" s="7"/>
      <c r="I24" s="7"/>
      <c r="J24" s="7"/>
      <c r="K24" s="7"/>
      <c r="L24" s="7"/>
    </row>
    <row r="25" spans="1:12">
      <c r="A25" s="62"/>
      <c r="G25" s="7"/>
      <c r="H25" s="7"/>
      <c r="I25" s="7"/>
      <c r="J25" s="7"/>
      <c r="K25" s="7"/>
      <c r="L25" s="7"/>
    </row>
    <row r="26" spans="1:12">
      <c r="A26" s="62"/>
      <c r="G26" s="7"/>
      <c r="H26" s="7"/>
      <c r="I26" s="7"/>
      <c r="J26" s="7"/>
      <c r="K26" s="7"/>
      <c r="L26" s="7"/>
    </row>
    <row r="27" spans="1:12">
      <c r="A27" s="62"/>
      <c r="G27" s="7"/>
      <c r="H27" s="7"/>
      <c r="I27" s="7"/>
      <c r="J27" s="7"/>
      <c r="K27" s="7"/>
      <c r="L27" s="7"/>
    </row>
    <row r="28" spans="1:12">
      <c r="A28" s="62"/>
      <c r="G28" s="7"/>
      <c r="H28" s="7"/>
      <c r="I28" s="7"/>
      <c r="J28" s="7"/>
      <c r="K28" s="7"/>
      <c r="L28" s="7"/>
    </row>
    <row r="29" spans="1:12">
      <c r="A29" s="62"/>
      <c r="G29" s="7"/>
      <c r="H29" s="7"/>
      <c r="I29" s="7"/>
      <c r="J29" s="7"/>
      <c r="K29" s="7"/>
      <c r="L29" s="7"/>
    </row>
    <row r="30" spans="1:12">
      <c r="A30" s="62"/>
      <c r="G30" s="7"/>
      <c r="H30" s="7"/>
      <c r="I30" s="7"/>
      <c r="J30" s="7"/>
      <c r="K30" s="7"/>
      <c r="L30" s="7"/>
    </row>
    <row r="31" spans="1:12">
      <c r="A31" s="62"/>
      <c r="G31" s="7"/>
      <c r="H31" s="7"/>
      <c r="I31" s="7"/>
      <c r="J31" s="7"/>
      <c r="K31" s="7"/>
      <c r="L31" s="7"/>
    </row>
    <row r="32" spans="1:12">
      <c r="A32" s="62"/>
      <c r="G32" s="7"/>
      <c r="H32" s="7"/>
      <c r="I32" s="7"/>
      <c r="J32" s="7"/>
      <c r="K32" s="7"/>
      <c r="L32" s="7"/>
    </row>
    <row r="33" spans="1:12">
      <c r="A33" s="62"/>
      <c r="G33" s="7"/>
      <c r="H33" s="7"/>
      <c r="I33" s="7"/>
      <c r="J33" s="7"/>
      <c r="K33" s="7"/>
      <c r="L33" s="7"/>
    </row>
    <row r="34" spans="1:12">
      <c r="A34" s="62"/>
      <c r="G34" s="7"/>
      <c r="H34" s="7"/>
      <c r="I34" s="7"/>
      <c r="J34" s="7"/>
      <c r="K34" s="7"/>
      <c r="L34" s="7"/>
    </row>
    <row r="35" spans="1:12">
      <c r="A35" s="62"/>
      <c r="G35" s="7"/>
      <c r="H35" s="7"/>
      <c r="I35" s="7"/>
      <c r="J35" s="7"/>
      <c r="K35" s="7"/>
      <c r="L35" s="7"/>
    </row>
    <row r="36" spans="1:12">
      <c r="A36" s="62"/>
      <c r="G36" s="7"/>
      <c r="H36" s="7"/>
      <c r="I36" s="7"/>
      <c r="J36" s="7"/>
      <c r="K36" s="7"/>
      <c r="L36" s="7"/>
    </row>
    <row r="37" spans="1:12">
      <c r="A37" s="62"/>
      <c r="G37" s="7"/>
      <c r="H37" s="7"/>
      <c r="I37" s="7"/>
      <c r="J37" s="7"/>
      <c r="K37" s="7"/>
      <c r="L37" s="7"/>
    </row>
    <row r="38" spans="1:12">
      <c r="A38" s="62"/>
      <c r="G38" s="7"/>
      <c r="H38" s="7"/>
      <c r="I38" s="7"/>
      <c r="J38" s="7"/>
      <c r="K38" s="7"/>
      <c r="L38" s="7"/>
    </row>
    <row r="39" spans="1:12">
      <c r="A39" s="62"/>
      <c r="G39" s="7"/>
      <c r="H39" s="7"/>
      <c r="I39" s="7"/>
      <c r="J39" s="7"/>
      <c r="K39" s="7"/>
      <c r="L39" s="7"/>
    </row>
    <row r="40" spans="1:12">
      <c r="A40" s="62"/>
      <c r="G40" s="7"/>
      <c r="H40" s="7"/>
      <c r="I40" s="7"/>
      <c r="J40" s="7"/>
      <c r="K40" s="7"/>
      <c r="L40" s="7"/>
    </row>
    <row r="41" spans="1:12">
      <c r="A41" s="62"/>
      <c r="G41" s="7"/>
      <c r="H41" s="7"/>
      <c r="I41" s="7"/>
      <c r="J41" s="7"/>
      <c r="K41" s="7"/>
      <c r="L41" s="7"/>
    </row>
    <row r="42" spans="1:12">
      <c r="A42" s="62"/>
      <c r="G42" s="7"/>
      <c r="H42" s="7"/>
      <c r="I42" s="7"/>
      <c r="J42" s="7"/>
      <c r="K42" s="7"/>
      <c r="L42" s="7"/>
    </row>
    <row r="43" spans="1:12">
      <c r="A43" s="62"/>
      <c r="G43" s="7"/>
      <c r="H43" s="7"/>
      <c r="I43" s="7"/>
      <c r="J43" s="7"/>
      <c r="K43" s="7"/>
      <c r="L43" s="7"/>
    </row>
    <row r="44" spans="1:12">
      <c r="A44" s="62"/>
      <c r="G44" s="7"/>
      <c r="H44" s="7"/>
      <c r="I44" s="7"/>
      <c r="J44" s="7"/>
      <c r="K44" s="7"/>
      <c r="L44" s="7"/>
    </row>
    <row r="45" spans="1:12">
      <c r="A45" s="62"/>
      <c r="G45" s="7"/>
      <c r="H45" s="7"/>
      <c r="I45" s="7"/>
      <c r="J45" s="7"/>
      <c r="K45" s="7"/>
      <c r="L45" s="7"/>
    </row>
    <row r="46" spans="1:12">
      <c r="A46" s="62"/>
      <c r="G46" s="7"/>
      <c r="H46" s="7"/>
      <c r="I46" s="7"/>
      <c r="J46" s="7"/>
      <c r="K46" s="7"/>
      <c r="L46" s="7"/>
    </row>
    <row r="47" spans="1:12">
      <c r="A47" s="62"/>
      <c r="G47" s="7"/>
      <c r="H47" s="7"/>
      <c r="I47" s="7"/>
      <c r="J47" s="7"/>
      <c r="K47" s="7"/>
      <c r="L47" s="7"/>
    </row>
    <row r="48" spans="1:12">
      <c r="A48" s="62"/>
      <c r="G48" s="7"/>
      <c r="H48" s="7"/>
      <c r="I48" s="7"/>
      <c r="J48" s="7"/>
      <c r="K48" s="7"/>
      <c r="L48" s="7"/>
    </row>
    <row r="49" spans="1:12">
      <c r="A49" s="62"/>
      <c r="G49" s="7"/>
      <c r="H49" s="7"/>
      <c r="I49" s="7"/>
      <c r="J49" s="7"/>
      <c r="K49" s="7"/>
      <c r="L49" s="7"/>
    </row>
    <row r="50" spans="1:12">
      <c r="A50" s="62"/>
      <c r="G50" s="7"/>
      <c r="H50" s="7"/>
      <c r="I50" s="7"/>
      <c r="J50" s="7"/>
      <c r="K50" s="7"/>
      <c r="L50" s="7"/>
    </row>
    <row r="51" spans="1:12">
      <c r="A51" s="62"/>
      <c r="G51" s="7"/>
      <c r="H51" s="7"/>
      <c r="I51" s="7"/>
      <c r="J51" s="7"/>
      <c r="K51" s="7"/>
      <c r="L51" s="7"/>
    </row>
    <row r="52" spans="1:12">
      <c r="A52" s="62"/>
      <c r="G52" s="7"/>
      <c r="H52" s="7"/>
      <c r="I52" s="7"/>
      <c r="J52" s="7"/>
      <c r="K52" s="7"/>
      <c r="L52" s="7"/>
    </row>
    <row r="53" spans="1:12">
      <c r="A53" s="62"/>
      <c r="G53" s="7"/>
      <c r="H53" s="7"/>
      <c r="I53" s="7"/>
      <c r="J53" s="7"/>
      <c r="K53" s="7"/>
      <c r="L53" s="7"/>
    </row>
    <row r="54" spans="1:12">
      <c r="A54" s="62"/>
      <c r="G54" s="7"/>
      <c r="H54" s="7"/>
      <c r="I54" s="7"/>
      <c r="J54" s="7"/>
      <c r="K54" s="7"/>
      <c r="L54" s="7"/>
    </row>
    <row r="55" spans="1:12" ht="17.25" thickBot="1">
      <c r="A55" s="63"/>
      <c r="G55" s="7"/>
      <c r="H55" s="7"/>
      <c r="I55" s="7"/>
      <c r="J55" s="7"/>
      <c r="K55" s="7"/>
      <c r="L55" s="7"/>
    </row>
    <row r="56" spans="1:12" ht="17.25" thickTop="1">
      <c r="G56" s="7"/>
      <c r="H56" s="7"/>
      <c r="I56" s="7"/>
      <c r="J56" s="7"/>
      <c r="K56" s="7"/>
      <c r="L56" s="7"/>
    </row>
    <row r="57" spans="1:12">
      <c r="G57" s="7"/>
      <c r="H57" s="7"/>
      <c r="I57" s="7"/>
      <c r="J57" s="7"/>
      <c r="K57" s="7"/>
      <c r="L57" s="7"/>
    </row>
    <row r="58" spans="1:12">
      <c r="G58" s="7"/>
      <c r="H58" s="7"/>
      <c r="I58" s="7"/>
      <c r="J58" s="7"/>
      <c r="K58" s="7"/>
      <c r="L58" s="7"/>
    </row>
    <row r="59" spans="1:12">
      <c r="G59" s="7"/>
      <c r="H59" s="7"/>
      <c r="I59" s="7"/>
      <c r="J59" s="7"/>
      <c r="K59" s="7"/>
      <c r="L59" s="7"/>
    </row>
    <row r="60" spans="1:12">
      <c r="G60" s="7"/>
      <c r="H60" s="7"/>
      <c r="I60" s="7"/>
      <c r="J60" s="7"/>
      <c r="K60" s="7"/>
      <c r="L60" s="7"/>
    </row>
    <row r="61" spans="1:12">
      <c r="G61" s="7"/>
      <c r="H61" s="7"/>
      <c r="I61" s="7"/>
      <c r="J61" s="7"/>
      <c r="K61" s="7"/>
      <c r="L61" s="7"/>
    </row>
    <row r="62" spans="1:12">
      <c r="G62" s="7"/>
      <c r="H62" s="7"/>
      <c r="I62" s="7"/>
      <c r="J62" s="7"/>
      <c r="K62" s="7"/>
      <c r="L62" s="7"/>
    </row>
    <row r="63" spans="1:12">
      <c r="G63" s="7"/>
      <c r="H63" s="7"/>
      <c r="I63" s="7"/>
      <c r="J63" s="7"/>
      <c r="K63" s="7"/>
      <c r="L63" s="7"/>
    </row>
    <row r="64" spans="1:12">
      <c r="G64" s="7"/>
      <c r="H64" s="7"/>
      <c r="I64" s="7"/>
      <c r="J64" s="7"/>
      <c r="K64" s="7"/>
      <c r="L64" s="7"/>
    </row>
    <row r="65" spans="7:12">
      <c r="G65" s="7"/>
      <c r="H65" s="7"/>
      <c r="I65" s="7"/>
      <c r="J65" s="7"/>
      <c r="K65" s="7"/>
      <c r="L65" s="7"/>
    </row>
    <row r="66" spans="7:12">
      <c r="G66" s="7"/>
      <c r="H66" s="7"/>
      <c r="I66" s="7"/>
      <c r="J66" s="7"/>
      <c r="K66" s="7"/>
      <c r="L66" s="7"/>
    </row>
    <row r="67" spans="7:12">
      <c r="G67" s="7"/>
      <c r="H67" s="7"/>
      <c r="I67" s="7"/>
      <c r="J67" s="7"/>
      <c r="K67" s="7"/>
      <c r="L67" s="7"/>
    </row>
    <row r="68" spans="7:12">
      <c r="G68" s="7"/>
      <c r="H68" s="7"/>
      <c r="I68" s="7"/>
      <c r="J68" s="7"/>
      <c r="K68" s="7"/>
      <c r="L68" s="7"/>
    </row>
    <row r="69" spans="7:12">
      <c r="G69" s="7"/>
      <c r="H69" s="7"/>
      <c r="I69" s="7"/>
      <c r="J69" s="7"/>
      <c r="K69" s="7"/>
      <c r="L69" s="7"/>
    </row>
    <row r="70" spans="7:12">
      <c r="G70" s="7"/>
      <c r="H70" s="7"/>
      <c r="I70" s="7"/>
      <c r="J70" s="7"/>
      <c r="K70" s="7"/>
      <c r="L70" s="7"/>
    </row>
  </sheetData>
  <mergeCells count="7">
    <mergeCell ref="BR3:CF3"/>
    <mergeCell ref="C14:M14"/>
    <mergeCell ref="BH3:BP3"/>
    <mergeCell ref="AR3:BF3"/>
    <mergeCell ref="AE3:AP3"/>
    <mergeCell ref="B3:L3"/>
    <mergeCell ref="M3:AC3"/>
  </mergeCells>
  <phoneticPr fontId="9" type="noConversion"/>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2289" r:id="rId4" name="Hide">
          <controlPr defaultSize="0" autoLine="0" r:id="rId5">
            <anchor moveWithCells="1">
              <from>
                <xdr:col>0</xdr:col>
                <xdr:colOff>0</xdr:colOff>
                <xdr:row>2</xdr:row>
                <xdr:rowOff>9525</xdr:rowOff>
              </from>
              <to>
                <xdr:col>2</xdr:col>
                <xdr:colOff>228600</xdr:colOff>
                <xdr:row>3</xdr:row>
                <xdr:rowOff>76200</xdr:rowOff>
              </to>
            </anchor>
          </controlPr>
        </control>
      </mc:Choice>
      <mc:Fallback>
        <control shapeId="12289" r:id="rId4" name="Hide"/>
      </mc:Fallback>
    </mc:AlternateContent>
    <mc:AlternateContent xmlns:mc="http://schemas.openxmlformats.org/markup-compatibility/2006">
      <mc:Choice Requires="x14">
        <control shapeId="12290" r:id="rId6" name="Specs">
          <controlPr defaultSize="0" autoLine="0" r:id="rId7">
            <anchor moveWithCells="1">
              <from>
                <xdr:col>0</xdr:col>
                <xdr:colOff>0</xdr:colOff>
                <xdr:row>3</xdr:row>
                <xdr:rowOff>133350</xdr:rowOff>
              </from>
              <to>
                <xdr:col>2</xdr:col>
                <xdr:colOff>1247775</xdr:colOff>
                <xdr:row>3</xdr:row>
                <xdr:rowOff>447675</xdr:rowOff>
              </to>
            </anchor>
          </controlPr>
        </control>
      </mc:Choice>
      <mc:Fallback>
        <control shapeId="12290" r:id="rId6" name="Specs"/>
      </mc:Fallback>
    </mc:AlternateContent>
    <mc:AlternateContent xmlns:mc="http://schemas.openxmlformats.org/markup-compatibility/2006">
      <mc:Choice Requires="x14">
        <control shapeId="12291" r:id="rId8" name="Technical">
          <controlPr defaultSize="0" autoLine="0" r:id="rId9">
            <anchor moveWithCells="1">
              <from>
                <xdr:col>0</xdr:col>
                <xdr:colOff>0</xdr:colOff>
                <xdr:row>3</xdr:row>
                <xdr:rowOff>133350</xdr:rowOff>
              </from>
              <to>
                <xdr:col>2</xdr:col>
                <xdr:colOff>1247775</xdr:colOff>
                <xdr:row>3</xdr:row>
                <xdr:rowOff>447675</xdr:rowOff>
              </to>
            </anchor>
          </controlPr>
        </control>
      </mc:Choice>
      <mc:Fallback>
        <control shapeId="12291" r:id="rId8" name="Technical"/>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D1_B_PWM"/>
  <dimension ref="A1:CG70"/>
  <sheetViews>
    <sheetView zoomScale="80" zoomScaleNormal="80" workbookViewId="0">
      <pane xSplit="1" topLeftCell="B1" activePane="topRight" state="frozen"/>
      <selection pane="topRight" activeCell="AN8" sqref="AN8"/>
    </sheetView>
  </sheetViews>
  <sheetFormatPr defaultColWidth="9.140625" defaultRowHeight="16.5"/>
  <cols>
    <col min="1" max="1" width="55.7109375" style="1" hidden="1" customWidth="1"/>
    <col min="2" max="2" width="4.140625" style="7" bestFit="1" customWidth="1"/>
    <col min="3" max="3" width="18" style="7" customWidth="1"/>
    <col min="4" max="4" width="15.28515625" style="7" customWidth="1"/>
    <col min="5" max="5" width="22.140625" style="7" bestFit="1" customWidth="1"/>
    <col min="6" max="6" width="8.140625" style="11" customWidth="1"/>
    <col min="7" max="7" width="9.5703125" style="11" customWidth="1"/>
    <col min="8" max="9" width="8.140625" style="11" customWidth="1"/>
    <col min="10" max="10" width="12.28515625" style="11" customWidth="1"/>
    <col min="11" max="11" width="10.140625" style="11" customWidth="1"/>
    <col min="12" max="14" width="17.7109375" style="7" customWidth="1"/>
    <col min="15" max="15" width="11.5703125" style="7" customWidth="1"/>
    <col min="16" max="16" width="16.42578125" style="7" customWidth="1"/>
    <col min="17" max="18" width="11.5703125" style="7" customWidth="1"/>
    <col min="19" max="20" width="13.85546875" style="7" customWidth="1"/>
    <col min="21" max="21" width="6.42578125" style="7" customWidth="1"/>
    <col min="22" max="22" width="6.28515625" style="7" customWidth="1"/>
    <col min="23" max="23" width="8" style="7" customWidth="1"/>
    <col min="24" max="24" width="7.42578125" style="7" customWidth="1"/>
    <col min="25" max="25" width="9.28515625" style="7" customWidth="1"/>
    <col min="26" max="27" width="8.5703125" style="7" customWidth="1"/>
    <col min="28" max="28" width="9.85546875" style="7" customWidth="1"/>
    <col min="29" max="29" width="4.140625" style="7" customWidth="1"/>
    <col min="30" max="30" width="9.5703125" style="7" bestFit="1" customWidth="1"/>
    <col min="31" max="31" width="15.7109375" style="7" customWidth="1"/>
    <col min="32" max="32" width="9.28515625" style="7" bestFit="1" customWidth="1"/>
    <col min="33" max="33" width="11.5703125" style="7" customWidth="1"/>
    <col min="34" max="34" width="9.28515625" style="7" bestFit="1" customWidth="1"/>
    <col min="35" max="35" width="13.7109375" style="7" customWidth="1"/>
    <col min="36" max="36" width="10.5703125" style="7" bestFit="1" customWidth="1"/>
    <col min="37" max="37" width="13.7109375" style="7" bestFit="1" customWidth="1"/>
    <col min="38" max="38" width="11.28515625" style="7" customWidth="1"/>
    <col min="39" max="39" width="11.140625" style="7" customWidth="1"/>
    <col min="40" max="45" width="9.140625" style="7"/>
    <col min="46" max="46" width="22.140625" style="7" bestFit="1" customWidth="1"/>
    <col min="47" max="71" width="9.140625" style="7"/>
    <col min="72" max="72" width="11" style="7" bestFit="1" customWidth="1"/>
    <col min="73" max="73" width="10.140625" style="7" bestFit="1" customWidth="1"/>
    <col min="74" max="78" width="9.140625" style="7"/>
    <col min="79" max="79" width="10.42578125" style="7" customWidth="1"/>
    <col min="80" max="80" width="13.140625" style="7" customWidth="1"/>
    <col min="81" max="81" width="12.7109375" style="7" bestFit="1" customWidth="1"/>
    <col min="82" max="82" width="13.42578125" style="7" bestFit="1" customWidth="1"/>
    <col min="83" max="16384" width="9.140625" style="7"/>
  </cols>
  <sheetData>
    <row r="1" spans="1:85" s="1" customFormat="1" ht="15.75" hidden="1" customHeight="1" thickBot="1">
      <c r="A1" s="159" t="s">
        <v>394</v>
      </c>
      <c r="B1" s="160">
        <v>0</v>
      </c>
      <c r="C1" s="160">
        <v>1</v>
      </c>
      <c r="D1" s="160">
        <v>2</v>
      </c>
      <c r="E1" s="160">
        <v>0</v>
      </c>
      <c r="F1" s="160">
        <v>4</v>
      </c>
      <c r="G1" s="160">
        <v>0</v>
      </c>
      <c r="H1" s="160">
        <v>0</v>
      </c>
      <c r="I1" s="160">
        <v>0</v>
      </c>
      <c r="J1" s="160">
        <v>0</v>
      </c>
      <c r="K1" s="160">
        <v>5</v>
      </c>
      <c r="L1" s="160">
        <v>0</v>
      </c>
      <c r="M1" s="160">
        <v>0</v>
      </c>
      <c r="N1" s="160">
        <v>0</v>
      </c>
      <c r="O1" s="160">
        <v>0</v>
      </c>
      <c r="P1" s="160">
        <v>0</v>
      </c>
      <c r="Q1" s="160">
        <v>6</v>
      </c>
      <c r="R1" s="160">
        <v>0</v>
      </c>
      <c r="S1" s="160">
        <v>7</v>
      </c>
      <c r="T1" s="160">
        <v>0</v>
      </c>
      <c r="U1" s="160">
        <v>8</v>
      </c>
      <c r="V1" s="160">
        <v>0</v>
      </c>
      <c r="W1" s="160">
        <v>9</v>
      </c>
      <c r="X1" s="160">
        <v>10</v>
      </c>
      <c r="Y1" s="160">
        <v>11</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c r="BE1" s="160">
        <v>0</v>
      </c>
      <c r="BF1" s="160">
        <v>0</v>
      </c>
      <c r="BG1" s="160">
        <v>0</v>
      </c>
      <c r="BH1" s="160">
        <v>0</v>
      </c>
      <c r="BI1" s="160">
        <v>0</v>
      </c>
      <c r="BJ1" s="160">
        <v>0</v>
      </c>
      <c r="BK1" s="160">
        <v>0</v>
      </c>
      <c r="BL1" s="160">
        <v>0</v>
      </c>
      <c r="BM1" s="160">
        <v>0</v>
      </c>
      <c r="BN1" s="160">
        <v>0</v>
      </c>
      <c r="BO1" s="160">
        <v>0</v>
      </c>
      <c r="BP1" s="160">
        <v>0</v>
      </c>
      <c r="BQ1" s="160">
        <v>0</v>
      </c>
      <c r="BR1" s="160">
        <v>0</v>
      </c>
      <c r="BS1" s="160">
        <v>0</v>
      </c>
      <c r="BT1" s="160">
        <v>0</v>
      </c>
      <c r="BU1" s="160">
        <v>0</v>
      </c>
      <c r="BV1" s="160">
        <v>0</v>
      </c>
      <c r="BW1" s="160">
        <v>0</v>
      </c>
      <c r="BX1" s="160">
        <v>0</v>
      </c>
      <c r="BY1" s="160">
        <v>0</v>
      </c>
      <c r="BZ1" s="160">
        <v>0</v>
      </c>
      <c r="CA1" s="160">
        <v>0</v>
      </c>
      <c r="CB1" s="160">
        <v>0</v>
      </c>
      <c r="CC1" s="160">
        <v>0</v>
      </c>
      <c r="CD1" s="160">
        <v>0</v>
      </c>
      <c r="CE1" s="160">
        <v>0</v>
      </c>
      <c r="CF1" s="160">
        <v>0</v>
      </c>
      <c r="CG1" s="160">
        <v>0</v>
      </c>
    </row>
    <row r="2" spans="1:85" s="1" customFormat="1" ht="14.25" hidden="1" customHeight="1" thickBot="1">
      <c r="A2" s="62"/>
      <c r="B2" s="1" t="s">
        <v>1201</v>
      </c>
      <c r="C2" s="1" t="s">
        <v>427</v>
      </c>
      <c r="D2" s="1" t="s">
        <v>428</v>
      </c>
      <c r="E2" s="1" t="s">
        <v>426</v>
      </c>
      <c r="F2" s="1" t="s">
        <v>2098</v>
      </c>
      <c r="G2" s="1" t="s">
        <v>2099</v>
      </c>
      <c r="H2" s="1" t="s">
        <v>2116</v>
      </c>
      <c r="I2" s="1" t="s">
        <v>2117</v>
      </c>
      <c r="J2" s="1" t="s">
        <v>2120</v>
      </c>
      <c r="K2" s="1" t="s">
        <v>2104</v>
      </c>
      <c r="L2" s="1">
        <v>0</v>
      </c>
      <c r="M2" s="1">
        <v>0</v>
      </c>
      <c r="N2" s="1">
        <v>0</v>
      </c>
      <c r="O2" s="1">
        <v>0</v>
      </c>
      <c r="P2" s="1" t="s">
        <v>1335</v>
      </c>
      <c r="Q2" s="1" t="s">
        <v>578</v>
      </c>
      <c r="R2" s="1" t="s">
        <v>1331</v>
      </c>
      <c r="S2" s="1" t="s">
        <v>579</v>
      </c>
      <c r="T2" s="1" t="s">
        <v>1333</v>
      </c>
      <c r="U2" s="1">
        <v>0</v>
      </c>
      <c r="V2" s="1">
        <v>0</v>
      </c>
      <c r="W2" s="1">
        <v>0</v>
      </c>
      <c r="X2" s="1">
        <v>0</v>
      </c>
      <c r="Y2" s="1">
        <v>0</v>
      </c>
      <c r="Z2" s="713" t="s">
        <v>2124</v>
      </c>
      <c r="AA2" s="1">
        <v>0</v>
      </c>
      <c r="AB2" s="1">
        <v>0</v>
      </c>
      <c r="AC2" s="1">
        <v>0</v>
      </c>
      <c r="AD2" s="1">
        <v>0</v>
      </c>
      <c r="AE2" s="1">
        <v>0</v>
      </c>
      <c r="AF2" s="1">
        <v>0</v>
      </c>
      <c r="AG2" s="1">
        <v>0</v>
      </c>
      <c r="AH2" s="1">
        <v>0</v>
      </c>
      <c r="AI2" s="1">
        <v>0</v>
      </c>
      <c r="AJ2" s="1">
        <v>0</v>
      </c>
      <c r="AK2" s="1">
        <v>0</v>
      </c>
      <c r="AL2" s="1">
        <v>0</v>
      </c>
      <c r="AM2" s="1" t="s">
        <v>2102</v>
      </c>
      <c r="AN2" s="1" t="s">
        <v>2100</v>
      </c>
      <c r="AO2" s="1" t="s">
        <v>2101</v>
      </c>
      <c r="AP2" s="1">
        <v>0</v>
      </c>
      <c r="AQ2" s="1">
        <v>0</v>
      </c>
      <c r="AR2" s="1">
        <v>0</v>
      </c>
      <c r="AS2" s="1">
        <v>0</v>
      </c>
      <c r="AT2" s="1">
        <v>0</v>
      </c>
      <c r="AU2" s="1">
        <v>0</v>
      </c>
      <c r="AV2" s="1">
        <v>0</v>
      </c>
      <c r="AW2" s="1">
        <v>0</v>
      </c>
      <c r="AX2" s="1">
        <v>0</v>
      </c>
      <c r="AY2" s="1">
        <v>0</v>
      </c>
      <c r="AZ2" s="1" t="s">
        <v>2119</v>
      </c>
      <c r="BA2" s="1">
        <v>0</v>
      </c>
      <c r="BB2" s="1">
        <v>0</v>
      </c>
      <c r="BC2" s="1">
        <v>0</v>
      </c>
      <c r="BD2" s="1" t="s">
        <v>570</v>
      </c>
      <c r="BE2" s="1" t="s">
        <v>571</v>
      </c>
      <c r="BF2" s="1">
        <v>0</v>
      </c>
      <c r="BG2" s="1">
        <v>0</v>
      </c>
      <c r="BH2" s="1">
        <v>0</v>
      </c>
      <c r="BI2" s="1">
        <v>0</v>
      </c>
      <c r="BJ2" s="1" t="s">
        <v>39</v>
      </c>
      <c r="BK2" s="1" t="s">
        <v>40</v>
      </c>
      <c r="BL2" s="1" t="s">
        <v>38</v>
      </c>
      <c r="BM2" s="1" t="s">
        <v>645</v>
      </c>
      <c r="BN2" s="1" t="s">
        <v>2136</v>
      </c>
      <c r="BO2" s="1" t="s">
        <v>41</v>
      </c>
      <c r="BP2" s="1">
        <v>0</v>
      </c>
      <c r="BQ2" s="1">
        <v>0</v>
      </c>
      <c r="BR2" s="1">
        <v>0</v>
      </c>
      <c r="BS2" s="1">
        <v>0</v>
      </c>
      <c r="BT2" s="1" t="s">
        <v>619</v>
      </c>
      <c r="BU2" s="1" t="s">
        <v>613</v>
      </c>
      <c r="BV2" s="1" t="s">
        <v>615</v>
      </c>
      <c r="BW2" s="1" t="s">
        <v>614</v>
      </c>
      <c r="BX2" s="1" t="s">
        <v>616</v>
      </c>
      <c r="BY2" s="1" t="s">
        <v>617</v>
      </c>
      <c r="BZ2" s="1" t="s">
        <v>618</v>
      </c>
      <c r="CA2" s="1" t="s">
        <v>2122</v>
      </c>
      <c r="CB2" s="1" t="s">
        <v>2123</v>
      </c>
      <c r="CC2" s="1" t="s">
        <v>2126</v>
      </c>
      <c r="CD2" s="1" t="s">
        <v>2128</v>
      </c>
      <c r="CE2" s="1" t="s">
        <v>1343</v>
      </c>
      <c r="CF2" s="1">
        <v>0</v>
      </c>
      <c r="CG2" s="1">
        <v>0</v>
      </c>
    </row>
    <row r="3" spans="1:85" ht="19.5" customHeight="1" thickTop="1" thickBot="1">
      <c r="A3" s="60" t="s">
        <v>80</v>
      </c>
      <c r="B3" s="1813" t="s">
        <v>21</v>
      </c>
      <c r="C3" s="1814"/>
      <c r="D3" s="1814"/>
      <c r="E3" s="1814"/>
      <c r="F3" s="1814"/>
      <c r="G3" s="1815"/>
      <c r="H3" s="1815"/>
      <c r="I3" s="1815"/>
      <c r="J3" s="1815"/>
      <c r="K3" s="1816"/>
      <c r="L3" s="1817" t="s">
        <v>17</v>
      </c>
      <c r="M3" s="1818"/>
      <c r="N3" s="1818"/>
      <c r="O3" s="1818"/>
      <c r="P3" s="1818"/>
      <c r="Q3" s="1818"/>
      <c r="R3" s="1818"/>
      <c r="S3" s="1818"/>
      <c r="T3" s="1818"/>
      <c r="U3" s="1818"/>
      <c r="V3" s="1818"/>
      <c r="W3" s="1818"/>
      <c r="X3" s="1818"/>
      <c r="Y3" s="1818"/>
      <c r="Z3" s="1818"/>
      <c r="AA3" s="1818"/>
      <c r="AB3" s="1819"/>
      <c r="AC3" s="68"/>
      <c r="AD3" s="1810" t="s">
        <v>24</v>
      </c>
      <c r="AE3" s="1811"/>
      <c r="AF3" s="1811"/>
      <c r="AG3" s="1811"/>
      <c r="AH3" s="1811"/>
      <c r="AI3" s="1811"/>
      <c r="AJ3" s="1811"/>
      <c r="AK3" s="1811"/>
      <c r="AL3" s="1811"/>
      <c r="AM3" s="1811"/>
      <c r="AN3" s="1811"/>
      <c r="AO3" s="1812"/>
      <c r="AQ3" s="1780" t="s">
        <v>43</v>
      </c>
      <c r="AR3" s="1781"/>
      <c r="AS3" s="1781"/>
      <c r="AT3" s="1781"/>
      <c r="AU3" s="1781"/>
      <c r="AV3" s="1781"/>
      <c r="AW3" s="1781"/>
      <c r="AX3" s="1781"/>
      <c r="AY3" s="1781"/>
      <c r="AZ3" s="1781"/>
      <c r="BA3" s="1781"/>
      <c r="BB3" s="1781"/>
      <c r="BC3" s="1781"/>
      <c r="BD3" s="1781"/>
      <c r="BE3" s="1782"/>
      <c r="BG3" s="1780" t="s">
        <v>42</v>
      </c>
      <c r="BH3" s="1781"/>
      <c r="BI3" s="1781"/>
      <c r="BJ3" s="1781"/>
      <c r="BK3" s="1781"/>
      <c r="BL3" s="1781"/>
      <c r="BM3" s="1781"/>
      <c r="BN3" s="1781"/>
      <c r="BO3" s="1782"/>
      <c r="BQ3" s="1780" t="s">
        <v>2131</v>
      </c>
      <c r="BR3" s="1781"/>
      <c r="BS3" s="1781"/>
      <c r="BT3" s="1781"/>
      <c r="BU3" s="1781"/>
      <c r="BV3" s="1781"/>
      <c r="BW3" s="1781"/>
      <c r="BX3" s="1781"/>
      <c r="BY3" s="1781"/>
      <c r="BZ3" s="1781"/>
      <c r="CA3" s="1781"/>
      <c r="CB3" s="1781"/>
      <c r="CC3" s="1781"/>
      <c r="CD3" s="1781"/>
      <c r="CE3" s="1782"/>
    </row>
    <row r="4" spans="1:85" ht="51" thickTop="1" thickBot="1">
      <c r="A4" s="61"/>
      <c r="B4" s="90" t="s">
        <v>2</v>
      </c>
      <c r="C4" s="79" t="s">
        <v>3</v>
      </c>
      <c r="D4" s="79" t="s">
        <v>0</v>
      </c>
      <c r="E4" s="79" t="s">
        <v>81</v>
      </c>
      <c r="F4" s="79" t="s">
        <v>87</v>
      </c>
      <c r="G4" s="79" t="s">
        <v>582</v>
      </c>
      <c r="H4" s="92" t="s">
        <v>583</v>
      </c>
      <c r="I4" s="92" t="s">
        <v>584</v>
      </c>
      <c r="J4" s="92" t="s">
        <v>2121</v>
      </c>
      <c r="K4" s="80" t="s">
        <v>14</v>
      </c>
      <c r="L4" s="83" t="s">
        <v>595</v>
      </c>
      <c r="M4" s="83" t="s">
        <v>596</v>
      </c>
      <c r="N4" s="83" t="s">
        <v>598</v>
      </c>
      <c r="O4" s="82" t="s">
        <v>606</v>
      </c>
      <c r="P4" s="82" t="s">
        <v>1336</v>
      </c>
      <c r="Q4" s="83" t="s">
        <v>593</v>
      </c>
      <c r="R4" s="83" t="s">
        <v>2105</v>
      </c>
      <c r="S4" s="83" t="s">
        <v>594</v>
      </c>
      <c r="T4" s="82" t="s">
        <v>1334</v>
      </c>
      <c r="U4" s="83" t="s">
        <v>604</v>
      </c>
      <c r="V4" s="83" t="s">
        <v>605</v>
      </c>
      <c r="W4" s="82" t="s">
        <v>601</v>
      </c>
      <c r="X4" s="83" t="s">
        <v>19</v>
      </c>
      <c r="Y4" s="83" t="s">
        <v>590</v>
      </c>
      <c r="Z4" s="82" t="s">
        <v>602</v>
      </c>
      <c r="AA4" s="83" t="s">
        <v>591</v>
      </c>
      <c r="AB4" s="83" t="s">
        <v>603</v>
      </c>
      <c r="AC4" s="69"/>
      <c r="AD4" s="84" t="s">
        <v>27</v>
      </c>
      <c r="AE4" s="86" t="s">
        <v>12</v>
      </c>
      <c r="AF4" s="86" t="s">
        <v>4</v>
      </c>
      <c r="AG4" s="86" t="s">
        <v>25</v>
      </c>
      <c r="AH4" s="86" t="s">
        <v>16</v>
      </c>
      <c r="AI4" s="86" t="s">
        <v>7</v>
      </c>
      <c r="AJ4" s="87" t="s">
        <v>26</v>
      </c>
      <c r="AK4" s="88" t="s">
        <v>11</v>
      </c>
      <c r="AL4" s="88" t="s">
        <v>15</v>
      </c>
      <c r="AM4" s="88" t="s">
        <v>2490</v>
      </c>
      <c r="AN4" s="88" t="s">
        <v>5</v>
      </c>
      <c r="AO4" s="89" t="s">
        <v>2491</v>
      </c>
      <c r="AQ4" s="52" t="str">
        <f t="shared" ref="AQ4:AT9" si="0">B4</f>
        <v>No.</v>
      </c>
      <c r="AR4" s="53" t="str">
        <f t="shared" si="0"/>
        <v>Ref.</v>
      </c>
      <c r="AS4" s="53" t="str">
        <f t="shared" si="0"/>
        <v>Model</v>
      </c>
      <c r="AT4" s="238" t="str">
        <f t="shared" si="0"/>
        <v>Supply Flow Rate
 CFM</v>
      </c>
      <c r="AU4" s="241" t="str">
        <f t="shared" ref="AU4:AU9" si="1">V4</f>
        <v>ESP
(inwg)</v>
      </c>
      <c r="AV4" s="54" t="s">
        <v>31</v>
      </c>
      <c r="AW4" s="54" t="s">
        <v>29</v>
      </c>
      <c r="AX4" s="53" t="s">
        <v>30</v>
      </c>
      <c r="AY4" s="53" t="s">
        <v>32</v>
      </c>
      <c r="AZ4" s="53" t="s">
        <v>33</v>
      </c>
      <c r="BA4" s="53" t="s">
        <v>34</v>
      </c>
      <c r="BB4" s="53" t="s">
        <v>8</v>
      </c>
      <c r="BC4" s="53" t="s">
        <v>36</v>
      </c>
      <c r="BD4" s="238" t="s">
        <v>655</v>
      </c>
      <c r="BE4" s="236" t="s">
        <v>572</v>
      </c>
      <c r="BG4" s="48" t="str">
        <f t="shared" ref="BG4:BI9" si="2">B4</f>
        <v>No.</v>
      </c>
      <c r="BH4" s="49" t="str">
        <f t="shared" si="2"/>
        <v>Ref.</v>
      </c>
      <c r="BI4" s="49" t="str">
        <f t="shared" si="2"/>
        <v>Model</v>
      </c>
      <c r="BJ4" s="49" t="s">
        <v>39</v>
      </c>
      <c r="BK4" s="50" t="s">
        <v>40</v>
      </c>
      <c r="BL4" s="50" t="s">
        <v>38</v>
      </c>
      <c r="BM4" s="243" t="s">
        <v>645</v>
      </c>
      <c r="BN4" s="243" t="s">
        <v>2136</v>
      </c>
      <c r="BO4" s="51" t="s">
        <v>41</v>
      </c>
      <c r="BQ4" s="767" t="str">
        <f>BG4</f>
        <v>No.</v>
      </c>
      <c r="BR4" s="239" t="str">
        <f t="shared" ref="BR4:BS4" si="3">BH4</f>
        <v>Ref.</v>
      </c>
      <c r="BS4" s="239" t="str">
        <f t="shared" si="3"/>
        <v>Model</v>
      </c>
      <c r="BT4" s="239" t="s">
        <v>621</v>
      </c>
      <c r="BU4" s="239" t="s">
        <v>580</v>
      </c>
      <c r="BV4" s="239" t="s">
        <v>1329</v>
      </c>
      <c r="BW4" s="239" t="s">
        <v>581</v>
      </c>
      <c r="BX4" s="239" t="s">
        <v>1330</v>
      </c>
      <c r="BY4" s="239" t="s">
        <v>620</v>
      </c>
      <c r="BZ4" s="239" t="s">
        <v>5</v>
      </c>
      <c r="CA4" s="239" t="s">
        <v>2130</v>
      </c>
      <c r="CB4" s="239" t="s">
        <v>2129</v>
      </c>
      <c r="CC4" s="239" t="s">
        <v>2125</v>
      </c>
      <c r="CD4" s="239" t="s">
        <v>2127</v>
      </c>
      <c r="CE4" s="240" t="s">
        <v>1328</v>
      </c>
    </row>
    <row r="5" spans="1:85">
      <c r="A5" s="62"/>
      <c r="B5" s="24">
        <v>1</v>
      </c>
      <c r="C5" s="25" t="s">
        <v>2840</v>
      </c>
      <c r="D5" s="22" t="s">
        <v>2840</v>
      </c>
      <c r="E5" s="22">
        <f>O5*2.1191</f>
        <v>0</v>
      </c>
      <c r="F5" s="22"/>
      <c r="G5" s="93"/>
      <c r="H5" s="93"/>
      <c r="I5" s="93"/>
      <c r="J5" s="93"/>
      <c r="K5" s="107"/>
      <c r="L5" s="12"/>
      <c r="M5" s="26">
        <f>L5*3412</f>
        <v>0</v>
      </c>
      <c r="N5" s="26"/>
      <c r="O5" s="8"/>
      <c r="P5" s="8"/>
      <c r="Q5" s="8"/>
      <c r="R5" s="8"/>
      <c r="S5" s="8"/>
      <c r="T5" s="8"/>
      <c r="U5" s="8"/>
      <c r="V5" s="119">
        <f>U5/249</f>
        <v>0</v>
      </c>
      <c r="W5" s="210"/>
      <c r="X5" s="210"/>
      <c r="Y5" s="210"/>
      <c r="Z5" s="210">
        <f>W5*1.8+32</f>
        <v>32</v>
      </c>
      <c r="AA5" s="210">
        <f t="shared" ref="AA5:AB9" si="4">X5*1.8+32</f>
        <v>32</v>
      </c>
      <c r="AB5" s="210">
        <f t="shared" si="4"/>
        <v>32</v>
      </c>
      <c r="AC5" s="69"/>
      <c r="AD5" s="20"/>
      <c r="AE5" s="9">
        <f>0.06*AD5</f>
        <v>0</v>
      </c>
      <c r="AF5" s="9"/>
      <c r="AG5" s="9"/>
      <c r="AH5" s="9"/>
      <c r="AI5" s="9"/>
      <c r="AJ5" s="9">
        <f>SUM(AD5:AI5)</f>
        <v>0</v>
      </c>
      <c r="AK5" s="22">
        <f>AJ5*3.75</f>
        <v>0</v>
      </c>
      <c r="AL5" s="22">
        <f>AK5*1.25</f>
        <v>0</v>
      </c>
      <c r="AM5" s="22">
        <f>CEILING(AL5,5)</f>
        <v>0</v>
      </c>
      <c r="AN5" s="22">
        <v>1</v>
      </c>
      <c r="AO5" s="23">
        <f>AN5*AM5</f>
        <v>0</v>
      </c>
      <c r="AQ5" s="12">
        <f t="shared" si="0"/>
        <v>1</v>
      </c>
      <c r="AR5" s="8" t="str">
        <f t="shared" si="0"/>
        <v>XX</v>
      </c>
      <c r="AS5" s="8" t="str">
        <f t="shared" si="0"/>
        <v>XX</v>
      </c>
      <c r="AT5" s="8">
        <f t="shared" si="0"/>
        <v>0</v>
      </c>
      <c r="AU5" s="118">
        <f t="shared" si="1"/>
        <v>0</v>
      </c>
      <c r="AV5" s="118"/>
      <c r="AW5" s="119"/>
      <c r="AX5" s="119"/>
      <c r="AY5" s="119"/>
      <c r="AZ5" s="119">
        <v>0.8</v>
      </c>
      <c r="BA5" s="119"/>
      <c r="BB5" s="119">
        <f>SUM(AU5:BA5)</f>
        <v>0.8</v>
      </c>
      <c r="BC5" s="8"/>
      <c r="BD5" s="8"/>
      <c r="BE5" s="13"/>
      <c r="BG5" s="12">
        <f t="shared" si="2"/>
        <v>1</v>
      </c>
      <c r="BH5" s="8" t="str">
        <f t="shared" si="2"/>
        <v>XX</v>
      </c>
      <c r="BI5" s="8" t="str">
        <f t="shared" si="2"/>
        <v>XX</v>
      </c>
      <c r="BJ5" s="210"/>
      <c r="BK5" s="223"/>
      <c r="BL5" s="223"/>
      <c r="BM5" s="226"/>
      <c r="BN5" s="226"/>
      <c r="BO5" s="213"/>
      <c r="BQ5" s="229">
        <f>BG5</f>
        <v>1</v>
      </c>
      <c r="BR5" s="230" t="str">
        <f>BH5</f>
        <v>XX</v>
      </c>
      <c r="BS5" s="230" t="str">
        <f>BI5</f>
        <v>XX</v>
      </c>
      <c r="BT5" s="741"/>
      <c r="BU5" s="748"/>
      <c r="BV5" s="751"/>
      <c r="BW5" s="232"/>
      <c r="BX5" s="231"/>
      <c r="BY5" s="744"/>
      <c r="BZ5" s="744"/>
      <c r="CA5" s="741"/>
      <c r="CB5" s="741"/>
      <c r="CC5" s="741"/>
      <c r="CD5" s="741"/>
      <c r="CE5" s="760"/>
    </row>
    <row r="6" spans="1:85">
      <c r="A6" s="62"/>
      <c r="B6" s="12">
        <v>2</v>
      </c>
      <c r="C6" s="6"/>
      <c r="D6" s="9"/>
      <c r="E6" s="22">
        <f>O6*2.1191</f>
        <v>0</v>
      </c>
      <c r="F6" s="9"/>
      <c r="G6" s="170"/>
      <c r="H6" s="170"/>
      <c r="I6" s="170"/>
      <c r="J6" s="170"/>
      <c r="K6" s="108"/>
      <c r="L6" s="12"/>
      <c r="M6" s="26">
        <f>L6*3412</f>
        <v>0</v>
      </c>
      <c r="N6" s="26"/>
      <c r="O6" s="8"/>
      <c r="P6" s="8"/>
      <c r="Q6" s="8"/>
      <c r="R6" s="8"/>
      <c r="S6" s="8"/>
      <c r="T6" s="8"/>
      <c r="U6" s="8"/>
      <c r="V6" s="119">
        <f>U6/249</f>
        <v>0</v>
      </c>
      <c r="W6" s="210"/>
      <c r="X6" s="210"/>
      <c r="Y6" s="210"/>
      <c r="Z6" s="210">
        <f>W6*1.8+32</f>
        <v>32</v>
      </c>
      <c r="AA6" s="210">
        <f t="shared" si="4"/>
        <v>32</v>
      </c>
      <c r="AB6" s="210">
        <f t="shared" si="4"/>
        <v>32</v>
      </c>
      <c r="AC6" s="69"/>
      <c r="AD6" s="20"/>
      <c r="AE6" s="9">
        <f>0.06*AD6</f>
        <v>0</v>
      </c>
      <c r="AF6" s="9"/>
      <c r="AG6" s="9"/>
      <c r="AH6" s="9"/>
      <c r="AI6" s="9"/>
      <c r="AJ6" s="9">
        <f>SUM(AD6:AI6)</f>
        <v>0</v>
      </c>
      <c r="AK6" s="9">
        <f>AJ6*3.75</f>
        <v>0</v>
      </c>
      <c r="AL6" s="9">
        <f>AK6*1.25</f>
        <v>0</v>
      </c>
      <c r="AM6" s="9">
        <f>CEILING(AL6,5)</f>
        <v>0</v>
      </c>
      <c r="AN6" s="9"/>
      <c r="AO6" s="10">
        <f>AN6*AM6</f>
        <v>0</v>
      </c>
      <c r="AQ6" s="12">
        <f t="shared" si="0"/>
        <v>2</v>
      </c>
      <c r="AR6" s="8">
        <f t="shared" si="0"/>
        <v>0</v>
      </c>
      <c r="AS6" s="8">
        <f t="shared" si="0"/>
        <v>0</v>
      </c>
      <c r="AT6" s="8">
        <f t="shared" si="0"/>
        <v>0</v>
      </c>
      <c r="AU6" s="118">
        <f t="shared" si="1"/>
        <v>0</v>
      </c>
      <c r="AV6" s="118"/>
      <c r="AW6" s="119"/>
      <c r="AX6" s="119"/>
      <c r="AY6" s="119"/>
      <c r="AZ6" s="119">
        <v>0.76</v>
      </c>
      <c r="BA6" s="119"/>
      <c r="BB6" s="119">
        <f>SUM(AU6:BA6)</f>
        <v>0.76</v>
      </c>
      <c r="BC6" s="8"/>
      <c r="BD6" s="8"/>
      <c r="BE6" s="13"/>
      <c r="BG6" s="12">
        <f t="shared" si="2"/>
        <v>2</v>
      </c>
      <c r="BH6" s="8">
        <f t="shared" si="2"/>
        <v>0</v>
      </c>
      <c r="BI6" s="8">
        <f t="shared" si="2"/>
        <v>0</v>
      </c>
      <c r="BJ6" s="210"/>
      <c r="BK6" s="223"/>
      <c r="BL6" s="223"/>
      <c r="BM6" s="226"/>
      <c r="BN6" s="226"/>
      <c r="BO6" s="213"/>
      <c r="BQ6" s="12">
        <f t="shared" ref="BQ6:BQ9" si="5">BG6</f>
        <v>2</v>
      </c>
      <c r="BR6" s="8">
        <f t="shared" ref="BR6:BR9" si="6">BH6</f>
        <v>0</v>
      </c>
      <c r="BS6" s="8">
        <f t="shared" ref="BS6:BS9" si="7">BI6</f>
        <v>0</v>
      </c>
      <c r="BT6" s="742"/>
      <c r="BU6" s="749"/>
      <c r="BV6" s="752"/>
      <c r="BW6" s="223"/>
      <c r="BX6" s="210"/>
      <c r="BY6" s="745"/>
      <c r="BZ6" s="745"/>
      <c r="CA6" s="742"/>
      <c r="CB6" s="742"/>
      <c r="CC6" s="742"/>
      <c r="CD6" s="742"/>
      <c r="CE6" s="758"/>
    </row>
    <row r="7" spans="1:85">
      <c r="A7" s="62"/>
      <c r="B7" s="12">
        <v>3</v>
      </c>
      <c r="C7" s="6"/>
      <c r="D7" s="9"/>
      <c r="E7" s="22">
        <f>O7*2.1191</f>
        <v>0</v>
      </c>
      <c r="F7" s="9"/>
      <c r="G7" s="170"/>
      <c r="H7" s="170"/>
      <c r="I7" s="170"/>
      <c r="J7" s="170"/>
      <c r="K7" s="108"/>
      <c r="L7" s="12"/>
      <c r="M7" s="26">
        <f>L7*3412</f>
        <v>0</v>
      </c>
      <c r="N7" s="26"/>
      <c r="O7" s="8"/>
      <c r="P7" s="8"/>
      <c r="Q7" s="8"/>
      <c r="R7" s="8"/>
      <c r="S7" s="8"/>
      <c r="T7" s="8"/>
      <c r="U7" s="8"/>
      <c r="V7" s="119">
        <f>U7/249</f>
        <v>0</v>
      </c>
      <c r="W7" s="210"/>
      <c r="X7" s="210"/>
      <c r="Y7" s="210"/>
      <c r="Z7" s="210">
        <f>W7*1.8+32</f>
        <v>32</v>
      </c>
      <c r="AA7" s="210">
        <f t="shared" si="4"/>
        <v>32</v>
      </c>
      <c r="AB7" s="210">
        <f t="shared" si="4"/>
        <v>32</v>
      </c>
      <c r="AC7" s="69"/>
      <c r="AD7" s="20"/>
      <c r="AE7" s="9">
        <f>0.06*AD7</f>
        <v>0</v>
      </c>
      <c r="AF7" s="9"/>
      <c r="AG7" s="9"/>
      <c r="AH7" s="9"/>
      <c r="AI7" s="9"/>
      <c r="AJ7" s="9">
        <f>SUM(AD7:AI7)</f>
        <v>0</v>
      </c>
      <c r="AK7" s="9">
        <f>AJ7*3.75</f>
        <v>0</v>
      </c>
      <c r="AL7" s="9">
        <f>AK7*1.25</f>
        <v>0</v>
      </c>
      <c r="AM7" s="9">
        <f>CEILING(AL7,5)</f>
        <v>0</v>
      </c>
      <c r="AN7" s="9"/>
      <c r="AO7" s="10">
        <f>AN7*AM7</f>
        <v>0</v>
      </c>
      <c r="AQ7" s="12">
        <f t="shared" si="0"/>
        <v>3</v>
      </c>
      <c r="AR7" s="8">
        <f t="shared" si="0"/>
        <v>0</v>
      </c>
      <c r="AS7" s="8">
        <f t="shared" si="0"/>
        <v>0</v>
      </c>
      <c r="AT7" s="8">
        <f t="shared" si="0"/>
        <v>0</v>
      </c>
      <c r="AU7" s="118">
        <f t="shared" si="1"/>
        <v>0</v>
      </c>
      <c r="AV7" s="118"/>
      <c r="AW7" s="119"/>
      <c r="AX7" s="119"/>
      <c r="AY7" s="119"/>
      <c r="AZ7" s="119">
        <v>0.56999999999999995</v>
      </c>
      <c r="BA7" s="119"/>
      <c r="BB7" s="119">
        <f>SUM(AU7:BA7)</f>
        <v>0.56999999999999995</v>
      </c>
      <c r="BC7" s="8"/>
      <c r="BD7" s="8"/>
      <c r="BE7" s="13"/>
      <c r="BG7" s="12">
        <f t="shared" si="2"/>
        <v>3</v>
      </c>
      <c r="BH7" s="8">
        <f t="shared" si="2"/>
        <v>0</v>
      </c>
      <c r="BI7" s="8">
        <f t="shared" si="2"/>
        <v>0</v>
      </c>
      <c r="BJ7" s="210"/>
      <c r="BK7" s="223"/>
      <c r="BL7" s="223"/>
      <c r="BM7" s="226"/>
      <c r="BN7" s="226"/>
      <c r="BO7" s="213"/>
      <c r="BQ7" s="12">
        <f t="shared" si="5"/>
        <v>3</v>
      </c>
      <c r="BR7" s="8">
        <f t="shared" si="6"/>
        <v>0</v>
      </c>
      <c r="BS7" s="8">
        <f t="shared" si="7"/>
        <v>0</v>
      </c>
      <c r="BT7" s="742"/>
      <c r="BU7" s="749"/>
      <c r="BV7" s="752"/>
      <c r="BW7" s="223"/>
      <c r="BX7" s="210"/>
      <c r="BY7" s="745"/>
      <c r="BZ7" s="745"/>
      <c r="CA7" s="742"/>
      <c r="CB7" s="742"/>
      <c r="CC7" s="742"/>
      <c r="CD7" s="742"/>
      <c r="CE7" s="758"/>
    </row>
    <row r="8" spans="1:85">
      <c r="A8" s="62"/>
      <c r="B8" s="12">
        <v>4</v>
      </c>
      <c r="C8" s="6"/>
      <c r="D8" s="9"/>
      <c r="E8" s="22">
        <f>O8*2.1191</f>
        <v>0</v>
      </c>
      <c r="F8" s="9"/>
      <c r="G8" s="170"/>
      <c r="H8" s="170"/>
      <c r="I8" s="170"/>
      <c r="J8" s="170"/>
      <c r="K8" s="108"/>
      <c r="L8" s="12"/>
      <c r="M8" s="26">
        <f>L8*3412</f>
        <v>0</v>
      </c>
      <c r="N8" s="26"/>
      <c r="O8" s="8"/>
      <c r="P8" s="8"/>
      <c r="Q8" s="8"/>
      <c r="R8" s="8"/>
      <c r="S8" s="8"/>
      <c r="T8" s="8"/>
      <c r="U8" s="8"/>
      <c r="V8" s="119">
        <f>U8/249</f>
        <v>0</v>
      </c>
      <c r="W8" s="210"/>
      <c r="X8" s="210"/>
      <c r="Y8" s="210"/>
      <c r="Z8" s="210">
        <f>W8*1.8+32</f>
        <v>32</v>
      </c>
      <c r="AA8" s="210">
        <f t="shared" si="4"/>
        <v>32</v>
      </c>
      <c r="AB8" s="210">
        <f t="shared" si="4"/>
        <v>32</v>
      </c>
      <c r="AC8" s="69"/>
      <c r="AD8" s="20"/>
      <c r="AE8" s="9">
        <f>0.06*AD8</f>
        <v>0</v>
      </c>
      <c r="AF8" s="9"/>
      <c r="AG8" s="9"/>
      <c r="AH8" s="9"/>
      <c r="AI8" s="9"/>
      <c r="AJ8" s="9">
        <f>SUM(AD8:AI8)</f>
        <v>0</v>
      </c>
      <c r="AK8" s="9">
        <f>AJ8*3.75</f>
        <v>0</v>
      </c>
      <c r="AL8" s="9">
        <f>AK8*1.25</f>
        <v>0</v>
      </c>
      <c r="AM8" s="9">
        <f>CEILING(AL8,5)</f>
        <v>0</v>
      </c>
      <c r="AN8" s="9"/>
      <c r="AO8" s="10">
        <f>AN8*AM8</f>
        <v>0</v>
      </c>
      <c r="AQ8" s="12">
        <f t="shared" si="0"/>
        <v>4</v>
      </c>
      <c r="AR8" s="8">
        <f t="shared" si="0"/>
        <v>0</v>
      </c>
      <c r="AS8" s="8">
        <f t="shared" si="0"/>
        <v>0</v>
      </c>
      <c r="AT8" s="8">
        <f t="shared" si="0"/>
        <v>0</v>
      </c>
      <c r="AU8" s="118">
        <f t="shared" si="1"/>
        <v>0</v>
      </c>
      <c r="AV8" s="118"/>
      <c r="AW8" s="119"/>
      <c r="AX8" s="119"/>
      <c r="AY8" s="119"/>
      <c r="AZ8" s="119"/>
      <c r="BA8" s="119"/>
      <c r="BB8" s="119">
        <f>SUM(AU8:BA8)</f>
        <v>0</v>
      </c>
      <c r="BC8" s="8"/>
      <c r="BD8" s="8"/>
      <c r="BE8" s="13"/>
      <c r="BG8" s="12">
        <f t="shared" si="2"/>
        <v>4</v>
      </c>
      <c r="BH8" s="8">
        <f t="shared" si="2"/>
        <v>0</v>
      </c>
      <c r="BI8" s="8">
        <f t="shared" si="2"/>
        <v>0</v>
      </c>
      <c r="BJ8" s="210"/>
      <c r="BK8" s="223"/>
      <c r="BL8" s="223"/>
      <c r="BM8" s="226"/>
      <c r="BN8" s="226"/>
      <c r="BO8" s="213"/>
      <c r="BQ8" s="12">
        <f t="shared" si="5"/>
        <v>4</v>
      </c>
      <c r="BR8" s="8">
        <f t="shared" si="6"/>
        <v>0</v>
      </c>
      <c r="BS8" s="8">
        <f t="shared" si="7"/>
        <v>0</v>
      </c>
      <c r="BT8" s="742"/>
      <c r="BU8" s="749"/>
      <c r="BV8" s="752"/>
      <c r="BW8" s="223"/>
      <c r="BX8" s="210"/>
      <c r="BY8" s="745"/>
      <c r="BZ8" s="745"/>
      <c r="CA8" s="742"/>
      <c r="CB8" s="742"/>
      <c r="CC8" s="742"/>
      <c r="CD8" s="742"/>
      <c r="CE8" s="758"/>
    </row>
    <row r="9" spans="1:85" ht="15.75" customHeight="1" thickBot="1">
      <c r="A9" s="62"/>
      <c r="B9" s="38">
        <v>5</v>
      </c>
      <c r="C9" s="17"/>
      <c r="D9" s="18"/>
      <c r="E9" s="18">
        <f>O9*2.1191</f>
        <v>0</v>
      </c>
      <c r="F9" s="18"/>
      <c r="G9" s="171"/>
      <c r="H9" s="171"/>
      <c r="I9" s="171"/>
      <c r="J9" s="171"/>
      <c r="K9" s="109"/>
      <c r="L9" s="14"/>
      <c r="M9" s="15">
        <f>L9*3412</f>
        <v>0</v>
      </c>
      <c r="N9" s="15"/>
      <c r="O9" s="15"/>
      <c r="P9" s="15"/>
      <c r="Q9" s="15"/>
      <c r="R9" s="15"/>
      <c r="S9" s="15"/>
      <c r="T9" s="15"/>
      <c r="U9" s="15"/>
      <c r="V9" s="121">
        <f>U9/249</f>
        <v>0</v>
      </c>
      <c r="W9" s="211"/>
      <c r="X9" s="211"/>
      <c r="Y9" s="211"/>
      <c r="Z9" s="211">
        <f>W9*1.8+32</f>
        <v>32</v>
      </c>
      <c r="AA9" s="211">
        <f t="shared" si="4"/>
        <v>32</v>
      </c>
      <c r="AB9" s="211">
        <f t="shared" si="4"/>
        <v>32</v>
      </c>
      <c r="AC9" s="70"/>
      <c r="AD9" s="21"/>
      <c r="AE9" s="18">
        <f>0.06*AD9</f>
        <v>0</v>
      </c>
      <c r="AF9" s="18"/>
      <c r="AG9" s="18"/>
      <c r="AH9" s="18"/>
      <c r="AI9" s="18"/>
      <c r="AJ9" s="18">
        <f>SUM(AD9:AI9)</f>
        <v>0</v>
      </c>
      <c r="AK9" s="18">
        <f>AJ9*3.75</f>
        <v>0</v>
      </c>
      <c r="AL9" s="18">
        <f>AK9*1.25</f>
        <v>0</v>
      </c>
      <c r="AM9" s="18">
        <f>CEILING(AL9,5)</f>
        <v>0</v>
      </c>
      <c r="AN9" s="18"/>
      <c r="AO9" s="19">
        <f>AN9*AM9</f>
        <v>0</v>
      </c>
      <c r="AQ9" s="14">
        <f t="shared" si="0"/>
        <v>5</v>
      </c>
      <c r="AR9" s="15">
        <f t="shared" si="0"/>
        <v>0</v>
      </c>
      <c r="AS9" s="15">
        <f t="shared" si="0"/>
        <v>0</v>
      </c>
      <c r="AT9" s="15">
        <f t="shared" si="0"/>
        <v>0</v>
      </c>
      <c r="AU9" s="120">
        <f t="shared" si="1"/>
        <v>0</v>
      </c>
      <c r="AV9" s="120"/>
      <c r="AW9" s="121"/>
      <c r="AX9" s="121"/>
      <c r="AY9" s="121"/>
      <c r="AZ9" s="121"/>
      <c r="BA9" s="121"/>
      <c r="BB9" s="121">
        <f>SUM(AU9:BA9)</f>
        <v>0</v>
      </c>
      <c r="BC9" s="15"/>
      <c r="BD9" s="15"/>
      <c r="BE9" s="16"/>
      <c r="BG9" s="14">
        <f t="shared" si="2"/>
        <v>5</v>
      </c>
      <c r="BH9" s="15">
        <f t="shared" si="2"/>
        <v>0</v>
      </c>
      <c r="BI9" s="15">
        <f t="shared" si="2"/>
        <v>0</v>
      </c>
      <c r="BJ9" s="211"/>
      <c r="BK9" s="224"/>
      <c r="BL9" s="224"/>
      <c r="BM9" s="227"/>
      <c r="BN9" s="227"/>
      <c r="BO9" s="214"/>
      <c r="BQ9" s="14">
        <f t="shared" si="5"/>
        <v>5</v>
      </c>
      <c r="BR9" s="15">
        <f t="shared" si="6"/>
        <v>0</v>
      </c>
      <c r="BS9" s="15">
        <f t="shared" si="7"/>
        <v>0</v>
      </c>
      <c r="BT9" s="743"/>
      <c r="BU9" s="750"/>
      <c r="BV9" s="753"/>
      <c r="BW9" s="224"/>
      <c r="BX9" s="211"/>
      <c r="BY9" s="746"/>
      <c r="BZ9" s="746"/>
      <c r="CA9" s="743"/>
      <c r="CB9" s="743"/>
      <c r="CC9" s="743"/>
      <c r="CD9" s="743"/>
      <c r="CE9" s="759"/>
    </row>
    <row r="10" spans="1:85" ht="17.25" thickBot="1">
      <c r="A10" s="62"/>
      <c r="AJ10" s="11"/>
      <c r="AK10" s="11"/>
      <c r="AL10" s="11"/>
      <c r="AM10" s="11"/>
      <c r="AN10" s="172">
        <f>SUM(AN5:AN9)</f>
        <v>1</v>
      </c>
      <c r="AO10" s="173">
        <f>SUM(AO5:AO9)</f>
        <v>0</v>
      </c>
    </row>
    <row r="11" spans="1:85">
      <c r="A11" s="62"/>
    </row>
    <row r="12" spans="1:85" ht="17.25" thickBot="1">
      <c r="A12" s="62"/>
      <c r="F12" s="7"/>
      <c r="G12" s="7"/>
      <c r="H12" s="7"/>
      <c r="I12" s="7"/>
      <c r="J12" s="7"/>
      <c r="K12" s="7"/>
    </row>
    <row r="13" spans="1:85" ht="21" thickBot="1">
      <c r="A13" s="62"/>
      <c r="B13" s="1790" t="s">
        <v>48</v>
      </c>
      <c r="C13" s="1784"/>
      <c r="D13" s="1784"/>
      <c r="E13" s="1784"/>
      <c r="F13" s="1784"/>
      <c r="G13" s="1784"/>
      <c r="H13" s="1784"/>
      <c r="I13" s="1784"/>
      <c r="J13" s="1784"/>
      <c r="K13" s="1785"/>
    </row>
    <row r="14" spans="1:85">
      <c r="A14" s="62"/>
      <c r="B14" s="39" t="s">
        <v>3</v>
      </c>
      <c r="C14" s="39"/>
      <c r="D14" s="39"/>
      <c r="E14" s="39"/>
      <c r="F14" s="39"/>
      <c r="G14" s="39"/>
      <c r="H14" s="39"/>
      <c r="I14" s="39"/>
      <c r="J14" s="39"/>
      <c r="K14" s="39"/>
    </row>
    <row r="15" spans="1:85">
      <c r="A15" s="62"/>
      <c r="F15" s="7"/>
      <c r="G15" s="7"/>
      <c r="H15" s="7"/>
      <c r="I15" s="7"/>
      <c r="J15" s="7"/>
      <c r="K15" s="7"/>
    </row>
    <row r="16" spans="1:85">
      <c r="A16" s="62"/>
      <c r="F16" s="7"/>
      <c r="G16" s="7"/>
      <c r="H16" s="7"/>
      <c r="I16" s="7"/>
      <c r="J16" s="7"/>
      <c r="K16" s="7"/>
    </row>
    <row r="17" spans="1:11">
      <c r="A17" s="62"/>
      <c r="F17" s="7"/>
      <c r="G17" s="7"/>
      <c r="H17" s="7"/>
      <c r="I17" s="7"/>
      <c r="J17" s="7"/>
      <c r="K17" s="7"/>
    </row>
    <row r="18" spans="1:11">
      <c r="A18" s="62"/>
      <c r="F18" s="7"/>
      <c r="G18" s="7"/>
      <c r="H18" s="7"/>
      <c r="I18" s="7"/>
      <c r="J18" s="7"/>
      <c r="K18" s="7"/>
    </row>
    <row r="19" spans="1:11">
      <c r="A19" s="62"/>
      <c r="F19" s="7"/>
      <c r="G19" s="7"/>
      <c r="H19" s="7"/>
      <c r="I19" s="7"/>
      <c r="J19" s="7"/>
      <c r="K19" s="7"/>
    </row>
    <row r="20" spans="1:11">
      <c r="A20" s="62"/>
      <c r="F20" s="7"/>
      <c r="G20" s="7"/>
      <c r="H20" s="7"/>
      <c r="I20" s="7"/>
      <c r="J20" s="7"/>
      <c r="K20" s="7"/>
    </row>
    <row r="21" spans="1:11">
      <c r="A21" s="62"/>
      <c r="F21" s="7"/>
      <c r="G21" s="7"/>
      <c r="H21" s="7"/>
      <c r="I21" s="7"/>
      <c r="J21" s="7"/>
      <c r="K21" s="7"/>
    </row>
    <row r="22" spans="1:11">
      <c r="A22" s="62"/>
      <c r="F22" s="7"/>
      <c r="G22" s="7"/>
      <c r="H22" s="7"/>
      <c r="I22" s="7"/>
      <c r="J22" s="7"/>
      <c r="K22" s="7"/>
    </row>
    <row r="23" spans="1:11">
      <c r="A23" s="62"/>
      <c r="F23" s="7"/>
      <c r="G23" s="7"/>
      <c r="H23" s="7"/>
      <c r="I23" s="7"/>
      <c r="J23" s="7"/>
      <c r="K23" s="7"/>
    </row>
    <row r="24" spans="1:11">
      <c r="A24" s="62"/>
      <c r="F24" s="7"/>
      <c r="G24" s="7"/>
      <c r="H24" s="7"/>
      <c r="I24" s="7"/>
      <c r="J24" s="7"/>
      <c r="K24" s="7"/>
    </row>
    <row r="25" spans="1:11">
      <c r="A25" s="62"/>
      <c r="F25" s="7"/>
      <c r="G25" s="7"/>
      <c r="H25" s="7"/>
      <c r="I25" s="7"/>
      <c r="J25" s="7"/>
      <c r="K25" s="7"/>
    </row>
    <row r="26" spans="1:11">
      <c r="A26" s="62"/>
      <c r="F26" s="7"/>
      <c r="G26" s="7"/>
      <c r="H26" s="7"/>
      <c r="I26" s="7"/>
      <c r="J26" s="7"/>
      <c r="K26" s="7"/>
    </row>
    <row r="27" spans="1:11">
      <c r="A27" s="62"/>
      <c r="F27" s="7"/>
      <c r="G27" s="7"/>
      <c r="H27" s="7"/>
      <c r="I27" s="7"/>
      <c r="J27" s="7"/>
      <c r="K27" s="7"/>
    </row>
    <row r="28" spans="1:11">
      <c r="A28" s="62"/>
      <c r="F28" s="7"/>
      <c r="G28" s="7"/>
      <c r="H28" s="7"/>
      <c r="I28" s="7"/>
      <c r="J28" s="7"/>
      <c r="K28" s="7"/>
    </row>
    <row r="29" spans="1:11">
      <c r="A29" s="62"/>
      <c r="F29" s="7"/>
      <c r="G29" s="7"/>
      <c r="H29" s="7"/>
      <c r="I29" s="7"/>
      <c r="J29" s="7"/>
      <c r="K29" s="7"/>
    </row>
    <row r="30" spans="1:11">
      <c r="A30" s="62"/>
      <c r="F30" s="7"/>
      <c r="G30" s="7"/>
      <c r="H30" s="7"/>
      <c r="I30" s="7"/>
      <c r="J30" s="7"/>
      <c r="K30" s="7"/>
    </row>
    <row r="31" spans="1:11">
      <c r="A31" s="62"/>
      <c r="F31" s="7"/>
      <c r="G31" s="7"/>
      <c r="H31" s="7"/>
      <c r="I31" s="7"/>
      <c r="J31" s="7"/>
      <c r="K31" s="7"/>
    </row>
    <row r="32" spans="1:11">
      <c r="A32" s="62"/>
      <c r="F32" s="7"/>
      <c r="G32" s="7"/>
      <c r="H32" s="7"/>
      <c r="I32" s="7"/>
      <c r="J32" s="7"/>
      <c r="K32" s="7"/>
    </row>
    <row r="33" spans="1:11">
      <c r="A33" s="62"/>
      <c r="F33" s="7"/>
      <c r="G33" s="7"/>
      <c r="H33" s="7"/>
      <c r="I33" s="7"/>
      <c r="J33" s="7"/>
      <c r="K33" s="7"/>
    </row>
    <row r="34" spans="1:11">
      <c r="A34" s="62"/>
      <c r="F34" s="7"/>
      <c r="G34" s="7"/>
      <c r="H34" s="7"/>
      <c r="I34" s="7"/>
      <c r="J34" s="7"/>
      <c r="K34" s="7"/>
    </row>
    <row r="35" spans="1:11">
      <c r="A35" s="62"/>
      <c r="F35" s="7"/>
      <c r="G35" s="7"/>
      <c r="H35" s="7"/>
      <c r="I35" s="7"/>
      <c r="J35" s="7"/>
      <c r="K35" s="7"/>
    </row>
    <row r="36" spans="1:11">
      <c r="A36" s="62"/>
      <c r="F36" s="7"/>
      <c r="G36" s="7"/>
      <c r="H36" s="7"/>
      <c r="I36" s="7"/>
      <c r="J36" s="7"/>
      <c r="K36" s="7"/>
    </row>
    <row r="37" spans="1:11">
      <c r="A37" s="62"/>
      <c r="F37" s="7"/>
      <c r="G37" s="7"/>
      <c r="H37" s="7"/>
      <c r="I37" s="7"/>
      <c r="J37" s="7"/>
      <c r="K37" s="7"/>
    </row>
    <row r="38" spans="1:11">
      <c r="A38" s="62"/>
      <c r="F38" s="7"/>
      <c r="G38" s="7"/>
      <c r="H38" s="7"/>
      <c r="I38" s="7"/>
      <c r="J38" s="7"/>
      <c r="K38" s="7"/>
    </row>
    <row r="39" spans="1:11">
      <c r="A39" s="62"/>
      <c r="F39" s="7"/>
      <c r="G39" s="7"/>
      <c r="H39" s="7"/>
      <c r="I39" s="7"/>
      <c r="J39" s="7"/>
      <c r="K39" s="7"/>
    </row>
    <row r="40" spans="1:11">
      <c r="A40" s="62"/>
      <c r="F40" s="7"/>
      <c r="G40" s="7"/>
      <c r="H40" s="7"/>
      <c r="I40" s="7"/>
      <c r="J40" s="7"/>
      <c r="K40" s="7"/>
    </row>
    <row r="41" spans="1:11">
      <c r="A41" s="62"/>
      <c r="F41" s="7"/>
      <c r="G41" s="7"/>
      <c r="H41" s="7"/>
      <c r="I41" s="7"/>
      <c r="J41" s="7"/>
      <c r="K41" s="7"/>
    </row>
    <row r="42" spans="1:11">
      <c r="A42" s="62"/>
      <c r="F42" s="7"/>
      <c r="G42" s="7"/>
      <c r="H42" s="7"/>
      <c r="I42" s="7"/>
      <c r="J42" s="7"/>
      <c r="K42" s="7"/>
    </row>
    <row r="43" spans="1:11">
      <c r="A43" s="62"/>
      <c r="F43" s="7"/>
      <c r="G43" s="7"/>
      <c r="H43" s="7"/>
      <c r="I43" s="7"/>
      <c r="J43" s="7"/>
      <c r="K43" s="7"/>
    </row>
    <row r="44" spans="1:11">
      <c r="A44" s="62"/>
      <c r="F44" s="7"/>
      <c r="G44" s="7"/>
      <c r="H44" s="7"/>
      <c r="I44" s="7"/>
      <c r="J44" s="7"/>
      <c r="K44" s="7"/>
    </row>
    <row r="45" spans="1:11">
      <c r="A45" s="62"/>
      <c r="F45" s="7"/>
      <c r="G45" s="7"/>
      <c r="H45" s="7"/>
      <c r="I45" s="7"/>
      <c r="J45" s="7"/>
      <c r="K45" s="7"/>
    </row>
    <row r="46" spans="1:11">
      <c r="A46" s="62"/>
      <c r="F46" s="7"/>
      <c r="G46" s="7"/>
      <c r="H46" s="7"/>
      <c r="I46" s="7"/>
      <c r="J46" s="7"/>
      <c r="K46" s="7"/>
    </row>
    <row r="47" spans="1:11">
      <c r="A47" s="62"/>
      <c r="F47" s="7"/>
      <c r="G47" s="7"/>
      <c r="H47" s="7"/>
      <c r="I47" s="7"/>
      <c r="J47" s="7"/>
      <c r="K47" s="7"/>
    </row>
    <row r="48" spans="1:11">
      <c r="A48" s="62"/>
      <c r="F48" s="7"/>
      <c r="G48" s="7"/>
      <c r="H48" s="7"/>
      <c r="I48" s="7"/>
      <c r="J48" s="7"/>
      <c r="K48" s="7"/>
    </row>
    <row r="49" spans="1:11">
      <c r="A49" s="62"/>
      <c r="F49" s="7"/>
      <c r="G49" s="7"/>
      <c r="H49" s="7"/>
      <c r="I49" s="7"/>
      <c r="J49" s="7"/>
      <c r="K49" s="7"/>
    </row>
    <row r="50" spans="1:11">
      <c r="A50" s="62"/>
      <c r="F50" s="7"/>
      <c r="G50" s="7"/>
      <c r="H50" s="7"/>
      <c r="I50" s="7"/>
      <c r="J50" s="7"/>
      <c r="K50" s="7"/>
    </row>
    <row r="51" spans="1:11">
      <c r="A51" s="62"/>
      <c r="F51" s="7"/>
      <c r="G51" s="7"/>
      <c r="H51" s="7"/>
      <c r="I51" s="7"/>
      <c r="J51" s="7"/>
      <c r="K51" s="7"/>
    </row>
    <row r="52" spans="1:11">
      <c r="A52" s="62"/>
      <c r="F52" s="7"/>
      <c r="G52" s="7"/>
      <c r="H52" s="7"/>
      <c r="I52" s="7"/>
      <c r="J52" s="7"/>
      <c r="K52" s="7"/>
    </row>
    <row r="53" spans="1:11">
      <c r="A53" s="62"/>
      <c r="F53" s="7"/>
      <c r="G53" s="7"/>
      <c r="H53" s="7"/>
      <c r="I53" s="7"/>
      <c r="J53" s="7"/>
      <c r="K53" s="7"/>
    </row>
    <row r="54" spans="1:11">
      <c r="A54" s="62"/>
      <c r="F54" s="7"/>
      <c r="G54" s="7"/>
      <c r="H54" s="7"/>
      <c r="I54" s="7"/>
      <c r="J54" s="7"/>
      <c r="K54" s="7"/>
    </row>
    <row r="55" spans="1:11" ht="17.25" thickBot="1">
      <c r="A55" s="63"/>
      <c r="F55" s="7"/>
      <c r="G55" s="7"/>
      <c r="H55" s="7"/>
      <c r="I55" s="7"/>
      <c r="J55" s="7"/>
      <c r="K55" s="7"/>
    </row>
    <row r="56" spans="1:11" ht="17.25" thickTop="1">
      <c r="F56" s="7"/>
      <c r="G56" s="7"/>
      <c r="H56" s="7"/>
      <c r="I56" s="7"/>
      <c r="J56" s="7"/>
      <c r="K56" s="7"/>
    </row>
    <row r="57" spans="1:11">
      <c r="F57" s="7"/>
      <c r="G57" s="7"/>
      <c r="H57" s="7"/>
      <c r="I57" s="7"/>
      <c r="J57" s="7"/>
      <c r="K57" s="7"/>
    </row>
    <row r="58" spans="1:11">
      <c r="F58" s="7"/>
      <c r="G58" s="7"/>
      <c r="H58" s="7"/>
      <c r="I58" s="7"/>
      <c r="J58" s="7"/>
      <c r="K58" s="7"/>
    </row>
    <row r="59" spans="1:11">
      <c r="F59" s="7"/>
      <c r="G59" s="7"/>
      <c r="H59" s="7"/>
      <c r="I59" s="7"/>
      <c r="J59" s="7"/>
      <c r="K59" s="7"/>
    </row>
    <row r="60" spans="1:11">
      <c r="F60" s="7"/>
      <c r="G60" s="7"/>
      <c r="H60" s="7"/>
      <c r="I60" s="7"/>
      <c r="J60" s="7"/>
      <c r="K60" s="7"/>
    </row>
    <row r="61" spans="1:11">
      <c r="F61" s="7"/>
      <c r="G61" s="7"/>
      <c r="H61" s="7"/>
      <c r="I61" s="7"/>
      <c r="J61" s="7"/>
      <c r="K61" s="7"/>
    </row>
    <row r="62" spans="1:11">
      <c r="F62" s="7"/>
      <c r="G62" s="7"/>
      <c r="H62" s="7"/>
      <c r="I62" s="7"/>
      <c r="J62" s="7"/>
      <c r="K62" s="7"/>
    </row>
    <row r="63" spans="1:11">
      <c r="F63" s="7"/>
      <c r="G63" s="7"/>
      <c r="H63" s="7"/>
      <c r="I63" s="7"/>
      <c r="J63" s="7"/>
      <c r="K63" s="7"/>
    </row>
    <row r="64" spans="1:11">
      <c r="F64" s="7"/>
      <c r="G64" s="7"/>
      <c r="H64" s="7"/>
      <c r="I64" s="7"/>
      <c r="J64" s="7"/>
      <c r="K64" s="7"/>
    </row>
    <row r="65" spans="6:11">
      <c r="F65" s="7"/>
      <c r="G65" s="7"/>
      <c r="H65" s="7"/>
      <c r="I65" s="7"/>
      <c r="J65" s="7"/>
      <c r="K65" s="7"/>
    </row>
    <row r="66" spans="6:11">
      <c r="F66" s="7"/>
      <c r="G66" s="7"/>
      <c r="H66" s="7"/>
      <c r="I66" s="7"/>
      <c r="J66" s="7"/>
      <c r="K66" s="7"/>
    </row>
    <row r="67" spans="6:11">
      <c r="F67" s="7"/>
      <c r="G67" s="7"/>
      <c r="H67" s="7"/>
      <c r="I67" s="7"/>
      <c r="J67" s="7"/>
      <c r="K67" s="7"/>
    </row>
    <row r="68" spans="6:11">
      <c r="F68" s="7"/>
      <c r="G68" s="7"/>
      <c r="H68" s="7"/>
      <c r="I68" s="7"/>
      <c r="J68" s="7"/>
      <c r="K68" s="7"/>
    </row>
    <row r="69" spans="6:11">
      <c r="F69" s="7"/>
      <c r="G69" s="7"/>
      <c r="H69" s="7"/>
      <c r="I69" s="7"/>
      <c r="J69" s="7"/>
      <c r="K69" s="7"/>
    </row>
    <row r="70" spans="6:11">
      <c r="F70" s="7"/>
      <c r="G70" s="7"/>
      <c r="H70" s="7"/>
      <c r="I70" s="7"/>
      <c r="J70" s="7"/>
      <c r="K70" s="7"/>
    </row>
  </sheetData>
  <mergeCells count="7">
    <mergeCell ref="BQ3:CE3"/>
    <mergeCell ref="BG3:BO3"/>
    <mergeCell ref="B13:K13"/>
    <mergeCell ref="B3:K3"/>
    <mergeCell ref="L3:AB3"/>
    <mergeCell ref="AD3:AO3"/>
    <mergeCell ref="AQ3:BE3"/>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3793" r:id="rId4" name="Hide">
          <controlPr defaultSize="0" autoLine="0" r:id="rId5">
            <anchor moveWithCells="1">
              <from>
                <xdr:col>0</xdr:col>
                <xdr:colOff>0</xdr:colOff>
                <xdr:row>2</xdr:row>
                <xdr:rowOff>9525</xdr:rowOff>
              </from>
              <to>
                <xdr:col>2</xdr:col>
                <xdr:colOff>228600</xdr:colOff>
                <xdr:row>3</xdr:row>
                <xdr:rowOff>76200</xdr:rowOff>
              </to>
            </anchor>
          </controlPr>
        </control>
      </mc:Choice>
      <mc:Fallback>
        <control shapeId="33793" r:id="rId4" name="Hide"/>
      </mc:Fallback>
    </mc:AlternateContent>
    <mc:AlternateContent xmlns:mc="http://schemas.openxmlformats.org/markup-compatibility/2006">
      <mc:Choice Requires="x14">
        <control shapeId="33794" r:id="rId6" name="Specs">
          <controlPr defaultSize="0" autoLine="0" r:id="rId7">
            <anchor moveWithCells="1">
              <from>
                <xdr:col>0</xdr:col>
                <xdr:colOff>0</xdr:colOff>
                <xdr:row>3</xdr:row>
                <xdr:rowOff>133350</xdr:rowOff>
              </from>
              <to>
                <xdr:col>3</xdr:col>
                <xdr:colOff>47625</xdr:colOff>
                <xdr:row>3</xdr:row>
                <xdr:rowOff>447675</xdr:rowOff>
              </to>
            </anchor>
          </controlPr>
        </control>
      </mc:Choice>
      <mc:Fallback>
        <control shapeId="33794" r:id="rId6" name="Specs"/>
      </mc:Fallback>
    </mc:AlternateContent>
    <mc:AlternateContent xmlns:mc="http://schemas.openxmlformats.org/markup-compatibility/2006">
      <mc:Choice Requires="x14">
        <control shapeId="33795" r:id="rId8" name="Technical">
          <controlPr defaultSize="0" autoLine="0" r:id="rId9">
            <anchor moveWithCells="1">
              <from>
                <xdr:col>0</xdr:col>
                <xdr:colOff>0</xdr:colOff>
                <xdr:row>3</xdr:row>
                <xdr:rowOff>133350</xdr:rowOff>
              </from>
              <to>
                <xdr:col>3</xdr:col>
                <xdr:colOff>47625</xdr:colOff>
                <xdr:row>3</xdr:row>
                <xdr:rowOff>447675</xdr:rowOff>
              </to>
            </anchor>
          </controlPr>
        </control>
      </mc:Choice>
      <mc:Fallback>
        <control shapeId="33795" r:id="rId8" name="Technical"/>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D2_AHU_DSP"/>
  <dimension ref="A1:CP56"/>
  <sheetViews>
    <sheetView zoomScale="80" zoomScaleNormal="80" workbookViewId="0">
      <pane xSplit="1" topLeftCell="B1" activePane="topRight" state="frozen"/>
      <selection pane="topRight" activeCell="CN12" sqref="CN12"/>
    </sheetView>
  </sheetViews>
  <sheetFormatPr defaultColWidth="9.140625" defaultRowHeight="15"/>
  <cols>
    <col min="1" max="1" width="55.7109375" style="1" hidden="1" customWidth="1"/>
    <col min="2" max="2" width="4.42578125" style="1" bestFit="1" customWidth="1"/>
    <col min="3" max="3" width="15.5703125" style="1" customWidth="1"/>
    <col min="4" max="4" width="21.140625" style="1" customWidth="1"/>
    <col min="5" max="5" width="17.42578125" style="1" customWidth="1"/>
    <col min="6" max="6" width="8.140625" style="1" customWidth="1"/>
    <col min="7" max="7" width="8.7109375" style="1" customWidth="1"/>
    <col min="8" max="8" width="10.28515625" style="1" customWidth="1"/>
    <col min="9" max="9" width="8.42578125" style="1" customWidth="1"/>
    <col min="10" max="10" width="13.140625" style="1" customWidth="1"/>
    <col min="11" max="11" width="10.5703125" style="1" customWidth="1"/>
    <col min="12" max="12" width="9" style="1" customWidth="1"/>
    <col min="13" max="15" width="12.42578125" style="1" customWidth="1"/>
    <col min="16" max="18" width="23.7109375" style="1" customWidth="1"/>
    <col min="19" max="20" width="9.5703125" style="1" customWidth="1"/>
    <col min="21" max="22" width="14.140625" style="1" customWidth="1"/>
    <col min="23" max="23" width="9.140625" style="1" customWidth="1"/>
    <col min="24" max="24" width="5.85546875" style="1" bestFit="1" customWidth="1"/>
    <col min="25" max="25" width="7.28515625" style="1" bestFit="1" customWidth="1"/>
    <col min="26" max="26" width="8.42578125" style="1" customWidth="1"/>
    <col min="27" max="27" width="9.42578125" style="1" customWidth="1"/>
    <col min="28" max="28" width="7.28515625" style="1" bestFit="1" customWidth="1"/>
    <col min="29" max="29" width="9.140625" style="1" customWidth="1"/>
    <col min="30" max="30" width="8.85546875" style="1" customWidth="1"/>
    <col min="31" max="31" width="3.28515625" style="1" customWidth="1"/>
    <col min="32" max="32" width="8.42578125" style="1" customWidth="1"/>
    <col min="33" max="33" width="9.42578125" style="1" customWidth="1"/>
    <col min="34" max="34" width="10.5703125" style="1" customWidth="1"/>
    <col min="35" max="35" width="10.28515625" style="1" customWidth="1"/>
    <col min="36" max="36" width="11.42578125" style="1" bestFit="1" customWidth="1"/>
    <col min="37" max="37" width="11.42578125" style="1" customWidth="1"/>
    <col min="38" max="38" width="11" style="1" bestFit="1" customWidth="1"/>
    <col min="39" max="39" width="12.5703125" style="1" customWidth="1"/>
    <col min="40" max="41" width="12.140625" style="1" bestFit="1" customWidth="1"/>
    <col min="42" max="42" width="13.5703125" style="1" customWidth="1"/>
    <col min="43" max="43" width="9.140625" style="1"/>
    <col min="44" max="44" width="12.140625" style="1" bestFit="1" customWidth="1"/>
    <col min="45" max="46" width="9.140625" style="1"/>
    <col min="47" max="47" width="10" style="1" bestFit="1" customWidth="1"/>
    <col min="48" max="48" width="15.42578125" style="1" bestFit="1" customWidth="1"/>
    <col min="49" max="49" width="20.85546875" style="1" customWidth="1"/>
    <col min="50" max="57" width="9.140625" style="1"/>
    <col min="58" max="58" width="10.85546875" style="1" bestFit="1" customWidth="1"/>
    <col min="59" max="62" width="9.140625" style="1"/>
    <col min="63" max="63" width="11.42578125" style="1" bestFit="1" customWidth="1"/>
    <col min="64" max="64" width="17.7109375" style="1" bestFit="1" customWidth="1"/>
    <col min="65" max="78" width="9.140625" style="1"/>
    <col min="79" max="79" width="11.42578125" style="1" bestFit="1" customWidth="1"/>
    <col min="80" max="80" width="17.7109375" style="1" bestFit="1" customWidth="1"/>
    <col min="81" max="81" width="17.7109375" style="1" customWidth="1"/>
    <col min="82" max="88" width="9.140625" style="1"/>
    <col min="89" max="89" width="11.85546875" style="1" customWidth="1"/>
    <col min="90" max="90" width="14.140625" style="1" customWidth="1"/>
    <col min="91" max="91" width="12.7109375" style="1" bestFit="1" customWidth="1"/>
    <col min="92" max="92" width="13.42578125" style="1" bestFit="1" customWidth="1"/>
    <col min="93" max="16384" width="9.140625" style="1"/>
  </cols>
  <sheetData>
    <row r="1" spans="1:94" ht="15.75" hidden="1" customHeight="1" thickBot="1">
      <c r="A1" s="159" t="s">
        <v>394</v>
      </c>
      <c r="B1" s="160">
        <v>0</v>
      </c>
      <c r="C1" s="160">
        <v>1</v>
      </c>
      <c r="D1" s="160">
        <v>2</v>
      </c>
      <c r="E1" s="160">
        <v>0</v>
      </c>
      <c r="F1" s="160">
        <v>4</v>
      </c>
      <c r="G1" s="160">
        <v>0</v>
      </c>
      <c r="H1" s="160">
        <v>0</v>
      </c>
      <c r="I1" s="160">
        <v>0</v>
      </c>
      <c r="J1" s="160">
        <v>0</v>
      </c>
      <c r="K1" s="160">
        <v>5</v>
      </c>
      <c r="L1" s="160">
        <v>0</v>
      </c>
      <c r="M1" s="160">
        <v>0</v>
      </c>
      <c r="N1" s="160">
        <v>0</v>
      </c>
      <c r="O1" s="160">
        <v>0</v>
      </c>
      <c r="P1" s="160">
        <v>6</v>
      </c>
      <c r="Q1" s="160">
        <v>7</v>
      </c>
      <c r="R1" s="160">
        <v>0</v>
      </c>
      <c r="S1" s="160">
        <v>8</v>
      </c>
      <c r="T1" s="160">
        <v>0</v>
      </c>
      <c r="U1" s="160">
        <v>0</v>
      </c>
      <c r="V1" s="160">
        <v>0</v>
      </c>
      <c r="W1" s="160">
        <v>9</v>
      </c>
      <c r="X1" s="160">
        <v>10</v>
      </c>
      <c r="Y1" s="160">
        <v>11</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c r="BE1" s="160">
        <v>0</v>
      </c>
      <c r="BF1" s="160">
        <v>0</v>
      </c>
      <c r="BG1" s="160">
        <v>0</v>
      </c>
      <c r="BH1" s="160">
        <v>0</v>
      </c>
      <c r="BI1" s="160">
        <v>0</v>
      </c>
      <c r="BJ1" s="160">
        <v>0</v>
      </c>
      <c r="BK1" s="160">
        <v>0</v>
      </c>
      <c r="BL1" s="160">
        <v>0</v>
      </c>
      <c r="BM1" s="160">
        <v>0</v>
      </c>
      <c r="BN1" s="160">
        <v>0</v>
      </c>
      <c r="BO1" s="160">
        <v>0</v>
      </c>
      <c r="BP1" s="160">
        <v>0</v>
      </c>
      <c r="BQ1" s="160">
        <v>0</v>
      </c>
      <c r="BR1" s="160">
        <v>0</v>
      </c>
      <c r="BS1" s="160">
        <v>0</v>
      </c>
      <c r="BT1" s="160">
        <v>0</v>
      </c>
      <c r="BU1" s="160">
        <v>0</v>
      </c>
      <c r="BV1" s="160">
        <v>0</v>
      </c>
      <c r="BW1" s="160">
        <v>0</v>
      </c>
      <c r="BX1" s="160">
        <v>0</v>
      </c>
      <c r="BY1" s="160">
        <v>0</v>
      </c>
      <c r="BZ1" s="160">
        <v>0</v>
      </c>
      <c r="CA1" s="160">
        <v>0</v>
      </c>
      <c r="CB1" s="160">
        <v>0</v>
      </c>
      <c r="CC1" s="160">
        <v>0</v>
      </c>
      <c r="CD1" s="160">
        <v>0</v>
      </c>
      <c r="CE1" s="160">
        <v>0</v>
      </c>
      <c r="CF1" s="160">
        <v>0</v>
      </c>
      <c r="CG1" s="160">
        <v>0</v>
      </c>
      <c r="CH1" s="160">
        <v>0</v>
      </c>
      <c r="CI1" s="160">
        <v>0</v>
      </c>
      <c r="CJ1" s="160">
        <v>0</v>
      </c>
      <c r="CK1" s="160">
        <v>0</v>
      </c>
      <c r="CL1" s="160">
        <v>0</v>
      </c>
      <c r="CM1" s="160">
        <v>0</v>
      </c>
      <c r="CN1" s="160">
        <v>0</v>
      </c>
      <c r="CO1" s="160">
        <v>0</v>
      </c>
      <c r="CP1" s="160">
        <v>0</v>
      </c>
    </row>
    <row r="2" spans="1:94" ht="14.25" hidden="1" customHeight="1" thickBot="1">
      <c r="A2" s="62"/>
      <c r="B2" s="1">
        <v>0</v>
      </c>
      <c r="C2" s="1" t="s">
        <v>427</v>
      </c>
      <c r="D2" s="1" t="s">
        <v>428</v>
      </c>
      <c r="E2" s="1" t="s">
        <v>426</v>
      </c>
      <c r="F2" s="1" t="s">
        <v>2098</v>
      </c>
      <c r="G2" s="1" t="s">
        <v>2099</v>
      </c>
      <c r="H2" s="713" t="s">
        <v>2116</v>
      </c>
      <c r="I2" s="1" t="s">
        <v>2117</v>
      </c>
      <c r="J2" s="1" t="s">
        <v>2120</v>
      </c>
      <c r="K2" s="1" t="s">
        <v>2103</v>
      </c>
      <c r="L2" s="1" t="s">
        <v>2104</v>
      </c>
      <c r="M2" s="1">
        <v>0</v>
      </c>
      <c r="N2" s="1">
        <v>0</v>
      </c>
      <c r="O2" s="1">
        <v>0</v>
      </c>
      <c r="P2" s="1">
        <v>0</v>
      </c>
      <c r="Q2" s="1">
        <v>0</v>
      </c>
      <c r="R2" s="1" t="s">
        <v>1335</v>
      </c>
      <c r="S2" s="1" t="s">
        <v>578</v>
      </c>
      <c r="T2" s="1" t="s">
        <v>1331</v>
      </c>
      <c r="U2" s="1" t="s">
        <v>579</v>
      </c>
      <c r="V2" s="1" t="s">
        <v>1333</v>
      </c>
      <c r="W2" s="1">
        <v>0</v>
      </c>
      <c r="X2" s="713" t="s">
        <v>396</v>
      </c>
      <c r="Y2" s="1">
        <v>0</v>
      </c>
      <c r="Z2" s="1">
        <v>0</v>
      </c>
      <c r="AA2" s="1">
        <v>0</v>
      </c>
      <c r="AB2" s="1">
        <v>0</v>
      </c>
      <c r="AC2" s="1">
        <v>0</v>
      </c>
      <c r="AD2" s="1">
        <v>0</v>
      </c>
      <c r="AE2" s="1">
        <v>0</v>
      </c>
      <c r="AF2" s="1">
        <v>0</v>
      </c>
      <c r="AG2" s="1">
        <v>0</v>
      </c>
      <c r="AH2" s="1">
        <v>0</v>
      </c>
      <c r="AI2" s="1">
        <v>0</v>
      </c>
      <c r="AJ2" s="1">
        <v>0</v>
      </c>
      <c r="AK2" s="1">
        <v>0</v>
      </c>
      <c r="AL2" s="1">
        <v>0</v>
      </c>
      <c r="AM2" s="1">
        <v>0</v>
      </c>
      <c r="AN2" s="1">
        <v>0</v>
      </c>
      <c r="AO2" s="1">
        <v>0</v>
      </c>
      <c r="AP2" s="1" t="s">
        <v>2102</v>
      </c>
      <c r="AQ2" s="1" t="s">
        <v>2100</v>
      </c>
      <c r="AR2" s="1" t="s">
        <v>2101</v>
      </c>
      <c r="AS2" s="1">
        <v>0</v>
      </c>
      <c r="AT2" s="1">
        <v>0</v>
      </c>
      <c r="AU2" s="1">
        <v>0</v>
      </c>
      <c r="AV2" s="1">
        <v>0</v>
      </c>
      <c r="AW2" s="1">
        <v>0</v>
      </c>
      <c r="AX2" s="1">
        <v>0</v>
      </c>
      <c r="AY2" s="1">
        <v>0</v>
      </c>
      <c r="AZ2" s="1">
        <v>0</v>
      </c>
      <c r="BA2" s="1">
        <v>0</v>
      </c>
      <c r="BB2" s="1">
        <v>0</v>
      </c>
      <c r="BC2" s="1" t="s">
        <v>2119</v>
      </c>
      <c r="BD2" s="1">
        <v>0</v>
      </c>
      <c r="BE2" s="1">
        <v>0</v>
      </c>
      <c r="BF2" s="1">
        <v>0</v>
      </c>
      <c r="BG2" s="1" t="s">
        <v>570</v>
      </c>
      <c r="BH2" s="1" t="s">
        <v>571</v>
      </c>
      <c r="BI2" s="1">
        <v>0</v>
      </c>
      <c r="BJ2" s="1">
        <v>0</v>
      </c>
      <c r="BK2" s="1">
        <v>0</v>
      </c>
      <c r="BL2" s="1">
        <v>0</v>
      </c>
      <c r="BM2" s="1" t="s">
        <v>39</v>
      </c>
      <c r="BN2" s="1" t="s">
        <v>40</v>
      </c>
      <c r="BO2" s="1" t="s">
        <v>38</v>
      </c>
      <c r="BP2" s="1" t="s">
        <v>645</v>
      </c>
      <c r="BQ2" s="1" t="s">
        <v>2136</v>
      </c>
      <c r="BR2" s="1" t="s">
        <v>41</v>
      </c>
      <c r="BS2" s="1" t="s">
        <v>39</v>
      </c>
      <c r="BT2" s="1" t="s">
        <v>40</v>
      </c>
      <c r="BU2" s="1" t="s">
        <v>38</v>
      </c>
      <c r="BV2" s="1" t="s">
        <v>645</v>
      </c>
      <c r="BW2" s="1" t="s">
        <v>2136</v>
      </c>
      <c r="BX2" s="1" t="s">
        <v>41</v>
      </c>
      <c r="BY2" s="1">
        <v>0</v>
      </c>
      <c r="BZ2" s="1">
        <v>0</v>
      </c>
      <c r="CA2" s="1">
        <v>0</v>
      </c>
      <c r="CB2" s="1" t="s">
        <v>1347</v>
      </c>
      <c r="CC2" s="1" t="s">
        <v>1348</v>
      </c>
      <c r="CD2" s="1" t="s">
        <v>619</v>
      </c>
      <c r="CE2" s="1" t="s">
        <v>613</v>
      </c>
      <c r="CF2" s="1" t="s">
        <v>615</v>
      </c>
      <c r="CG2" s="1" t="s">
        <v>614</v>
      </c>
      <c r="CH2" s="1" t="s">
        <v>616</v>
      </c>
      <c r="CI2" s="1" t="s">
        <v>617</v>
      </c>
      <c r="CJ2" s="1" t="s">
        <v>618</v>
      </c>
      <c r="CK2" s="1" t="s">
        <v>2122</v>
      </c>
      <c r="CL2" s="1" t="s">
        <v>2123</v>
      </c>
      <c r="CM2" s="1" t="s">
        <v>2126</v>
      </c>
      <c r="CN2" s="1" t="s">
        <v>2128</v>
      </c>
      <c r="CO2" s="1" t="s">
        <v>1343</v>
      </c>
      <c r="CP2" s="1">
        <v>0</v>
      </c>
    </row>
    <row r="3" spans="1:94" s="7" customFormat="1" ht="19.5" customHeight="1" thickTop="1" thickBot="1">
      <c r="A3" s="60" t="s">
        <v>80</v>
      </c>
      <c r="B3" s="1791" t="s">
        <v>21</v>
      </c>
      <c r="C3" s="1776"/>
      <c r="D3" s="1776"/>
      <c r="E3" s="1776"/>
      <c r="F3" s="1776"/>
      <c r="G3" s="1776"/>
      <c r="H3" s="1776"/>
      <c r="I3" s="1776"/>
      <c r="J3" s="1776"/>
      <c r="K3" s="1776"/>
      <c r="L3" s="1799"/>
      <c r="M3" s="1620" t="s">
        <v>17</v>
      </c>
      <c r="N3" s="1621"/>
      <c r="O3" s="1621"/>
      <c r="P3" s="1621"/>
      <c r="Q3" s="1621"/>
      <c r="R3" s="1621"/>
      <c r="S3" s="1621"/>
      <c r="T3" s="1621"/>
      <c r="U3" s="1621"/>
      <c r="V3" s="1621"/>
      <c r="W3" s="1621"/>
      <c r="X3" s="1621"/>
      <c r="Y3" s="1621"/>
      <c r="Z3" s="1621"/>
      <c r="AA3" s="1621"/>
      <c r="AB3" s="1621"/>
      <c r="AC3" s="1621"/>
      <c r="AD3" s="1622"/>
      <c r="AE3" s="68"/>
      <c r="AF3" s="1777" t="s">
        <v>24</v>
      </c>
      <c r="AG3" s="1778"/>
      <c r="AH3" s="1778"/>
      <c r="AI3" s="1778"/>
      <c r="AJ3" s="1778"/>
      <c r="AK3" s="1778"/>
      <c r="AL3" s="1778"/>
      <c r="AM3" s="1778"/>
      <c r="AN3" s="1778"/>
      <c r="AO3" s="1778"/>
      <c r="AP3" s="1778"/>
      <c r="AQ3" s="1778"/>
      <c r="AR3" s="1779"/>
      <c r="AT3" s="1792" t="s">
        <v>43</v>
      </c>
      <c r="AU3" s="1793"/>
      <c r="AV3" s="1793"/>
      <c r="AW3" s="1793"/>
      <c r="AX3" s="1793"/>
      <c r="AY3" s="1793"/>
      <c r="AZ3" s="1793"/>
      <c r="BA3" s="1793"/>
      <c r="BB3" s="1793"/>
      <c r="BC3" s="1793"/>
      <c r="BD3" s="1793"/>
      <c r="BE3" s="1793"/>
      <c r="BF3" s="1793"/>
      <c r="BG3" s="1793"/>
      <c r="BH3" s="1794"/>
      <c r="BJ3" s="1780" t="s">
        <v>42</v>
      </c>
      <c r="BK3" s="1781"/>
      <c r="BL3" s="1781"/>
      <c r="BM3" s="1781"/>
      <c r="BN3" s="1781"/>
      <c r="BO3" s="1781"/>
      <c r="BP3" s="1781"/>
      <c r="BQ3" s="1781"/>
      <c r="BR3" s="1781"/>
      <c r="BS3" s="1781"/>
      <c r="BT3" s="1781"/>
      <c r="BU3" s="1781"/>
      <c r="BV3" s="1781"/>
      <c r="BW3" s="1781"/>
      <c r="BX3" s="1782"/>
    </row>
    <row r="4" spans="1:94" s="7" customFormat="1" ht="19.5" customHeight="1" thickTop="1" thickBot="1">
      <c r="A4" s="61"/>
      <c r="B4" s="1820"/>
      <c r="C4" s="1821"/>
      <c r="D4" s="1821"/>
      <c r="E4" s="1821"/>
      <c r="F4" s="1821"/>
      <c r="G4" s="1821"/>
      <c r="H4" s="1821"/>
      <c r="I4" s="1821"/>
      <c r="J4" s="1821"/>
      <c r="K4" s="1821"/>
      <c r="L4" s="1822"/>
      <c r="M4" s="1623"/>
      <c r="N4" s="1624"/>
      <c r="O4" s="1624"/>
      <c r="P4" s="1624"/>
      <c r="Q4" s="1624"/>
      <c r="R4" s="1624"/>
      <c r="S4" s="1624"/>
      <c r="T4" s="1624"/>
      <c r="U4" s="1624"/>
      <c r="V4" s="1624"/>
      <c r="W4" s="1624"/>
      <c r="X4" s="1624"/>
      <c r="Y4" s="1624"/>
      <c r="Z4" s="1624"/>
      <c r="AA4" s="1624"/>
      <c r="AB4" s="1624"/>
      <c r="AC4" s="1624"/>
      <c r="AD4" s="1625"/>
      <c r="AE4" s="69"/>
      <c r="AF4" s="1823"/>
      <c r="AG4" s="1824"/>
      <c r="AH4" s="1824"/>
      <c r="AI4" s="1824"/>
      <c r="AJ4" s="1824"/>
      <c r="AK4" s="1824"/>
      <c r="AL4" s="1824"/>
      <c r="AM4" s="1824"/>
      <c r="AN4" s="1824"/>
      <c r="AO4" s="1824"/>
      <c r="AP4" s="1824"/>
      <c r="AQ4" s="1824"/>
      <c r="AR4" s="1825"/>
      <c r="AT4" s="1826"/>
      <c r="AU4" s="1827"/>
      <c r="AV4" s="1827"/>
      <c r="AW4" s="1827"/>
      <c r="AX4" s="1827"/>
      <c r="AY4" s="1827"/>
      <c r="AZ4" s="1827"/>
      <c r="BA4" s="1827"/>
      <c r="BB4" s="1827"/>
      <c r="BC4" s="1827"/>
      <c r="BD4" s="1827"/>
      <c r="BE4" s="1827"/>
      <c r="BF4" s="1827"/>
      <c r="BG4" s="1827"/>
      <c r="BH4" s="1828"/>
      <c r="BJ4" s="45"/>
      <c r="BK4" s="44"/>
      <c r="BL4" s="44"/>
      <c r="BM4" s="1780" t="s">
        <v>656</v>
      </c>
      <c r="BN4" s="1781"/>
      <c r="BO4" s="1781"/>
      <c r="BP4" s="1781"/>
      <c r="BQ4" s="1781"/>
      <c r="BR4" s="1782"/>
      <c r="BS4" s="1780" t="s">
        <v>657</v>
      </c>
      <c r="BT4" s="1781"/>
      <c r="BU4" s="1781"/>
      <c r="BV4" s="1781"/>
      <c r="BW4" s="1781"/>
      <c r="BX4" s="1782"/>
      <c r="BZ4" s="1780" t="s">
        <v>612</v>
      </c>
      <c r="CA4" s="1781"/>
      <c r="CB4" s="1781"/>
      <c r="CC4" s="1781"/>
      <c r="CD4" s="1781"/>
      <c r="CE4" s="1781"/>
      <c r="CF4" s="1781"/>
      <c r="CG4" s="1781"/>
      <c r="CH4" s="1781"/>
      <c r="CI4" s="1781"/>
      <c r="CJ4" s="1781"/>
      <c r="CK4" s="1781"/>
      <c r="CL4" s="1781"/>
      <c r="CM4" s="1781"/>
      <c r="CN4" s="1781"/>
      <c r="CO4" s="1782"/>
    </row>
    <row r="5" spans="1:94" s="7" customFormat="1" ht="50.25" thickBot="1">
      <c r="A5" s="99"/>
      <c r="B5" s="90" t="s">
        <v>2</v>
      </c>
      <c r="C5" s="79" t="s">
        <v>3</v>
      </c>
      <c r="D5" s="79" t="s">
        <v>0</v>
      </c>
      <c r="E5" s="79" t="s">
        <v>81</v>
      </c>
      <c r="F5" s="79" t="s">
        <v>87</v>
      </c>
      <c r="G5" s="79" t="s">
        <v>582</v>
      </c>
      <c r="H5" s="92" t="s">
        <v>583</v>
      </c>
      <c r="I5" s="92" t="s">
        <v>584</v>
      </c>
      <c r="J5" s="92" t="s">
        <v>2121</v>
      </c>
      <c r="K5" s="92" t="s">
        <v>118</v>
      </c>
      <c r="L5" s="80" t="s">
        <v>14</v>
      </c>
      <c r="M5" s="83" t="s">
        <v>595</v>
      </c>
      <c r="N5" s="83" t="s">
        <v>596</v>
      </c>
      <c r="O5" s="83" t="s">
        <v>597</v>
      </c>
      <c r="P5" s="82" t="s">
        <v>606</v>
      </c>
      <c r="Q5" s="82" t="s">
        <v>6</v>
      </c>
      <c r="R5" s="82" t="s">
        <v>1336</v>
      </c>
      <c r="S5" s="83" t="s">
        <v>593</v>
      </c>
      <c r="T5" s="83" t="s">
        <v>1331</v>
      </c>
      <c r="U5" s="83" t="s">
        <v>594</v>
      </c>
      <c r="V5" s="82" t="s">
        <v>1344</v>
      </c>
      <c r="W5" s="82" t="s">
        <v>604</v>
      </c>
      <c r="X5" s="83" t="s">
        <v>605</v>
      </c>
      <c r="Y5" s="82" t="s">
        <v>601</v>
      </c>
      <c r="Z5" s="83" t="s">
        <v>19</v>
      </c>
      <c r="AA5" s="83" t="s">
        <v>590</v>
      </c>
      <c r="AB5" s="82" t="s">
        <v>602</v>
      </c>
      <c r="AC5" s="83" t="s">
        <v>591</v>
      </c>
      <c r="AD5" s="83" t="s">
        <v>603</v>
      </c>
      <c r="AE5" s="69"/>
      <c r="AF5" s="84" t="s">
        <v>1</v>
      </c>
      <c r="AG5" s="85" t="s">
        <v>79</v>
      </c>
      <c r="AH5" s="86" t="s">
        <v>13</v>
      </c>
      <c r="AI5" s="86" t="s">
        <v>4</v>
      </c>
      <c r="AJ5" s="86" t="s">
        <v>16</v>
      </c>
      <c r="AK5" s="86" t="s">
        <v>53</v>
      </c>
      <c r="AL5" s="86" t="s">
        <v>52</v>
      </c>
      <c r="AM5" s="87" t="s">
        <v>26</v>
      </c>
      <c r="AN5" s="88" t="s">
        <v>11</v>
      </c>
      <c r="AO5" s="88" t="s">
        <v>15</v>
      </c>
      <c r="AP5" s="88" t="s">
        <v>2490</v>
      </c>
      <c r="AQ5" s="88" t="s">
        <v>5</v>
      </c>
      <c r="AR5" s="89" t="s">
        <v>2491</v>
      </c>
      <c r="AT5" s="52" t="str">
        <f t="shared" ref="AT5:AW10" si="0">B5</f>
        <v>No.</v>
      </c>
      <c r="AU5" s="53" t="str">
        <f t="shared" si="0"/>
        <v>Ref.</v>
      </c>
      <c r="AV5" s="53" t="str">
        <f t="shared" si="0"/>
        <v>Model</v>
      </c>
      <c r="AW5" s="238" t="str">
        <f t="shared" si="0"/>
        <v>Supply Flow Rate
 CFM</v>
      </c>
      <c r="AX5" s="241" t="str">
        <f t="shared" ref="AX5:AX10" si="1">X5</f>
        <v>ESP
(inwg)</v>
      </c>
      <c r="AY5" s="54" t="s">
        <v>31</v>
      </c>
      <c r="AZ5" s="54" t="s">
        <v>29</v>
      </c>
      <c r="BA5" s="53" t="s">
        <v>30</v>
      </c>
      <c r="BB5" s="53" t="s">
        <v>32</v>
      </c>
      <c r="BC5" s="53" t="s">
        <v>33</v>
      </c>
      <c r="BD5" s="53" t="s">
        <v>34</v>
      </c>
      <c r="BE5" s="53" t="s">
        <v>8</v>
      </c>
      <c r="BF5" s="53" t="s">
        <v>36</v>
      </c>
      <c r="BG5" s="238" t="s">
        <v>655</v>
      </c>
      <c r="BH5" s="236" t="s">
        <v>572</v>
      </c>
      <c r="BI5" s="242"/>
      <c r="BJ5" s="48" t="str">
        <f t="shared" ref="BJ5:BL10" si="2">B5</f>
        <v>No.</v>
      </c>
      <c r="BK5" s="49" t="str">
        <f t="shared" si="2"/>
        <v>Ref.</v>
      </c>
      <c r="BL5" s="51" t="str">
        <f t="shared" si="2"/>
        <v>Model</v>
      </c>
      <c r="BM5" s="768" t="s">
        <v>39</v>
      </c>
      <c r="BN5" s="50" t="s">
        <v>40</v>
      </c>
      <c r="BO5" s="50" t="s">
        <v>38</v>
      </c>
      <c r="BP5" s="243" t="s">
        <v>645</v>
      </c>
      <c r="BQ5" s="243" t="s">
        <v>2136</v>
      </c>
      <c r="BR5" s="51" t="s">
        <v>41</v>
      </c>
      <c r="BS5" s="49" t="s">
        <v>39</v>
      </c>
      <c r="BT5" s="50" t="s">
        <v>40</v>
      </c>
      <c r="BU5" s="50" t="s">
        <v>38</v>
      </c>
      <c r="BV5" s="243" t="s">
        <v>645</v>
      </c>
      <c r="BW5" s="243" t="s">
        <v>2136</v>
      </c>
      <c r="BX5" s="51" t="s">
        <v>41</v>
      </c>
      <c r="BY5" s="242"/>
      <c r="BZ5" s="228" t="str">
        <f t="shared" ref="BZ5:CA10" si="3">BJ5</f>
        <v>No.</v>
      </c>
      <c r="CA5" s="234" t="str">
        <f t="shared" si="3"/>
        <v>Ref.</v>
      </c>
      <c r="CB5" s="234" t="s">
        <v>1345</v>
      </c>
      <c r="CC5" s="757" t="s">
        <v>1346</v>
      </c>
      <c r="CD5" s="909" t="s">
        <v>621</v>
      </c>
      <c r="CE5" s="239" t="s">
        <v>580</v>
      </c>
      <c r="CF5" s="239" t="s">
        <v>1329</v>
      </c>
      <c r="CG5" s="239" t="s">
        <v>581</v>
      </c>
      <c r="CH5" s="239" t="s">
        <v>1330</v>
      </c>
      <c r="CI5" s="239" t="s">
        <v>620</v>
      </c>
      <c r="CJ5" s="239" t="s">
        <v>5</v>
      </c>
      <c r="CK5" s="239" t="s">
        <v>2130</v>
      </c>
      <c r="CL5" s="239" t="s">
        <v>2129</v>
      </c>
      <c r="CM5" s="239" t="s">
        <v>2125</v>
      </c>
      <c r="CN5" s="239" t="s">
        <v>2127</v>
      </c>
      <c r="CO5" s="757" t="s">
        <v>1328</v>
      </c>
    </row>
    <row r="6" spans="1:94" s="7" customFormat="1" ht="16.5">
      <c r="A6" s="99"/>
      <c r="B6" s="24">
        <v>1</v>
      </c>
      <c r="C6" s="25" t="s">
        <v>2840</v>
      </c>
      <c r="D6" s="244" t="s">
        <v>2840</v>
      </c>
      <c r="E6" s="22">
        <f>P6*2.1191</f>
        <v>0</v>
      </c>
      <c r="F6" s="22"/>
      <c r="G6" s="93"/>
      <c r="H6" s="225"/>
      <c r="I6" s="225"/>
      <c r="J6" s="225"/>
      <c r="K6" s="93"/>
      <c r="L6" s="107"/>
      <c r="M6" s="26"/>
      <c r="N6" s="26">
        <f>M6*3412</f>
        <v>0</v>
      </c>
      <c r="O6" s="26"/>
      <c r="P6" s="8"/>
      <c r="Q6" s="8"/>
      <c r="R6" s="745"/>
      <c r="S6" s="8" t="s">
        <v>2840</v>
      </c>
      <c r="T6" s="8"/>
      <c r="U6" s="8" t="s">
        <v>2840</v>
      </c>
      <c r="V6" s="8"/>
      <c r="W6" s="8"/>
      <c r="X6" s="119">
        <f>W6/249</f>
        <v>0</v>
      </c>
      <c r="Y6" s="210"/>
      <c r="Z6" s="210"/>
      <c r="AA6" s="210"/>
      <c r="AB6" s="210">
        <f t="shared" ref="AB6:AD10" si="4">Y6*1.8+32</f>
        <v>32</v>
      </c>
      <c r="AC6" s="210">
        <f t="shared" si="4"/>
        <v>32</v>
      </c>
      <c r="AD6" s="210">
        <f t="shared" si="4"/>
        <v>32</v>
      </c>
      <c r="AE6" s="69"/>
      <c r="AF6" s="20"/>
      <c r="AG6" s="43">
        <f>AF6*0.68</f>
        <v>0</v>
      </c>
      <c r="AH6" s="9"/>
      <c r="AI6" s="9"/>
      <c r="AJ6" s="9"/>
      <c r="AK6" s="9"/>
      <c r="AL6" s="9"/>
      <c r="AM6" s="9">
        <f>SUM(AG6:AL6)</f>
        <v>0</v>
      </c>
      <c r="AN6" s="22">
        <f>AM6*3.75</f>
        <v>0</v>
      </c>
      <c r="AO6" s="22">
        <f>AN6*1.25</f>
        <v>0</v>
      </c>
      <c r="AP6" s="22">
        <f>CEILING(AO6,5)</f>
        <v>0</v>
      </c>
      <c r="AQ6" s="22">
        <v>1</v>
      </c>
      <c r="AR6" s="23">
        <f>AQ6*AP6</f>
        <v>0</v>
      </c>
      <c r="AT6" s="12">
        <f t="shared" si="0"/>
        <v>1</v>
      </c>
      <c r="AU6" s="8" t="str">
        <f t="shared" si="0"/>
        <v>XX</v>
      </c>
      <c r="AV6" s="8" t="str">
        <f t="shared" si="0"/>
        <v>XX</v>
      </c>
      <c r="AW6" s="8">
        <f t="shared" si="0"/>
        <v>0</v>
      </c>
      <c r="AX6" s="118">
        <f t="shared" si="1"/>
        <v>0</v>
      </c>
      <c r="AY6" s="118"/>
      <c r="AZ6" s="119"/>
      <c r="BA6" s="119"/>
      <c r="BB6" s="119"/>
      <c r="BC6" s="119"/>
      <c r="BD6" s="119"/>
      <c r="BE6" s="119">
        <f>SUM(AX6:BD6)</f>
        <v>0</v>
      </c>
      <c r="BF6" s="245"/>
      <c r="BG6" s="245"/>
      <c r="BH6" s="13"/>
      <c r="BJ6" s="12">
        <f t="shared" si="2"/>
        <v>1</v>
      </c>
      <c r="BK6" s="8" t="str">
        <f t="shared" si="2"/>
        <v>XX</v>
      </c>
      <c r="BL6" s="13" t="str">
        <f t="shared" si="2"/>
        <v>XX</v>
      </c>
      <c r="BM6" s="769"/>
      <c r="BN6" s="223"/>
      <c r="BO6" s="223"/>
      <c r="BP6" s="226"/>
      <c r="BQ6" s="226"/>
      <c r="BR6" s="213"/>
      <c r="BS6" s="210"/>
      <c r="BT6" s="223"/>
      <c r="BU6" s="223"/>
      <c r="BV6" s="226"/>
      <c r="BW6" s="226"/>
      <c r="BX6" s="213"/>
      <c r="BZ6" s="229">
        <f t="shared" si="3"/>
        <v>1</v>
      </c>
      <c r="CA6" s="230" t="str">
        <f t="shared" si="3"/>
        <v>XX</v>
      </c>
      <c r="CB6" s="230" t="str">
        <f>TRIM(IFERROR(IF(LEFT(D6,3)="PAH",LEFT(D6,FIND("+",D6)-1),RIGHT(D6,LEN(D6)-FIND("+",D6))),0))</f>
        <v>0</v>
      </c>
      <c r="CC6" s="233" t="str">
        <f>TRIM(IFERROR(IF(LEFT(D6,3)="DSP",LEFT(D6,FIND("+",D6)-1),RIGHT(D6,LEN(D6)-FIND("+",D6))),0))</f>
        <v>0</v>
      </c>
      <c r="CD6" s="910"/>
      <c r="CE6" s="231"/>
      <c r="CF6" s="232"/>
      <c r="CG6" s="232"/>
      <c r="CH6" s="231"/>
      <c r="CI6" s="230"/>
      <c r="CJ6" s="230"/>
      <c r="CK6" s="756"/>
      <c r="CL6" s="756"/>
      <c r="CM6" s="756"/>
      <c r="CN6" s="756"/>
      <c r="CO6" s="233"/>
    </row>
    <row r="7" spans="1:94" s="7" customFormat="1" ht="16.5">
      <c r="A7" s="99"/>
      <c r="B7" s="12">
        <v>2</v>
      </c>
      <c r="C7" s="25"/>
      <c r="D7" s="244"/>
      <c r="E7" s="22">
        <f>P7*2.1191</f>
        <v>0</v>
      </c>
      <c r="F7" s="9"/>
      <c r="G7" s="170"/>
      <c r="H7" s="226"/>
      <c r="I7" s="226"/>
      <c r="J7" s="226"/>
      <c r="K7" s="170"/>
      <c r="L7" s="108"/>
      <c r="M7" s="26"/>
      <c r="N7" s="26">
        <f>M7*3412</f>
        <v>0</v>
      </c>
      <c r="O7" s="26"/>
      <c r="P7" s="8"/>
      <c r="Q7" s="8"/>
      <c r="R7" s="745"/>
      <c r="S7" s="8"/>
      <c r="T7" s="8"/>
      <c r="U7" s="8"/>
      <c r="V7" s="8"/>
      <c r="W7" s="8"/>
      <c r="X7" s="119">
        <f>W7/249</f>
        <v>0</v>
      </c>
      <c r="Y7" s="210"/>
      <c r="Z7" s="210"/>
      <c r="AA7" s="210"/>
      <c r="AB7" s="210">
        <f t="shared" si="4"/>
        <v>32</v>
      </c>
      <c r="AC7" s="210">
        <f t="shared" si="4"/>
        <v>32</v>
      </c>
      <c r="AD7" s="210">
        <f t="shared" si="4"/>
        <v>32</v>
      </c>
      <c r="AE7" s="69"/>
      <c r="AF7" s="20"/>
      <c r="AG7" s="43">
        <f>AF7*0.68</f>
        <v>0</v>
      </c>
      <c r="AH7" s="9"/>
      <c r="AI7" s="9"/>
      <c r="AJ7" s="9"/>
      <c r="AK7" s="9"/>
      <c r="AL7" s="9"/>
      <c r="AM7" s="9">
        <f>SUM(AG7:AL7)</f>
        <v>0</v>
      </c>
      <c r="AN7" s="9">
        <f>AM7*3.75</f>
        <v>0</v>
      </c>
      <c r="AO7" s="9">
        <f>AN7*1.25</f>
        <v>0</v>
      </c>
      <c r="AP7" s="9">
        <f>CEILING(AO7,5)</f>
        <v>0</v>
      </c>
      <c r="AQ7" s="9"/>
      <c r="AR7" s="10">
        <f>AQ7*AP7</f>
        <v>0</v>
      </c>
      <c r="AT7" s="12">
        <f t="shared" si="0"/>
        <v>2</v>
      </c>
      <c r="AU7" s="8">
        <f t="shared" si="0"/>
        <v>0</v>
      </c>
      <c r="AV7" s="8">
        <f t="shared" si="0"/>
        <v>0</v>
      </c>
      <c r="AW7" s="8">
        <f t="shared" si="0"/>
        <v>0</v>
      </c>
      <c r="AX7" s="118">
        <f t="shared" si="1"/>
        <v>0</v>
      </c>
      <c r="AY7" s="118"/>
      <c r="AZ7" s="119"/>
      <c r="BA7" s="119"/>
      <c r="BB7" s="119"/>
      <c r="BC7" s="119"/>
      <c r="BD7" s="119"/>
      <c r="BE7" s="119">
        <f>SUM(AX7:BD7)</f>
        <v>0</v>
      </c>
      <c r="BF7" s="245"/>
      <c r="BG7" s="245"/>
      <c r="BH7" s="13"/>
      <c r="BJ7" s="12">
        <f t="shared" si="2"/>
        <v>2</v>
      </c>
      <c r="BK7" s="8">
        <f t="shared" si="2"/>
        <v>0</v>
      </c>
      <c r="BL7" s="13">
        <f t="shared" si="2"/>
        <v>0</v>
      </c>
      <c r="BM7" s="769"/>
      <c r="BN7" s="223"/>
      <c r="BO7" s="223"/>
      <c r="BP7" s="226"/>
      <c r="BQ7" s="226"/>
      <c r="BR7" s="213"/>
      <c r="BS7" s="210"/>
      <c r="BT7" s="223"/>
      <c r="BU7" s="223"/>
      <c r="BV7" s="226"/>
      <c r="BW7" s="226"/>
      <c r="BX7" s="213"/>
      <c r="BZ7" s="12">
        <f t="shared" si="3"/>
        <v>2</v>
      </c>
      <c r="CA7" s="8">
        <f t="shared" si="3"/>
        <v>0</v>
      </c>
      <c r="CB7" s="8" t="str">
        <f t="shared" ref="CB7:CB10" si="5">TRIM(IFERROR(IF(LEFT(D7,3)="PAH",LEFT(D7,FIND("+",D7)-1),RIGHT(D7,LEN(D7)-FIND("+",D7))),0))</f>
        <v>0</v>
      </c>
      <c r="CC7" s="13" t="str">
        <f t="shared" ref="CC7:CC10" si="6">TRIM(IFERROR(IF(LEFT(D7,3)="DSP",LEFT(D7,FIND("+",D7)-1),RIGHT(D7,LEN(D7)-FIND("+",D7))),0))</f>
        <v>0</v>
      </c>
      <c r="CD7" s="911"/>
      <c r="CE7" s="210"/>
      <c r="CF7" s="223"/>
      <c r="CG7" s="223"/>
      <c r="CH7" s="210"/>
      <c r="CI7" s="201"/>
      <c r="CJ7" s="8"/>
      <c r="CK7" s="201"/>
      <c r="CL7" s="201"/>
      <c r="CM7" s="201"/>
      <c r="CN7" s="201"/>
      <c r="CO7" s="13"/>
    </row>
    <row r="8" spans="1:94" s="7" customFormat="1" ht="16.5">
      <c r="A8" s="99"/>
      <c r="B8" s="12">
        <v>3</v>
      </c>
      <c r="C8" s="25"/>
      <c r="D8" s="244"/>
      <c r="E8" s="22">
        <f>P8*2.1191</f>
        <v>0</v>
      </c>
      <c r="F8" s="9"/>
      <c r="G8" s="170"/>
      <c r="H8" s="226"/>
      <c r="I8" s="226"/>
      <c r="J8" s="226"/>
      <c r="K8" s="170"/>
      <c r="L8" s="108"/>
      <c r="M8" s="26"/>
      <c r="N8" s="26">
        <f>M8*3412</f>
        <v>0</v>
      </c>
      <c r="O8" s="26"/>
      <c r="P8" s="8"/>
      <c r="Q8" s="8"/>
      <c r="R8" s="8"/>
      <c r="S8" s="8"/>
      <c r="T8" s="8"/>
      <c r="U8" s="8"/>
      <c r="V8" s="8"/>
      <c r="W8" s="8"/>
      <c r="X8" s="119">
        <f>W8/249</f>
        <v>0</v>
      </c>
      <c r="Y8" s="210"/>
      <c r="Z8" s="210"/>
      <c r="AA8" s="210"/>
      <c r="AB8" s="210">
        <f t="shared" si="4"/>
        <v>32</v>
      </c>
      <c r="AC8" s="210">
        <f t="shared" si="4"/>
        <v>32</v>
      </c>
      <c r="AD8" s="210">
        <f t="shared" si="4"/>
        <v>32</v>
      </c>
      <c r="AE8" s="69"/>
      <c r="AF8" s="20"/>
      <c r="AG8" s="43">
        <f>AF8*0.68</f>
        <v>0</v>
      </c>
      <c r="AH8" s="9"/>
      <c r="AI8" s="9"/>
      <c r="AJ8" s="9"/>
      <c r="AK8" s="9"/>
      <c r="AL8" s="9"/>
      <c r="AM8" s="9">
        <f>SUM(AG8:AL8)</f>
        <v>0</v>
      </c>
      <c r="AN8" s="9">
        <f>AM8*3.75</f>
        <v>0</v>
      </c>
      <c r="AO8" s="9">
        <f>AN8*1.25</f>
        <v>0</v>
      </c>
      <c r="AP8" s="9">
        <f>CEILING(AO8,5)</f>
        <v>0</v>
      </c>
      <c r="AQ8" s="9"/>
      <c r="AR8" s="10">
        <f>AQ8*AP8</f>
        <v>0</v>
      </c>
      <c r="AT8" s="12">
        <f t="shared" si="0"/>
        <v>3</v>
      </c>
      <c r="AU8" s="8">
        <f t="shared" si="0"/>
        <v>0</v>
      </c>
      <c r="AV8" s="8">
        <f t="shared" si="0"/>
        <v>0</v>
      </c>
      <c r="AW8" s="8">
        <f t="shared" si="0"/>
        <v>0</v>
      </c>
      <c r="AX8" s="118">
        <f t="shared" si="1"/>
        <v>0</v>
      </c>
      <c r="AY8" s="118"/>
      <c r="AZ8" s="119"/>
      <c r="BA8" s="119"/>
      <c r="BB8" s="119"/>
      <c r="BC8" s="119"/>
      <c r="BD8" s="119"/>
      <c r="BE8" s="119">
        <f>SUM(AX8:BD8)</f>
        <v>0</v>
      </c>
      <c r="BF8" s="245"/>
      <c r="BG8" s="245"/>
      <c r="BH8" s="13"/>
      <c r="BJ8" s="12">
        <f t="shared" si="2"/>
        <v>3</v>
      </c>
      <c r="BK8" s="8">
        <f t="shared" si="2"/>
        <v>0</v>
      </c>
      <c r="BL8" s="13">
        <f t="shared" si="2"/>
        <v>0</v>
      </c>
      <c r="BM8" s="769"/>
      <c r="BN8" s="223"/>
      <c r="BO8" s="223"/>
      <c r="BP8" s="226"/>
      <c r="BQ8" s="226"/>
      <c r="BR8" s="213"/>
      <c r="BS8" s="210"/>
      <c r="BT8" s="223"/>
      <c r="BU8" s="223"/>
      <c r="BV8" s="226"/>
      <c r="BW8" s="226"/>
      <c r="BX8" s="213"/>
      <c r="BZ8" s="12">
        <f t="shared" si="3"/>
        <v>3</v>
      </c>
      <c r="CA8" s="8">
        <f t="shared" si="3"/>
        <v>0</v>
      </c>
      <c r="CB8" s="8" t="str">
        <f t="shared" si="5"/>
        <v>0</v>
      </c>
      <c r="CC8" s="13" t="str">
        <f t="shared" si="6"/>
        <v>0</v>
      </c>
      <c r="CD8" s="911"/>
      <c r="CE8" s="210"/>
      <c r="CF8" s="223"/>
      <c r="CG8" s="223"/>
      <c r="CH8" s="210"/>
      <c r="CI8" s="8"/>
      <c r="CJ8" s="8"/>
      <c r="CK8" s="201"/>
      <c r="CL8" s="201"/>
      <c r="CM8" s="201"/>
      <c r="CN8" s="201"/>
      <c r="CO8" s="13"/>
    </row>
    <row r="9" spans="1:94" s="7" customFormat="1" ht="16.5">
      <c r="A9" s="99"/>
      <c r="B9" s="24">
        <v>4</v>
      </c>
      <c r="C9" s="25"/>
      <c r="D9" s="244"/>
      <c r="E9" s="22">
        <f>P9*2.1191</f>
        <v>0</v>
      </c>
      <c r="F9" s="9"/>
      <c r="G9" s="170"/>
      <c r="H9" s="226"/>
      <c r="I9" s="226"/>
      <c r="J9" s="226"/>
      <c r="K9" s="170"/>
      <c r="L9" s="108"/>
      <c r="M9" s="26"/>
      <c r="N9" s="26">
        <f>M9*3412</f>
        <v>0</v>
      </c>
      <c r="O9" s="26"/>
      <c r="P9" s="8"/>
      <c r="Q9" s="8"/>
      <c r="R9" s="8"/>
      <c r="S9" s="8"/>
      <c r="T9" s="8"/>
      <c r="U9" s="8"/>
      <c r="V9" s="8"/>
      <c r="W9" s="8"/>
      <c r="X9" s="119">
        <f>W9/249</f>
        <v>0</v>
      </c>
      <c r="Y9" s="210"/>
      <c r="Z9" s="210"/>
      <c r="AA9" s="210"/>
      <c r="AB9" s="210">
        <f>Y9*1.8+32</f>
        <v>32</v>
      </c>
      <c r="AC9" s="210">
        <f>Z9*1.8+32</f>
        <v>32</v>
      </c>
      <c r="AD9" s="210">
        <f>AA9*1.8+32</f>
        <v>32</v>
      </c>
      <c r="AE9" s="69"/>
      <c r="AF9" s="20"/>
      <c r="AG9" s="43">
        <f>AF9*0.68</f>
        <v>0</v>
      </c>
      <c r="AH9" s="9"/>
      <c r="AI9" s="9"/>
      <c r="AJ9" s="9"/>
      <c r="AK9" s="9"/>
      <c r="AL9" s="9"/>
      <c r="AM9" s="9">
        <f>SUM(AG9:AL9)</f>
        <v>0</v>
      </c>
      <c r="AN9" s="9">
        <f>AM9*3.75</f>
        <v>0</v>
      </c>
      <c r="AO9" s="9">
        <f>AN9*1.25</f>
        <v>0</v>
      </c>
      <c r="AP9" s="9">
        <f>CEILING(AO9,5)</f>
        <v>0</v>
      </c>
      <c r="AQ9" s="9"/>
      <c r="AR9" s="10">
        <f>AQ9*AP9</f>
        <v>0</v>
      </c>
      <c r="AT9" s="12">
        <f t="shared" si="0"/>
        <v>4</v>
      </c>
      <c r="AU9" s="8">
        <f t="shared" si="0"/>
        <v>0</v>
      </c>
      <c r="AV9" s="8">
        <f t="shared" si="0"/>
        <v>0</v>
      </c>
      <c r="AW9" s="8">
        <f t="shared" si="0"/>
        <v>0</v>
      </c>
      <c r="AX9" s="118">
        <f>X9</f>
        <v>0</v>
      </c>
      <c r="AY9" s="118"/>
      <c r="AZ9" s="119"/>
      <c r="BA9" s="119"/>
      <c r="BB9" s="119"/>
      <c r="BC9" s="119"/>
      <c r="BD9" s="119"/>
      <c r="BE9" s="119">
        <f>SUM(AX9:BD9)</f>
        <v>0</v>
      </c>
      <c r="BF9" s="245"/>
      <c r="BG9" s="245"/>
      <c r="BH9" s="13"/>
      <c r="BJ9" s="12">
        <f t="shared" si="2"/>
        <v>4</v>
      </c>
      <c r="BK9" s="8">
        <f t="shared" si="2"/>
        <v>0</v>
      </c>
      <c r="BL9" s="13">
        <f t="shared" si="2"/>
        <v>0</v>
      </c>
      <c r="BM9" s="769"/>
      <c r="BN9" s="223"/>
      <c r="BO9" s="223"/>
      <c r="BP9" s="226"/>
      <c r="BQ9" s="226"/>
      <c r="BR9" s="213"/>
      <c r="BS9" s="210"/>
      <c r="BT9" s="223"/>
      <c r="BU9" s="223"/>
      <c r="BV9" s="226"/>
      <c r="BW9" s="226"/>
      <c r="BX9" s="213"/>
      <c r="BZ9" s="12">
        <f>BJ9</f>
        <v>4</v>
      </c>
      <c r="CA9" s="8">
        <f>BK9</f>
        <v>0</v>
      </c>
      <c r="CB9" s="8" t="str">
        <f t="shared" si="5"/>
        <v>0</v>
      </c>
      <c r="CC9" s="13" t="str">
        <f t="shared" si="6"/>
        <v>0</v>
      </c>
      <c r="CD9" s="911"/>
      <c r="CE9" s="210"/>
      <c r="CF9" s="223"/>
      <c r="CG9" s="223"/>
      <c r="CH9" s="210"/>
      <c r="CI9" s="8"/>
      <c r="CJ9" s="8"/>
      <c r="CK9" s="201"/>
      <c r="CL9" s="201"/>
      <c r="CM9" s="201"/>
      <c r="CN9" s="201"/>
      <c r="CO9" s="13"/>
    </row>
    <row r="10" spans="1:94" s="7" customFormat="1" ht="15.75" customHeight="1" thickBot="1">
      <c r="A10" s="99"/>
      <c r="B10" s="14">
        <v>5</v>
      </c>
      <c r="C10" s="17"/>
      <c r="D10" s="18"/>
      <c r="E10" s="18">
        <f>P10*2.1191</f>
        <v>0</v>
      </c>
      <c r="F10" s="18"/>
      <c r="G10" s="171"/>
      <c r="H10" s="227"/>
      <c r="I10" s="227"/>
      <c r="J10" s="227"/>
      <c r="K10" s="171"/>
      <c r="L10" s="109"/>
      <c r="M10" s="27"/>
      <c r="N10" s="15">
        <f>M10*3412</f>
        <v>0</v>
      </c>
      <c r="O10" s="15"/>
      <c r="P10" s="15"/>
      <c r="Q10" s="15"/>
      <c r="R10" s="15"/>
      <c r="S10" s="15"/>
      <c r="T10" s="15"/>
      <c r="U10" s="15"/>
      <c r="V10" s="15"/>
      <c r="W10" s="15"/>
      <c r="X10" s="121">
        <f>W10/249</f>
        <v>0</v>
      </c>
      <c r="Y10" s="211"/>
      <c r="Z10" s="211"/>
      <c r="AA10" s="211"/>
      <c r="AB10" s="211">
        <f t="shared" si="4"/>
        <v>32</v>
      </c>
      <c r="AC10" s="211">
        <f t="shared" si="4"/>
        <v>32</v>
      </c>
      <c r="AD10" s="211">
        <f t="shared" si="4"/>
        <v>32</v>
      </c>
      <c r="AE10" s="70"/>
      <c r="AF10" s="21"/>
      <c r="AG10" s="18">
        <f>AF10*0.68</f>
        <v>0</v>
      </c>
      <c r="AH10" s="18"/>
      <c r="AI10" s="18"/>
      <c r="AJ10" s="18"/>
      <c r="AK10" s="18"/>
      <c r="AL10" s="18"/>
      <c r="AM10" s="18">
        <f>SUM(AG10:AL10)</f>
        <v>0</v>
      </c>
      <c r="AN10" s="18">
        <f>AM10*3.75</f>
        <v>0</v>
      </c>
      <c r="AO10" s="18">
        <f>AN10*1.25</f>
        <v>0</v>
      </c>
      <c r="AP10" s="18">
        <f>CEILING(AO10,5)</f>
        <v>0</v>
      </c>
      <c r="AQ10" s="18"/>
      <c r="AR10" s="19">
        <f>AQ10*AP10</f>
        <v>0</v>
      </c>
      <c r="AT10" s="14">
        <f t="shared" si="0"/>
        <v>5</v>
      </c>
      <c r="AU10" s="15">
        <f t="shared" si="0"/>
        <v>0</v>
      </c>
      <c r="AV10" s="15">
        <f t="shared" si="0"/>
        <v>0</v>
      </c>
      <c r="AW10" s="15">
        <f t="shared" si="0"/>
        <v>0</v>
      </c>
      <c r="AX10" s="120">
        <f t="shared" si="1"/>
        <v>0</v>
      </c>
      <c r="AY10" s="120"/>
      <c r="AZ10" s="121"/>
      <c r="BA10" s="121"/>
      <c r="BB10" s="121"/>
      <c r="BC10" s="121"/>
      <c r="BD10" s="121"/>
      <c r="BE10" s="121">
        <f>SUM(AX10:BD10)</f>
        <v>0</v>
      </c>
      <c r="BF10" s="15"/>
      <c r="BG10" s="202"/>
      <c r="BH10" s="16"/>
      <c r="BJ10" s="14">
        <f t="shared" si="2"/>
        <v>5</v>
      </c>
      <c r="BK10" s="15">
        <f t="shared" si="2"/>
        <v>0</v>
      </c>
      <c r="BL10" s="16">
        <f t="shared" si="2"/>
        <v>0</v>
      </c>
      <c r="BM10" s="770"/>
      <c r="BN10" s="224"/>
      <c r="BO10" s="224"/>
      <c r="BP10" s="227"/>
      <c r="BQ10" s="227"/>
      <c r="BR10" s="214"/>
      <c r="BS10" s="211"/>
      <c r="BT10" s="224"/>
      <c r="BU10" s="224"/>
      <c r="BV10" s="227"/>
      <c r="BW10" s="227"/>
      <c r="BX10" s="214"/>
      <c r="BZ10" s="14">
        <f t="shared" si="3"/>
        <v>5</v>
      </c>
      <c r="CA10" s="15">
        <f t="shared" si="3"/>
        <v>0</v>
      </c>
      <c r="CB10" s="15" t="str">
        <f t="shared" si="5"/>
        <v>0</v>
      </c>
      <c r="CC10" s="16" t="str">
        <f t="shared" si="6"/>
        <v>0</v>
      </c>
      <c r="CD10" s="912"/>
      <c r="CE10" s="211"/>
      <c r="CF10" s="224"/>
      <c r="CG10" s="224"/>
      <c r="CH10" s="211"/>
      <c r="CI10" s="15"/>
      <c r="CJ10" s="15"/>
      <c r="CK10" s="202"/>
      <c r="CL10" s="202"/>
      <c r="CM10" s="202"/>
      <c r="CN10" s="202"/>
      <c r="CO10" s="16"/>
    </row>
    <row r="11" spans="1:94" s="7" customFormat="1" ht="17.25" thickBot="1">
      <c r="A11" s="62"/>
      <c r="F11" s="11"/>
      <c r="G11" s="11"/>
      <c r="H11" s="11"/>
      <c r="I11" s="11"/>
      <c r="J11" s="11"/>
      <c r="K11" s="11"/>
      <c r="L11" s="11"/>
      <c r="AM11" s="11"/>
      <c r="AN11" s="11"/>
      <c r="AO11" s="11"/>
      <c r="AP11" s="11"/>
      <c r="AQ11" s="172">
        <f>SUM(AQ6:AQ10)</f>
        <v>1</v>
      </c>
      <c r="AR11" s="173">
        <f>SUM(AR6:AR10)</f>
        <v>0</v>
      </c>
    </row>
    <row r="12" spans="1:94" ht="15.75" customHeight="1">
      <c r="A12" s="62"/>
      <c r="D12" s="4"/>
      <c r="E12" s="4"/>
      <c r="F12" s="4"/>
      <c r="G12" s="4"/>
      <c r="H12" s="4"/>
      <c r="I12" s="4"/>
      <c r="J12" s="4"/>
      <c r="K12" s="4"/>
      <c r="L12" s="4"/>
    </row>
    <row r="13" spans="1:94" ht="15.75" customHeight="1">
      <c r="A13" s="62"/>
      <c r="D13" s="4"/>
      <c r="E13" s="4"/>
      <c r="F13" s="4"/>
      <c r="G13" s="4"/>
      <c r="H13" s="4"/>
      <c r="I13" s="4"/>
      <c r="J13" s="4"/>
      <c r="K13" s="4"/>
      <c r="L13" s="4"/>
    </row>
    <row r="14" spans="1:94" ht="15.75">
      <c r="A14" s="62"/>
    </row>
    <row r="15" spans="1:94" ht="15.75">
      <c r="A15" s="62"/>
    </row>
    <row r="16" spans="1:94" ht="16.5" thickBot="1">
      <c r="A16" s="62"/>
    </row>
    <row r="17" spans="1:26" ht="21" thickBot="1">
      <c r="A17" s="62"/>
      <c r="C17" s="1790" t="s">
        <v>51</v>
      </c>
      <c r="D17" s="1784"/>
      <c r="E17" s="1784"/>
      <c r="F17" s="1784"/>
      <c r="G17" s="1784"/>
      <c r="H17" s="1784"/>
      <c r="I17" s="1784"/>
      <c r="J17" s="1784"/>
      <c r="K17" s="1784"/>
      <c r="L17" s="1784"/>
      <c r="M17" s="1785"/>
      <c r="Q17" s="1790" t="s">
        <v>60</v>
      </c>
      <c r="R17" s="1784"/>
      <c r="S17" s="1784"/>
      <c r="T17" s="1784"/>
      <c r="U17" s="1784"/>
      <c r="V17" s="1784"/>
      <c r="W17" s="1784"/>
      <c r="X17" s="1784"/>
      <c r="Y17" s="1784"/>
      <c r="Z17" s="1785"/>
    </row>
    <row r="18" spans="1:26" ht="15.75">
      <c r="A18" s="62"/>
      <c r="C18" s="39" t="s">
        <v>3</v>
      </c>
      <c r="D18" s="39"/>
      <c r="E18" s="39"/>
      <c r="F18" s="39"/>
      <c r="G18" s="39"/>
      <c r="H18" s="39"/>
      <c r="I18" s="39"/>
      <c r="J18" s="39"/>
      <c r="K18" s="39"/>
      <c r="L18" s="39"/>
      <c r="M18" s="39"/>
      <c r="Q18" s="39" t="s">
        <v>3</v>
      </c>
      <c r="R18" s="39"/>
      <c r="S18" s="39"/>
      <c r="T18" s="39"/>
      <c r="U18" s="39"/>
      <c r="V18" s="39"/>
      <c r="W18" s="39"/>
      <c r="X18" s="39"/>
      <c r="Y18" s="39"/>
      <c r="Z18" s="39"/>
    </row>
    <row r="19" spans="1:26" ht="15.75">
      <c r="A19" s="62"/>
    </row>
    <row r="20" spans="1:26" ht="15.75">
      <c r="A20" s="62"/>
    </row>
    <row r="21" spans="1:26" ht="15.75">
      <c r="A21" s="62"/>
    </row>
    <row r="22" spans="1:26" ht="15.75">
      <c r="A22" s="62"/>
    </row>
    <row r="23" spans="1:26" ht="15.75">
      <c r="A23" s="62"/>
    </row>
    <row r="24" spans="1:26" ht="15.75">
      <c r="A24" s="62"/>
    </row>
    <row r="25" spans="1:26" ht="15.75">
      <c r="A25" s="62"/>
    </row>
    <row r="26" spans="1:26" ht="15.75">
      <c r="A26" s="62"/>
    </row>
    <row r="27" spans="1:26" ht="15.75">
      <c r="A27" s="62"/>
    </row>
    <row r="28" spans="1:26" ht="15.75">
      <c r="A28" s="62"/>
    </row>
    <row r="29" spans="1:26" ht="15.75">
      <c r="A29" s="62"/>
    </row>
    <row r="30" spans="1:26" ht="15.75">
      <c r="A30" s="62"/>
    </row>
    <row r="31" spans="1:26" ht="15.75">
      <c r="A31" s="62"/>
    </row>
    <row r="32" spans="1:26"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10">
    <mergeCell ref="BZ4:CO4"/>
    <mergeCell ref="C17:M17"/>
    <mergeCell ref="BJ3:BX3"/>
    <mergeCell ref="B3:L4"/>
    <mergeCell ref="AF3:AR4"/>
    <mergeCell ref="AT3:BH4"/>
    <mergeCell ref="BM4:BR4"/>
    <mergeCell ref="BS4:BX4"/>
    <mergeCell ref="Q17:Z17"/>
    <mergeCell ref="M3:AD4"/>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3313" r:id="rId4" name="Hide">
          <controlPr defaultSize="0" autoLine="0" r:id="rId5">
            <anchor moveWithCells="1">
              <from>
                <xdr:col>0</xdr:col>
                <xdr:colOff>0</xdr:colOff>
                <xdr:row>2</xdr:row>
                <xdr:rowOff>0</xdr:rowOff>
              </from>
              <to>
                <xdr:col>2</xdr:col>
                <xdr:colOff>200025</xdr:colOff>
                <xdr:row>3</xdr:row>
                <xdr:rowOff>57150</xdr:rowOff>
              </to>
            </anchor>
          </controlPr>
        </control>
      </mc:Choice>
      <mc:Fallback>
        <control shapeId="13313" r:id="rId4" name="Hide"/>
      </mc:Fallback>
    </mc:AlternateContent>
    <mc:AlternateContent xmlns:mc="http://schemas.openxmlformats.org/markup-compatibility/2006">
      <mc:Choice Requires="x14">
        <control shapeId="13314" r:id="rId6" name="Specs">
          <controlPr defaultSize="0" autoLine="0" r:id="rId7">
            <anchor moveWithCells="1">
              <from>
                <xdr:col>0</xdr:col>
                <xdr:colOff>0</xdr:colOff>
                <xdr:row>3</xdr:row>
                <xdr:rowOff>133350</xdr:rowOff>
              </from>
              <to>
                <xdr:col>3</xdr:col>
                <xdr:colOff>190500</xdr:colOff>
                <xdr:row>4</xdr:row>
                <xdr:rowOff>200025</xdr:rowOff>
              </to>
            </anchor>
          </controlPr>
        </control>
      </mc:Choice>
      <mc:Fallback>
        <control shapeId="13314" r:id="rId6" name="Specs"/>
      </mc:Fallback>
    </mc:AlternateContent>
    <mc:AlternateContent xmlns:mc="http://schemas.openxmlformats.org/markup-compatibility/2006">
      <mc:Choice Requires="x14">
        <control shapeId="13315" r:id="rId8" name="Technical">
          <controlPr defaultSize="0" autoLine="0" r:id="rId9">
            <anchor moveWithCells="1">
              <from>
                <xdr:col>0</xdr:col>
                <xdr:colOff>0</xdr:colOff>
                <xdr:row>3</xdr:row>
                <xdr:rowOff>133350</xdr:rowOff>
              </from>
              <to>
                <xdr:col>3</xdr:col>
                <xdr:colOff>190500</xdr:colOff>
                <xdr:row>4</xdr:row>
                <xdr:rowOff>200025</xdr:rowOff>
              </to>
            </anchor>
          </controlPr>
        </control>
      </mc:Choice>
      <mc:Fallback>
        <control shapeId="13315" r:id="rId8" name="Technical"/>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3_CM_DSP"/>
  <dimension ref="A1:CN56"/>
  <sheetViews>
    <sheetView zoomScale="80" zoomScaleNormal="80" workbookViewId="0">
      <pane xSplit="1" topLeftCell="B1" activePane="topRight" state="frozen"/>
      <selection pane="topRight" activeCell="AL15" sqref="AL15"/>
    </sheetView>
  </sheetViews>
  <sheetFormatPr defaultColWidth="9.140625" defaultRowHeight="15"/>
  <cols>
    <col min="1" max="1" width="55.7109375" style="1" hidden="1" customWidth="1"/>
    <col min="2" max="2" width="4.42578125" style="1" bestFit="1" customWidth="1"/>
    <col min="3" max="3" width="21.5703125" style="1" customWidth="1"/>
    <col min="4" max="4" width="22.7109375" style="1" customWidth="1"/>
    <col min="5" max="5" width="16.5703125" style="1" customWidth="1"/>
    <col min="6" max="7" width="10" style="1" customWidth="1"/>
    <col min="8" max="8" width="11" style="1" customWidth="1"/>
    <col min="9" max="9" width="9" style="1" customWidth="1"/>
    <col min="10" max="10" width="12" style="1" customWidth="1"/>
    <col min="11" max="11" width="14.42578125" style="1" customWidth="1"/>
    <col min="12" max="13" width="14.7109375" style="1" customWidth="1"/>
    <col min="14" max="14" width="11.85546875" style="1" customWidth="1"/>
    <col min="15" max="15" width="11.42578125" style="1" customWidth="1"/>
    <col min="16" max="16" width="12.140625" style="1" bestFit="1" customWidth="1"/>
    <col min="17" max="18" width="8.7109375" style="1" customWidth="1"/>
    <col min="19" max="20" width="11.28515625" style="1" customWidth="1"/>
    <col min="21" max="24" width="8.140625" style="1" customWidth="1"/>
    <col min="25" max="28" width="8" style="1" customWidth="1"/>
    <col min="29" max="29" width="3.7109375" style="1" customWidth="1"/>
    <col min="30" max="30" width="9.140625" style="1"/>
    <col min="31" max="31" width="11" style="1" bestFit="1" customWidth="1"/>
    <col min="32" max="32" width="11" style="1" customWidth="1"/>
    <col min="33" max="34" width="12.5703125" style="1" customWidth="1"/>
    <col min="35" max="36" width="12.140625" style="1" bestFit="1" customWidth="1"/>
    <col min="37" max="37" width="13.5703125" style="1" customWidth="1"/>
    <col min="38" max="38" width="10.7109375" style="1" customWidth="1"/>
    <col min="39" max="39" width="12.140625" style="1" bestFit="1" customWidth="1"/>
    <col min="40" max="42" width="9.140625" style="1"/>
    <col min="43" max="43" width="4.42578125" style="1" bestFit="1" customWidth="1"/>
    <col min="44" max="44" width="5" style="1" bestFit="1" customWidth="1"/>
    <col min="45" max="45" width="7" style="1" bestFit="1" customWidth="1"/>
    <col min="46" max="46" width="22.140625" style="1" bestFit="1" customWidth="1"/>
    <col min="47" max="47" width="8.5703125" style="1" bestFit="1" customWidth="1"/>
    <col min="48" max="76" width="9.140625" style="1"/>
    <col min="77" max="77" width="12.7109375" style="1" bestFit="1" customWidth="1"/>
    <col min="78" max="78" width="14.28515625" style="1" bestFit="1" customWidth="1"/>
    <col min="79" max="85" width="9.140625" style="1"/>
    <col min="86" max="86" width="11.85546875" style="1" customWidth="1"/>
    <col min="87" max="88" width="12.5703125" style="1" customWidth="1"/>
    <col min="89" max="89" width="11.7109375" style="1" customWidth="1"/>
    <col min="90" max="16384" width="9.140625" style="1"/>
  </cols>
  <sheetData>
    <row r="1" spans="1:92" ht="15.75" hidden="1" customHeight="1" thickBot="1">
      <c r="A1" s="159" t="s">
        <v>394</v>
      </c>
      <c r="B1" s="160">
        <v>0</v>
      </c>
      <c r="C1" s="160">
        <v>1</v>
      </c>
      <c r="D1" s="160">
        <v>2</v>
      </c>
      <c r="E1" s="160">
        <v>3</v>
      </c>
      <c r="F1" s="160">
        <v>4</v>
      </c>
      <c r="G1" s="160">
        <v>0</v>
      </c>
      <c r="H1" s="160">
        <v>0</v>
      </c>
      <c r="I1" s="160">
        <v>0</v>
      </c>
      <c r="J1" s="160">
        <v>0</v>
      </c>
      <c r="K1" s="160">
        <v>5</v>
      </c>
      <c r="L1" s="160">
        <v>0</v>
      </c>
      <c r="M1" s="160">
        <v>0</v>
      </c>
      <c r="N1" s="160">
        <v>0</v>
      </c>
      <c r="O1" s="160">
        <v>0</v>
      </c>
      <c r="P1" s="160">
        <v>0</v>
      </c>
      <c r="Q1" s="160">
        <v>6</v>
      </c>
      <c r="R1" s="160">
        <v>0</v>
      </c>
      <c r="S1" s="160">
        <v>7</v>
      </c>
      <c r="T1" s="160">
        <v>0</v>
      </c>
      <c r="U1" s="160">
        <v>8</v>
      </c>
      <c r="V1" s="160">
        <v>0</v>
      </c>
      <c r="W1" s="160">
        <v>9</v>
      </c>
      <c r="X1" s="160">
        <v>10</v>
      </c>
      <c r="Y1" s="160">
        <v>11</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c r="BE1" s="160">
        <v>0</v>
      </c>
      <c r="BF1" s="160">
        <v>0</v>
      </c>
      <c r="BG1" s="160">
        <v>0</v>
      </c>
      <c r="BH1" s="160">
        <v>0</v>
      </c>
      <c r="BI1" s="160">
        <v>0</v>
      </c>
      <c r="BJ1" s="160">
        <v>0</v>
      </c>
      <c r="BK1" s="160">
        <v>0</v>
      </c>
      <c r="BL1" s="160">
        <v>0</v>
      </c>
      <c r="BM1" s="160">
        <v>0</v>
      </c>
      <c r="BN1" s="160">
        <v>0</v>
      </c>
      <c r="BO1" s="160">
        <v>0</v>
      </c>
      <c r="BP1" s="160">
        <v>0</v>
      </c>
      <c r="BQ1" s="160">
        <v>0</v>
      </c>
      <c r="BR1" s="160">
        <v>0</v>
      </c>
      <c r="BS1" s="160">
        <v>0</v>
      </c>
      <c r="BT1" s="160">
        <v>0</v>
      </c>
      <c r="BU1" s="160">
        <v>0</v>
      </c>
      <c r="BV1" s="160">
        <v>0</v>
      </c>
      <c r="BW1" s="160">
        <v>0</v>
      </c>
      <c r="BX1" s="160">
        <v>0</v>
      </c>
      <c r="BY1" s="160">
        <v>0</v>
      </c>
      <c r="BZ1" s="160">
        <v>0</v>
      </c>
      <c r="CA1" s="160">
        <v>0</v>
      </c>
      <c r="CB1" s="160">
        <v>0</v>
      </c>
      <c r="CC1" s="160">
        <v>0</v>
      </c>
      <c r="CD1" s="160">
        <v>0</v>
      </c>
      <c r="CE1" s="160">
        <v>0</v>
      </c>
      <c r="CF1" s="160">
        <v>0</v>
      </c>
      <c r="CG1" s="160">
        <v>0</v>
      </c>
      <c r="CH1" s="160">
        <v>0</v>
      </c>
      <c r="CI1" s="160">
        <v>0</v>
      </c>
      <c r="CJ1" s="160">
        <v>0</v>
      </c>
      <c r="CK1" s="160">
        <v>0</v>
      </c>
      <c r="CL1" s="160">
        <v>0</v>
      </c>
      <c r="CM1" s="160">
        <v>0</v>
      </c>
      <c r="CN1" s="160">
        <v>0</v>
      </c>
    </row>
    <row r="2" spans="1:92" ht="14.25" hidden="1" customHeight="1" thickBot="1">
      <c r="A2" s="62"/>
      <c r="B2" s="1">
        <v>0</v>
      </c>
      <c r="C2" s="1" t="s">
        <v>427</v>
      </c>
      <c r="D2" s="1" t="s">
        <v>428</v>
      </c>
      <c r="E2" s="1" t="s">
        <v>426</v>
      </c>
      <c r="F2" s="1" t="s">
        <v>2098</v>
      </c>
      <c r="G2" s="1" t="s">
        <v>2099</v>
      </c>
      <c r="H2" s="713" t="s">
        <v>2116</v>
      </c>
      <c r="I2" s="1" t="s">
        <v>2117</v>
      </c>
      <c r="J2" s="1" t="s">
        <v>2120</v>
      </c>
      <c r="K2" s="1" t="s">
        <v>2104</v>
      </c>
      <c r="L2" s="1">
        <v>0</v>
      </c>
      <c r="M2" s="1">
        <v>0</v>
      </c>
      <c r="N2" s="1">
        <v>0</v>
      </c>
      <c r="O2" s="1">
        <v>0</v>
      </c>
      <c r="P2" s="1" t="s">
        <v>1335</v>
      </c>
      <c r="Q2" s="1" t="s">
        <v>578</v>
      </c>
      <c r="R2" s="1" t="s">
        <v>1331</v>
      </c>
      <c r="S2" s="1" t="s">
        <v>579</v>
      </c>
      <c r="T2" s="1" t="s">
        <v>1333</v>
      </c>
      <c r="U2" s="1">
        <v>0</v>
      </c>
      <c r="V2" s="1">
        <v>0</v>
      </c>
      <c r="W2" s="1">
        <v>0</v>
      </c>
      <c r="X2" s="1">
        <v>0</v>
      </c>
      <c r="Y2" s="1">
        <v>0</v>
      </c>
      <c r="Z2" s="1">
        <v>0</v>
      </c>
      <c r="AA2" s="1">
        <v>0</v>
      </c>
      <c r="AB2" s="1">
        <v>0</v>
      </c>
      <c r="AC2" s="1">
        <v>0</v>
      </c>
      <c r="AD2" s="1">
        <v>0</v>
      </c>
      <c r="AE2" s="1">
        <v>0</v>
      </c>
      <c r="AF2" s="1">
        <v>0</v>
      </c>
      <c r="AG2" s="1">
        <v>0</v>
      </c>
      <c r="AH2" s="1">
        <v>0</v>
      </c>
      <c r="AI2" s="1">
        <v>0</v>
      </c>
      <c r="AJ2" s="1">
        <v>0</v>
      </c>
      <c r="AK2" s="1">
        <v>0</v>
      </c>
      <c r="AL2" s="1">
        <v>0</v>
      </c>
      <c r="AM2" s="1" t="s">
        <v>2102</v>
      </c>
      <c r="AN2" s="1" t="s">
        <v>2100</v>
      </c>
      <c r="AO2" s="1" t="s">
        <v>2101</v>
      </c>
      <c r="AP2" s="1">
        <v>0</v>
      </c>
      <c r="AQ2" s="1">
        <v>0</v>
      </c>
      <c r="AR2" s="1">
        <v>0</v>
      </c>
      <c r="AS2" s="1">
        <v>0</v>
      </c>
      <c r="AT2" s="1">
        <v>0</v>
      </c>
      <c r="AU2" s="1">
        <v>0</v>
      </c>
      <c r="AV2" s="1">
        <v>0</v>
      </c>
      <c r="AW2" s="1">
        <v>0</v>
      </c>
      <c r="AX2" s="1">
        <v>0</v>
      </c>
      <c r="AY2" s="1">
        <v>0</v>
      </c>
      <c r="AZ2" s="1" t="s">
        <v>2119</v>
      </c>
      <c r="BA2" s="1">
        <v>0</v>
      </c>
      <c r="BB2" s="1">
        <v>0</v>
      </c>
      <c r="BC2" s="1">
        <v>0</v>
      </c>
      <c r="BD2" s="1" t="s">
        <v>570</v>
      </c>
      <c r="BE2" s="1" t="s">
        <v>571</v>
      </c>
      <c r="BF2" s="1">
        <v>0</v>
      </c>
      <c r="BG2" s="1">
        <v>0</v>
      </c>
      <c r="BH2" s="1">
        <v>0</v>
      </c>
      <c r="BI2" s="1">
        <v>0</v>
      </c>
      <c r="BJ2" s="1" t="s">
        <v>39</v>
      </c>
      <c r="BK2" s="1" t="s">
        <v>40</v>
      </c>
      <c r="BL2" s="1" t="s">
        <v>38</v>
      </c>
      <c r="BM2" s="1" t="s">
        <v>645</v>
      </c>
      <c r="BN2" s="1" t="s">
        <v>2136</v>
      </c>
      <c r="BO2" s="1" t="s">
        <v>41</v>
      </c>
      <c r="BP2" s="1" t="s">
        <v>39</v>
      </c>
      <c r="BQ2" s="1" t="s">
        <v>40</v>
      </c>
      <c r="BR2" s="1" t="s">
        <v>38</v>
      </c>
      <c r="BS2" s="1" t="s">
        <v>645</v>
      </c>
      <c r="BT2" s="1" t="s">
        <v>2136</v>
      </c>
      <c r="BU2" s="1" t="s">
        <v>41</v>
      </c>
      <c r="BV2" s="1">
        <v>0</v>
      </c>
      <c r="BW2" s="1">
        <v>0</v>
      </c>
      <c r="BX2" s="1">
        <v>0</v>
      </c>
      <c r="BY2" s="1" t="s">
        <v>1347</v>
      </c>
      <c r="BZ2" s="1" t="s">
        <v>1348</v>
      </c>
      <c r="CA2" s="1" t="s">
        <v>619</v>
      </c>
      <c r="CB2" s="1" t="s">
        <v>613</v>
      </c>
      <c r="CC2" s="1" t="s">
        <v>615</v>
      </c>
      <c r="CD2" s="1" t="s">
        <v>614</v>
      </c>
      <c r="CE2" s="1" t="s">
        <v>616</v>
      </c>
      <c r="CF2" s="1" t="s">
        <v>617</v>
      </c>
      <c r="CG2" s="1" t="s">
        <v>618</v>
      </c>
      <c r="CH2" s="1" t="s">
        <v>2122</v>
      </c>
      <c r="CI2" s="1" t="s">
        <v>2123</v>
      </c>
      <c r="CJ2" s="1" t="s">
        <v>2126</v>
      </c>
      <c r="CK2" s="1" t="s">
        <v>2128</v>
      </c>
      <c r="CL2" s="1" t="s">
        <v>1343</v>
      </c>
      <c r="CM2" s="1">
        <v>0</v>
      </c>
      <c r="CN2" s="1">
        <v>0</v>
      </c>
    </row>
    <row r="3" spans="1:92" s="7" customFormat="1" ht="20.25" thickTop="1" thickBot="1">
      <c r="A3" s="60" t="s">
        <v>80</v>
      </c>
      <c r="B3" s="1791" t="s">
        <v>21</v>
      </c>
      <c r="C3" s="1776"/>
      <c r="D3" s="1776"/>
      <c r="E3" s="1776"/>
      <c r="F3" s="1776"/>
      <c r="G3" s="1776"/>
      <c r="H3" s="1776"/>
      <c r="I3" s="1776"/>
      <c r="J3" s="1776"/>
      <c r="K3" s="1799"/>
      <c r="L3" s="1620" t="s">
        <v>17</v>
      </c>
      <c r="M3" s="1621"/>
      <c r="N3" s="1621"/>
      <c r="O3" s="1621"/>
      <c r="P3" s="1621"/>
      <c r="Q3" s="1621"/>
      <c r="R3" s="1621"/>
      <c r="S3" s="1621"/>
      <c r="T3" s="1621"/>
      <c r="U3" s="1621"/>
      <c r="V3" s="1621"/>
      <c r="W3" s="1621"/>
      <c r="X3" s="1621"/>
      <c r="Y3" s="1621"/>
      <c r="Z3" s="1621"/>
      <c r="AA3" s="1621"/>
      <c r="AB3" s="1622"/>
      <c r="AC3" s="68"/>
      <c r="AD3" s="1777" t="s">
        <v>24</v>
      </c>
      <c r="AE3" s="1778"/>
      <c r="AF3" s="1778"/>
      <c r="AG3" s="1778"/>
      <c r="AH3" s="1778"/>
      <c r="AI3" s="1778"/>
      <c r="AJ3" s="1778"/>
      <c r="AK3" s="1778"/>
      <c r="AL3" s="1778"/>
      <c r="AM3" s="1778"/>
      <c r="AN3" s="1778"/>
      <c r="AO3" s="1779"/>
      <c r="AQ3" s="1792" t="s">
        <v>43</v>
      </c>
      <c r="AR3" s="1793"/>
      <c r="AS3" s="1793"/>
      <c r="AT3" s="1793"/>
      <c r="AU3" s="1793"/>
      <c r="AV3" s="1793"/>
      <c r="AW3" s="1793"/>
      <c r="AX3" s="1793"/>
      <c r="AY3" s="1793"/>
      <c r="AZ3" s="1793"/>
      <c r="BA3" s="1793"/>
      <c r="BB3" s="1793"/>
      <c r="BC3" s="1793"/>
      <c r="BD3" s="1793"/>
      <c r="BE3" s="1794"/>
      <c r="BG3" s="1780" t="s">
        <v>42</v>
      </c>
      <c r="BH3" s="1781"/>
      <c r="BI3" s="1781"/>
      <c r="BJ3" s="1781"/>
      <c r="BK3" s="1781"/>
      <c r="BL3" s="1781"/>
      <c r="BM3" s="1781"/>
      <c r="BN3" s="1781"/>
      <c r="BO3" s="1781"/>
      <c r="BP3" s="1781"/>
      <c r="BQ3" s="1781"/>
      <c r="BR3" s="1781"/>
      <c r="BS3" s="1781"/>
      <c r="BT3" s="1781"/>
      <c r="BU3" s="1782"/>
    </row>
    <row r="4" spans="1:92" s="7" customFormat="1" ht="20.25" thickTop="1" thickBot="1">
      <c r="A4" s="61"/>
      <c r="B4" s="1820"/>
      <c r="C4" s="1821"/>
      <c r="D4" s="1821"/>
      <c r="E4" s="1821"/>
      <c r="F4" s="1821"/>
      <c r="G4" s="1821"/>
      <c r="H4" s="1821"/>
      <c r="I4" s="1821"/>
      <c r="J4" s="1821"/>
      <c r="K4" s="1822"/>
      <c r="L4" s="1623"/>
      <c r="M4" s="1624"/>
      <c r="N4" s="1624"/>
      <c r="O4" s="1624"/>
      <c r="P4" s="1624"/>
      <c r="Q4" s="1624"/>
      <c r="R4" s="1624"/>
      <c r="S4" s="1624"/>
      <c r="T4" s="1624"/>
      <c r="U4" s="1624"/>
      <c r="V4" s="1624"/>
      <c r="W4" s="1624"/>
      <c r="X4" s="1624"/>
      <c r="Y4" s="1624"/>
      <c r="Z4" s="1624"/>
      <c r="AA4" s="1624"/>
      <c r="AB4" s="1625"/>
      <c r="AC4" s="69"/>
      <c r="AD4" s="1823"/>
      <c r="AE4" s="1824"/>
      <c r="AF4" s="1824"/>
      <c r="AG4" s="1824"/>
      <c r="AH4" s="1824"/>
      <c r="AI4" s="1824"/>
      <c r="AJ4" s="1824"/>
      <c r="AK4" s="1824"/>
      <c r="AL4" s="1824"/>
      <c r="AM4" s="1824"/>
      <c r="AN4" s="1824"/>
      <c r="AO4" s="1825"/>
      <c r="AQ4" s="1826"/>
      <c r="AR4" s="1827"/>
      <c r="AS4" s="1827"/>
      <c r="AT4" s="1827"/>
      <c r="AU4" s="1827"/>
      <c r="AV4" s="1827"/>
      <c r="AW4" s="1827"/>
      <c r="AX4" s="1827"/>
      <c r="AY4" s="1827"/>
      <c r="AZ4" s="1827"/>
      <c r="BA4" s="1827"/>
      <c r="BB4" s="1827"/>
      <c r="BC4" s="1827"/>
      <c r="BD4" s="1827"/>
      <c r="BE4" s="1828"/>
      <c r="BG4" s="46"/>
      <c r="BH4" s="47"/>
      <c r="BI4" s="47"/>
      <c r="BJ4" s="1780" t="s">
        <v>58</v>
      </c>
      <c r="BK4" s="1781"/>
      <c r="BL4" s="1781"/>
      <c r="BM4" s="1781"/>
      <c r="BN4" s="1781"/>
      <c r="BO4" s="1782"/>
      <c r="BP4" s="1780" t="s">
        <v>57</v>
      </c>
      <c r="BQ4" s="1781"/>
      <c r="BR4" s="1781"/>
      <c r="BS4" s="1781"/>
      <c r="BT4" s="1781"/>
      <c r="BU4" s="1782"/>
      <c r="BW4" s="1780" t="s">
        <v>612</v>
      </c>
      <c r="BX4" s="1781"/>
      <c r="BY4" s="1781"/>
      <c r="BZ4" s="1781"/>
      <c r="CA4" s="1781"/>
      <c r="CB4" s="1781"/>
      <c r="CC4" s="1781"/>
      <c r="CD4" s="1781"/>
      <c r="CE4" s="1781"/>
      <c r="CF4" s="1781"/>
      <c r="CG4" s="1781"/>
      <c r="CH4" s="1781"/>
      <c r="CI4" s="1781"/>
      <c r="CJ4" s="1781"/>
      <c r="CK4" s="1781"/>
      <c r="CL4" s="1782"/>
    </row>
    <row r="5" spans="1:92" s="7" customFormat="1" ht="50.25" thickBot="1">
      <c r="A5" s="62"/>
      <c r="B5" s="90" t="s">
        <v>2</v>
      </c>
      <c r="C5" s="79" t="s">
        <v>3</v>
      </c>
      <c r="D5" s="79" t="s">
        <v>0</v>
      </c>
      <c r="E5" s="79" t="s">
        <v>81</v>
      </c>
      <c r="F5" s="79" t="s">
        <v>87</v>
      </c>
      <c r="G5" s="79" t="s">
        <v>582</v>
      </c>
      <c r="H5" s="92" t="s">
        <v>583</v>
      </c>
      <c r="I5" s="92" t="s">
        <v>584</v>
      </c>
      <c r="J5" s="92" t="s">
        <v>2121</v>
      </c>
      <c r="K5" s="80" t="s">
        <v>14</v>
      </c>
      <c r="L5" s="83" t="s">
        <v>595</v>
      </c>
      <c r="M5" s="83" t="s">
        <v>596</v>
      </c>
      <c r="N5" s="83" t="s">
        <v>598</v>
      </c>
      <c r="O5" s="101" t="s">
        <v>606</v>
      </c>
      <c r="P5" s="82" t="s">
        <v>1336</v>
      </c>
      <c r="Q5" s="83" t="s">
        <v>593</v>
      </c>
      <c r="R5" s="83" t="s">
        <v>1331</v>
      </c>
      <c r="S5" s="83" t="s">
        <v>594</v>
      </c>
      <c r="T5" s="83" t="s">
        <v>1334</v>
      </c>
      <c r="U5" s="83" t="s">
        <v>604</v>
      </c>
      <c r="V5" s="83" t="s">
        <v>605</v>
      </c>
      <c r="W5" s="82" t="s">
        <v>601</v>
      </c>
      <c r="X5" s="83" t="s">
        <v>19</v>
      </c>
      <c r="Y5" s="83" t="s">
        <v>590</v>
      </c>
      <c r="Z5" s="82" t="s">
        <v>602</v>
      </c>
      <c r="AA5" s="83" t="s">
        <v>591</v>
      </c>
      <c r="AB5" s="83" t="s">
        <v>603</v>
      </c>
      <c r="AC5" s="69"/>
      <c r="AD5" s="85" t="s">
        <v>10</v>
      </c>
      <c r="AE5" s="86" t="s">
        <v>13</v>
      </c>
      <c r="AF5" s="86" t="s">
        <v>4</v>
      </c>
      <c r="AG5" s="86" t="s">
        <v>16</v>
      </c>
      <c r="AH5" s="86" t="s">
        <v>54</v>
      </c>
      <c r="AI5" s="86" t="s">
        <v>52</v>
      </c>
      <c r="AJ5" s="87" t="s">
        <v>26</v>
      </c>
      <c r="AK5" s="88" t="s">
        <v>11</v>
      </c>
      <c r="AL5" s="88" t="s">
        <v>15</v>
      </c>
      <c r="AM5" s="88" t="s">
        <v>2490</v>
      </c>
      <c r="AN5" s="88" t="s">
        <v>5</v>
      </c>
      <c r="AO5" s="89" t="s">
        <v>2491</v>
      </c>
      <c r="AQ5" s="771" t="str">
        <f t="shared" ref="AQ5:AT10" si="0">B5</f>
        <v>No.</v>
      </c>
      <c r="AR5" s="238" t="str">
        <f t="shared" si="0"/>
        <v>Ref.</v>
      </c>
      <c r="AS5" s="238" t="str">
        <f t="shared" si="0"/>
        <v>Model</v>
      </c>
      <c r="AT5" s="238" t="str">
        <f t="shared" si="0"/>
        <v>Supply Flow Rate
 CFM</v>
      </c>
      <c r="AU5" s="241" t="str">
        <f t="shared" ref="AU5:AU10" si="1">V5</f>
        <v>ESP
(inwg)</v>
      </c>
      <c r="AV5" s="241" t="s">
        <v>31</v>
      </c>
      <c r="AW5" s="241" t="s">
        <v>29</v>
      </c>
      <c r="AX5" s="238" t="s">
        <v>30</v>
      </c>
      <c r="AY5" s="238" t="s">
        <v>32</v>
      </c>
      <c r="AZ5" s="238" t="s">
        <v>33</v>
      </c>
      <c r="BA5" s="238" t="s">
        <v>34</v>
      </c>
      <c r="BB5" s="238" t="s">
        <v>8</v>
      </c>
      <c r="BC5" s="238" t="s">
        <v>36</v>
      </c>
      <c r="BD5" s="238" t="s">
        <v>637</v>
      </c>
      <c r="BE5" s="236" t="s">
        <v>572</v>
      </c>
      <c r="BF5" s="772"/>
      <c r="BG5" s="773" t="str">
        <f t="shared" ref="BG5:BI10" si="2">B5</f>
        <v>No.</v>
      </c>
      <c r="BH5" s="762" t="str">
        <f t="shared" si="2"/>
        <v>Ref.</v>
      </c>
      <c r="BI5" s="776" t="str">
        <f t="shared" si="2"/>
        <v>Model</v>
      </c>
      <c r="BJ5" s="908" t="s">
        <v>39</v>
      </c>
      <c r="BK5" s="774" t="s">
        <v>40</v>
      </c>
      <c r="BL5" s="774" t="s">
        <v>38</v>
      </c>
      <c r="BM5" s="775" t="s">
        <v>645</v>
      </c>
      <c r="BN5" s="775" t="s">
        <v>2136</v>
      </c>
      <c r="BO5" s="776" t="s">
        <v>41</v>
      </c>
      <c r="BP5" s="762" t="s">
        <v>39</v>
      </c>
      <c r="BQ5" s="774" t="s">
        <v>40</v>
      </c>
      <c r="BR5" s="774" t="s">
        <v>38</v>
      </c>
      <c r="BS5" s="775" t="s">
        <v>645</v>
      </c>
      <c r="BT5" s="775" t="s">
        <v>2136</v>
      </c>
      <c r="BU5" s="776" t="s">
        <v>41</v>
      </c>
      <c r="BV5" s="772"/>
      <c r="BW5" s="767" t="str">
        <f t="shared" ref="BW5:BX10" si="3">BG5</f>
        <v>No.</v>
      </c>
      <c r="BX5" s="239" t="str">
        <f t="shared" si="3"/>
        <v>Ref.</v>
      </c>
      <c r="BY5" s="239" t="s">
        <v>1345</v>
      </c>
      <c r="BZ5" s="240" t="s">
        <v>1346</v>
      </c>
      <c r="CA5" s="767" t="s">
        <v>621</v>
      </c>
      <c r="CB5" s="239" t="s">
        <v>580</v>
      </c>
      <c r="CC5" s="239" t="s">
        <v>1329</v>
      </c>
      <c r="CD5" s="239" t="s">
        <v>581</v>
      </c>
      <c r="CE5" s="239" t="s">
        <v>1330</v>
      </c>
      <c r="CF5" s="239" t="s">
        <v>620</v>
      </c>
      <c r="CG5" s="239" t="s">
        <v>5</v>
      </c>
      <c r="CH5" s="239" t="s">
        <v>2130</v>
      </c>
      <c r="CI5" s="239" t="s">
        <v>2129</v>
      </c>
      <c r="CJ5" s="239" t="s">
        <v>2125</v>
      </c>
      <c r="CK5" s="239" t="s">
        <v>2127</v>
      </c>
      <c r="CL5" s="240" t="s">
        <v>1328</v>
      </c>
    </row>
    <row r="6" spans="1:92" s="7" customFormat="1" ht="16.5">
      <c r="A6" s="62"/>
      <c r="B6" s="24">
        <v>1</v>
      </c>
      <c r="C6" s="25" t="s">
        <v>2840</v>
      </c>
      <c r="D6" s="22" t="s">
        <v>2840</v>
      </c>
      <c r="E6" s="22">
        <f>O6*2.1191</f>
        <v>0</v>
      </c>
      <c r="F6" s="22" t="s">
        <v>2840</v>
      </c>
      <c r="G6" s="93"/>
      <c r="H6" s="225"/>
      <c r="I6" s="225"/>
      <c r="J6" s="225"/>
      <c r="K6" s="107"/>
      <c r="L6" s="12"/>
      <c r="M6" s="26">
        <f>L6*3412</f>
        <v>0</v>
      </c>
      <c r="N6" s="26"/>
      <c r="O6" s="8"/>
      <c r="P6" s="8"/>
      <c r="Q6" s="8"/>
      <c r="R6" s="8"/>
      <c r="S6" s="8"/>
      <c r="T6" s="8"/>
      <c r="U6" s="8"/>
      <c r="V6" s="119">
        <f>U6/249</f>
        <v>0</v>
      </c>
      <c r="W6" s="210"/>
      <c r="X6" s="210"/>
      <c r="Y6" s="210"/>
      <c r="Z6" s="210">
        <f t="shared" ref="Z6:AB10" si="4">W6*1.8+32</f>
        <v>32</v>
      </c>
      <c r="AA6" s="210">
        <f t="shared" si="4"/>
        <v>32</v>
      </c>
      <c r="AB6" s="213">
        <f t="shared" si="4"/>
        <v>32</v>
      </c>
      <c r="AC6" s="69"/>
      <c r="AD6" s="43"/>
      <c r="AE6" s="9"/>
      <c r="AF6" s="9"/>
      <c r="AG6" s="9"/>
      <c r="AH6" s="9"/>
      <c r="AI6" s="9"/>
      <c r="AJ6" s="9">
        <f>SUM(AD6:AI6)</f>
        <v>0</v>
      </c>
      <c r="AK6" s="22">
        <f>AJ6*3.75</f>
        <v>0</v>
      </c>
      <c r="AL6" s="22">
        <f>AK6*1.25</f>
        <v>0</v>
      </c>
      <c r="AM6" s="22">
        <f>CEILING(AL6,5)</f>
        <v>0</v>
      </c>
      <c r="AN6" s="22">
        <v>1</v>
      </c>
      <c r="AO6" s="23">
        <f>AN6*AM6</f>
        <v>0</v>
      </c>
      <c r="AQ6" s="12">
        <f t="shared" si="0"/>
        <v>1</v>
      </c>
      <c r="AR6" s="8" t="str">
        <f t="shared" si="0"/>
        <v>XX</v>
      </c>
      <c r="AS6" s="8" t="str">
        <f t="shared" si="0"/>
        <v>XX</v>
      </c>
      <c r="AT6" s="8">
        <f t="shared" si="0"/>
        <v>0</v>
      </c>
      <c r="AU6" s="118">
        <f t="shared" si="1"/>
        <v>0</v>
      </c>
      <c r="AV6" s="118"/>
      <c r="AW6" s="119"/>
      <c r="AX6" s="119"/>
      <c r="AY6" s="119"/>
      <c r="AZ6" s="119"/>
      <c r="BA6" s="119"/>
      <c r="BB6" s="119">
        <f>SUM(AU6:BA6)</f>
        <v>0</v>
      </c>
      <c r="BC6" s="8"/>
      <c r="BD6" s="201"/>
      <c r="BE6" s="13"/>
      <c r="BG6" s="12">
        <f t="shared" si="2"/>
        <v>1</v>
      </c>
      <c r="BH6" s="8" t="str">
        <f t="shared" si="2"/>
        <v>XX</v>
      </c>
      <c r="BI6" s="13" t="str">
        <f t="shared" si="2"/>
        <v>XX</v>
      </c>
      <c r="BJ6" s="26"/>
      <c r="BK6" s="9"/>
      <c r="BL6" s="9"/>
      <c r="BM6" s="170"/>
      <c r="BN6" s="170"/>
      <c r="BO6" s="13"/>
      <c r="BP6" s="8"/>
      <c r="BQ6" s="9"/>
      <c r="BR6" s="9"/>
      <c r="BS6" s="170"/>
      <c r="BT6" s="170"/>
      <c r="BU6" s="13"/>
      <c r="BW6" s="229">
        <f t="shared" si="3"/>
        <v>1</v>
      </c>
      <c r="BX6" s="230" t="str">
        <f t="shared" si="3"/>
        <v>XX</v>
      </c>
      <c r="BY6" s="230" t="str">
        <f>TRIM(IFERROR(IF(LEFT(D6,3)="PAH",LEFT(D6,FIND("+",D6)-1),RIGHT(D6,LEN(D6)-FIND("+",D6))),0))</f>
        <v>0</v>
      </c>
      <c r="BZ6" s="233" t="str">
        <f>TRIM(IFERROR(IF(LEFT(D6,3)="DSP",LEFT(D6,FIND("+",D6)-1),RIGHT(D6,LEN(D6)-FIND("+",D6))),0))</f>
        <v>0</v>
      </c>
      <c r="CA6" s="1121"/>
      <c r="CB6" s="231"/>
      <c r="CC6" s="232"/>
      <c r="CD6" s="232"/>
      <c r="CE6" s="231"/>
      <c r="CF6" s="230"/>
      <c r="CG6" s="230"/>
      <c r="CH6" s="756"/>
      <c r="CI6" s="756"/>
      <c r="CJ6" s="756"/>
      <c r="CK6" s="756"/>
      <c r="CL6" s="233"/>
    </row>
    <row r="7" spans="1:92" s="7" customFormat="1" ht="16.5">
      <c r="A7" s="62"/>
      <c r="B7" s="12">
        <v>2</v>
      </c>
      <c r="C7" s="6"/>
      <c r="D7" s="9"/>
      <c r="E7" s="22">
        <f>O7*2.1191</f>
        <v>0</v>
      </c>
      <c r="F7" s="9"/>
      <c r="G7" s="170"/>
      <c r="H7" s="226"/>
      <c r="I7" s="226"/>
      <c r="J7" s="226"/>
      <c r="K7" s="108"/>
      <c r="L7" s="12"/>
      <c r="M7" s="26">
        <f>L7*3412</f>
        <v>0</v>
      </c>
      <c r="N7" s="26"/>
      <c r="O7" s="8"/>
      <c r="P7" s="8"/>
      <c r="Q7" s="8"/>
      <c r="R7" s="8"/>
      <c r="S7" s="8"/>
      <c r="T7" s="8"/>
      <c r="U7" s="8"/>
      <c r="V7" s="119">
        <f>U7/249</f>
        <v>0</v>
      </c>
      <c r="W7" s="210"/>
      <c r="X7" s="210"/>
      <c r="Y7" s="210"/>
      <c r="Z7" s="210">
        <f t="shared" si="4"/>
        <v>32</v>
      </c>
      <c r="AA7" s="210">
        <f t="shared" si="4"/>
        <v>32</v>
      </c>
      <c r="AB7" s="213">
        <f t="shared" si="4"/>
        <v>32</v>
      </c>
      <c r="AC7" s="69"/>
      <c r="AD7" s="43"/>
      <c r="AE7" s="9"/>
      <c r="AF7" s="9"/>
      <c r="AG7" s="9"/>
      <c r="AH7" s="9"/>
      <c r="AI7" s="9"/>
      <c r="AJ7" s="9">
        <f>SUM(AD7:AI7)</f>
        <v>0</v>
      </c>
      <c r="AK7" s="9">
        <f>AJ7*3.75</f>
        <v>0</v>
      </c>
      <c r="AL7" s="9">
        <f>AK7*1.25</f>
        <v>0</v>
      </c>
      <c r="AM7" s="9">
        <f>CEILING(AL7,5)</f>
        <v>0</v>
      </c>
      <c r="AN7" s="9"/>
      <c r="AO7" s="10">
        <f>AN7*AM7</f>
        <v>0</v>
      </c>
      <c r="AQ7" s="12">
        <f t="shared" si="0"/>
        <v>2</v>
      </c>
      <c r="AR7" s="8">
        <f t="shared" si="0"/>
        <v>0</v>
      </c>
      <c r="AS7" s="8">
        <f t="shared" si="0"/>
        <v>0</v>
      </c>
      <c r="AT7" s="8">
        <f t="shared" si="0"/>
        <v>0</v>
      </c>
      <c r="AU7" s="118">
        <f t="shared" si="1"/>
        <v>0</v>
      </c>
      <c r="AV7" s="118"/>
      <c r="AW7" s="119"/>
      <c r="AX7" s="119"/>
      <c r="AY7" s="119"/>
      <c r="AZ7" s="119"/>
      <c r="BA7" s="119"/>
      <c r="BB7" s="119">
        <f>SUM(AU7:BA7)</f>
        <v>0</v>
      </c>
      <c r="BC7" s="8"/>
      <c r="BD7" s="201"/>
      <c r="BE7" s="13"/>
      <c r="BG7" s="12">
        <f t="shared" si="2"/>
        <v>2</v>
      </c>
      <c r="BH7" s="8">
        <f t="shared" si="2"/>
        <v>0</v>
      </c>
      <c r="BI7" s="13">
        <f t="shared" si="2"/>
        <v>0</v>
      </c>
      <c r="BJ7" s="26"/>
      <c r="BK7" s="9"/>
      <c r="BL7" s="9"/>
      <c r="BM7" s="170"/>
      <c r="BN7" s="170"/>
      <c r="BO7" s="13"/>
      <c r="BP7" s="8"/>
      <c r="BQ7" s="9"/>
      <c r="BR7" s="9"/>
      <c r="BS7" s="170"/>
      <c r="BT7" s="170"/>
      <c r="BU7" s="13"/>
      <c r="BW7" s="12">
        <f t="shared" si="3"/>
        <v>2</v>
      </c>
      <c r="BX7" s="8">
        <f t="shared" si="3"/>
        <v>0</v>
      </c>
      <c r="BY7" s="8" t="str">
        <f t="shared" ref="BY7:BY10" si="5">TRIM(IFERROR(IF(LEFT(D7,3)="PAH",LEFT(D7,FIND("+",D7)-1),RIGHT(D7,LEN(D7)-FIND("+",D7))),0))</f>
        <v>0</v>
      </c>
      <c r="BZ7" s="13" t="str">
        <f t="shared" ref="BZ7:BZ10" si="6">TRIM(IFERROR(IF(LEFT(D7,3)="DSP",LEFT(D7,FIND("+",D7)-1),RIGHT(D7,LEN(D7)-FIND("+",D7))),0))</f>
        <v>0</v>
      </c>
      <c r="CA7" s="1122"/>
      <c r="CB7" s="210"/>
      <c r="CC7" s="223"/>
      <c r="CD7" s="223"/>
      <c r="CE7" s="210"/>
      <c r="CF7" s="8"/>
      <c r="CG7" s="8"/>
      <c r="CH7" s="201"/>
      <c r="CI7" s="201"/>
      <c r="CJ7" s="201"/>
      <c r="CK7" s="201"/>
      <c r="CL7" s="13"/>
    </row>
    <row r="8" spans="1:92" s="7" customFormat="1" ht="16.5">
      <c r="A8" s="62"/>
      <c r="B8" s="12">
        <v>3</v>
      </c>
      <c r="C8" s="6"/>
      <c r="D8" s="9"/>
      <c r="E8" s="22">
        <f>O8*2.1191</f>
        <v>0</v>
      </c>
      <c r="F8" s="9"/>
      <c r="G8" s="170"/>
      <c r="H8" s="226"/>
      <c r="I8" s="226"/>
      <c r="J8" s="226"/>
      <c r="K8" s="108"/>
      <c r="L8" s="12"/>
      <c r="M8" s="26">
        <f>L8*3412</f>
        <v>0</v>
      </c>
      <c r="N8" s="26"/>
      <c r="O8" s="8"/>
      <c r="P8" s="8"/>
      <c r="Q8" s="8"/>
      <c r="R8" s="8"/>
      <c r="S8" s="8"/>
      <c r="T8" s="8"/>
      <c r="U8" s="8"/>
      <c r="V8" s="119">
        <f>U8/249</f>
        <v>0</v>
      </c>
      <c r="W8" s="210"/>
      <c r="X8" s="210"/>
      <c r="Y8" s="210"/>
      <c r="Z8" s="210">
        <f t="shared" si="4"/>
        <v>32</v>
      </c>
      <c r="AA8" s="210">
        <f t="shared" si="4"/>
        <v>32</v>
      </c>
      <c r="AB8" s="213">
        <f t="shared" si="4"/>
        <v>32</v>
      </c>
      <c r="AC8" s="69"/>
      <c r="AD8" s="43"/>
      <c r="AE8" s="9"/>
      <c r="AF8" s="9"/>
      <c r="AG8" s="9"/>
      <c r="AH8" s="9"/>
      <c r="AI8" s="9"/>
      <c r="AJ8" s="9">
        <f>SUM(AD8:AI8)</f>
        <v>0</v>
      </c>
      <c r="AK8" s="9">
        <f>AJ8*3.75</f>
        <v>0</v>
      </c>
      <c r="AL8" s="9">
        <f>AK8*1.25</f>
        <v>0</v>
      </c>
      <c r="AM8" s="9">
        <f>CEILING(AL8,5)</f>
        <v>0</v>
      </c>
      <c r="AN8" s="9"/>
      <c r="AO8" s="10">
        <f>AN8*AM8</f>
        <v>0</v>
      </c>
      <c r="AQ8" s="12">
        <f t="shared" si="0"/>
        <v>3</v>
      </c>
      <c r="AR8" s="8">
        <f t="shared" si="0"/>
        <v>0</v>
      </c>
      <c r="AS8" s="8">
        <f t="shared" si="0"/>
        <v>0</v>
      </c>
      <c r="AT8" s="8">
        <f t="shared" si="0"/>
        <v>0</v>
      </c>
      <c r="AU8" s="118">
        <f t="shared" si="1"/>
        <v>0</v>
      </c>
      <c r="AV8" s="118"/>
      <c r="AW8" s="119"/>
      <c r="AX8" s="119"/>
      <c r="AY8" s="119"/>
      <c r="AZ8" s="119"/>
      <c r="BA8" s="119"/>
      <c r="BB8" s="119">
        <f>SUM(AU8:BA8)</f>
        <v>0</v>
      </c>
      <c r="BC8" s="8"/>
      <c r="BD8" s="201"/>
      <c r="BE8" s="13"/>
      <c r="BG8" s="12">
        <f t="shared" si="2"/>
        <v>3</v>
      </c>
      <c r="BH8" s="8">
        <f t="shared" si="2"/>
        <v>0</v>
      </c>
      <c r="BI8" s="13">
        <f t="shared" si="2"/>
        <v>0</v>
      </c>
      <c r="BJ8" s="26"/>
      <c r="BK8" s="9"/>
      <c r="BL8" s="9"/>
      <c r="BM8" s="170"/>
      <c r="BN8" s="170"/>
      <c r="BO8" s="13"/>
      <c r="BP8" s="8"/>
      <c r="BQ8" s="9"/>
      <c r="BR8" s="9"/>
      <c r="BS8" s="170"/>
      <c r="BT8" s="170"/>
      <c r="BU8" s="13"/>
      <c r="BW8" s="12">
        <f t="shared" si="3"/>
        <v>3</v>
      </c>
      <c r="BX8" s="8">
        <f t="shared" si="3"/>
        <v>0</v>
      </c>
      <c r="BY8" s="8" t="str">
        <f t="shared" si="5"/>
        <v>0</v>
      </c>
      <c r="BZ8" s="13" t="str">
        <f t="shared" si="6"/>
        <v>0</v>
      </c>
      <c r="CA8" s="1122"/>
      <c r="CB8" s="210"/>
      <c r="CC8" s="223"/>
      <c r="CD8" s="223"/>
      <c r="CE8" s="210"/>
      <c r="CF8" s="8"/>
      <c r="CG8" s="8"/>
      <c r="CH8" s="201"/>
      <c r="CI8" s="201"/>
      <c r="CJ8" s="201"/>
      <c r="CK8" s="201"/>
      <c r="CL8" s="13"/>
    </row>
    <row r="9" spans="1:92" s="7" customFormat="1" ht="16.5">
      <c r="A9" s="62"/>
      <c r="B9" s="12">
        <v>4</v>
      </c>
      <c r="C9" s="6"/>
      <c r="D9" s="9"/>
      <c r="E9" s="22">
        <f>O9*2.1191</f>
        <v>0</v>
      </c>
      <c r="F9" s="9"/>
      <c r="G9" s="170"/>
      <c r="H9" s="226"/>
      <c r="I9" s="226"/>
      <c r="J9" s="226"/>
      <c r="K9" s="108"/>
      <c r="L9" s="12"/>
      <c r="M9" s="26">
        <f>L9*3412</f>
        <v>0</v>
      </c>
      <c r="N9" s="26"/>
      <c r="O9" s="8"/>
      <c r="P9" s="8"/>
      <c r="Q9" s="8"/>
      <c r="R9" s="8"/>
      <c r="S9" s="8"/>
      <c r="T9" s="8"/>
      <c r="U9" s="8"/>
      <c r="V9" s="119">
        <f>U9/249</f>
        <v>0</v>
      </c>
      <c r="W9" s="210"/>
      <c r="X9" s="210"/>
      <c r="Y9" s="210"/>
      <c r="Z9" s="210">
        <f t="shared" si="4"/>
        <v>32</v>
      </c>
      <c r="AA9" s="210">
        <f t="shared" si="4"/>
        <v>32</v>
      </c>
      <c r="AB9" s="213">
        <f t="shared" si="4"/>
        <v>32</v>
      </c>
      <c r="AC9" s="69"/>
      <c r="AD9" s="43"/>
      <c r="AE9" s="9"/>
      <c r="AF9" s="9"/>
      <c r="AG9" s="9"/>
      <c r="AH9" s="9"/>
      <c r="AI9" s="9"/>
      <c r="AJ9" s="9">
        <f>SUM(AD9:AI9)</f>
        <v>0</v>
      </c>
      <c r="AK9" s="9">
        <f>AJ9*3.75</f>
        <v>0</v>
      </c>
      <c r="AL9" s="9">
        <f>AK9*1.25</f>
        <v>0</v>
      </c>
      <c r="AM9" s="9">
        <f>CEILING(AL9,5)</f>
        <v>0</v>
      </c>
      <c r="AN9" s="9"/>
      <c r="AO9" s="10">
        <f>AN9*AM9</f>
        <v>0</v>
      </c>
      <c r="AQ9" s="12">
        <f t="shared" si="0"/>
        <v>4</v>
      </c>
      <c r="AR9" s="8">
        <f t="shared" si="0"/>
        <v>0</v>
      </c>
      <c r="AS9" s="8">
        <f t="shared" si="0"/>
        <v>0</v>
      </c>
      <c r="AT9" s="8">
        <f t="shared" si="0"/>
        <v>0</v>
      </c>
      <c r="AU9" s="118">
        <f t="shared" si="1"/>
        <v>0</v>
      </c>
      <c r="AV9" s="118"/>
      <c r="AW9" s="119"/>
      <c r="AX9" s="119"/>
      <c r="AY9" s="119"/>
      <c r="AZ9" s="119"/>
      <c r="BA9" s="119"/>
      <c r="BB9" s="119">
        <f>SUM(AU9:BA9)</f>
        <v>0</v>
      </c>
      <c r="BC9" s="8"/>
      <c r="BD9" s="201"/>
      <c r="BE9" s="13"/>
      <c r="BG9" s="12">
        <f t="shared" si="2"/>
        <v>4</v>
      </c>
      <c r="BH9" s="8">
        <f t="shared" si="2"/>
        <v>0</v>
      </c>
      <c r="BI9" s="13">
        <f t="shared" si="2"/>
        <v>0</v>
      </c>
      <c r="BJ9" s="26"/>
      <c r="BK9" s="9"/>
      <c r="BL9" s="9"/>
      <c r="BM9" s="170"/>
      <c r="BN9" s="170"/>
      <c r="BO9" s="13"/>
      <c r="BP9" s="8"/>
      <c r="BQ9" s="9"/>
      <c r="BR9" s="9"/>
      <c r="BS9" s="170"/>
      <c r="BT9" s="170"/>
      <c r="BU9" s="13"/>
      <c r="BW9" s="12">
        <f>BG9</f>
        <v>4</v>
      </c>
      <c r="BX9" s="8">
        <f>BH9</f>
        <v>0</v>
      </c>
      <c r="BY9" s="8" t="str">
        <f t="shared" si="5"/>
        <v>0</v>
      </c>
      <c r="BZ9" s="13" t="str">
        <f t="shared" si="6"/>
        <v>0</v>
      </c>
      <c r="CA9" s="1122"/>
      <c r="CB9" s="210"/>
      <c r="CC9" s="223"/>
      <c r="CD9" s="223"/>
      <c r="CE9" s="210"/>
      <c r="CF9" s="8"/>
      <c r="CG9" s="8"/>
      <c r="CH9" s="201"/>
      <c r="CI9" s="201"/>
      <c r="CJ9" s="201"/>
      <c r="CK9" s="201"/>
      <c r="CL9" s="13"/>
    </row>
    <row r="10" spans="1:92" s="7" customFormat="1" ht="15.75" customHeight="1" thickBot="1">
      <c r="A10" s="62"/>
      <c r="B10" s="38">
        <v>5</v>
      </c>
      <c r="C10" s="17"/>
      <c r="D10" s="18"/>
      <c r="E10" s="18">
        <f>O10*2.1191</f>
        <v>0</v>
      </c>
      <c r="F10" s="18"/>
      <c r="G10" s="171"/>
      <c r="H10" s="227"/>
      <c r="I10" s="227"/>
      <c r="J10" s="227"/>
      <c r="K10" s="109"/>
      <c r="L10" s="14"/>
      <c r="M10" s="27">
        <f>L10*3412</f>
        <v>0</v>
      </c>
      <c r="N10" s="27"/>
      <c r="O10" s="15"/>
      <c r="P10" s="15"/>
      <c r="Q10" s="15"/>
      <c r="R10" s="15"/>
      <c r="S10" s="15"/>
      <c r="T10" s="15"/>
      <c r="U10" s="15"/>
      <c r="V10" s="121">
        <f>U10/249</f>
        <v>0</v>
      </c>
      <c r="W10" s="211"/>
      <c r="X10" s="211"/>
      <c r="Y10" s="211"/>
      <c r="Z10" s="211">
        <f t="shared" si="4"/>
        <v>32</v>
      </c>
      <c r="AA10" s="211">
        <f t="shared" si="4"/>
        <v>32</v>
      </c>
      <c r="AB10" s="214">
        <f t="shared" si="4"/>
        <v>32</v>
      </c>
      <c r="AC10" s="70"/>
      <c r="AD10" s="18"/>
      <c r="AE10" s="18"/>
      <c r="AF10" s="18"/>
      <c r="AG10" s="18"/>
      <c r="AH10" s="18"/>
      <c r="AI10" s="18"/>
      <c r="AJ10" s="18">
        <f>SUM(AD10:AI10)</f>
        <v>0</v>
      </c>
      <c r="AK10" s="18">
        <f>AJ10*3.75</f>
        <v>0</v>
      </c>
      <c r="AL10" s="18">
        <f>AK10*1.25</f>
        <v>0</v>
      </c>
      <c r="AM10" s="18">
        <f>CEILING(AL10,5)</f>
        <v>0</v>
      </c>
      <c r="AN10" s="18"/>
      <c r="AO10" s="19">
        <f>AN10*AM10</f>
        <v>0</v>
      </c>
      <c r="AQ10" s="14">
        <f t="shared" si="0"/>
        <v>5</v>
      </c>
      <c r="AR10" s="15">
        <f t="shared" si="0"/>
        <v>0</v>
      </c>
      <c r="AS10" s="15">
        <f t="shared" si="0"/>
        <v>0</v>
      </c>
      <c r="AT10" s="15">
        <f t="shared" si="0"/>
        <v>0</v>
      </c>
      <c r="AU10" s="120">
        <f t="shared" si="1"/>
        <v>0</v>
      </c>
      <c r="AV10" s="120"/>
      <c r="AW10" s="121"/>
      <c r="AX10" s="121"/>
      <c r="AY10" s="121"/>
      <c r="AZ10" s="121"/>
      <c r="BA10" s="121"/>
      <c r="BB10" s="121">
        <f>SUM(AU10:BA10)</f>
        <v>0</v>
      </c>
      <c r="BC10" s="15"/>
      <c r="BD10" s="202"/>
      <c r="BE10" s="16"/>
      <c r="BG10" s="14">
        <f t="shared" si="2"/>
        <v>5</v>
      </c>
      <c r="BH10" s="15">
        <f t="shared" si="2"/>
        <v>0</v>
      </c>
      <c r="BI10" s="16">
        <f t="shared" si="2"/>
        <v>0</v>
      </c>
      <c r="BJ10" s="27"/>
      <c r="BK10" s="18"/>
      <c r="BL10" s="18"/>
      <c r="BM10" s="171"/>
      <c r="BN10" s="171"/>
      <c r="BO10" s="16"/>
      <c r="BP10" s="15"/>
      <c r="BQ10" s="18"/>
      <c r="BR10" s="18"/>
      <c r="BS10" s="171"/>
      <c r="BT10" s="171"/>
      <c r="BU10" s="16"/>
      <c r="BW10" s="14">
        <f t="shared" si="3"/>
        <v>5</v>
      </c>
      <c r="BX10" s="15">
        <f t="shared" si="3"/>
        <v>0</v>
      </c>
      <c r="BY10" s="15" t="str">
        <f t="shared" si="5"/>
        <v>0</v>
      </c>
      <c r="BZ10" s="16" t="str">
        <f t="shared" si="6"/>
        <v>0</v>
      </c>
      <c r="CA10" s="1123"/>
      <c r="CB10" s="211"/>
      <c r="CC10" s="224"/>
      <c r="CD10" s="224"/>
      <c r="CE10" s="211"/>
      <c r="CF10" s="15"/>
      <c r="CG10" s="15"/>
      <c r="CH10" s="202"/>
      <c r="CI10" s="202"/>
      <c r="CJ10" s="202"/>
      <c r="CK10" s="202"/>
      <c r="CL10" s="16"/>
    </row>
    <row r="11" spans="1:92" ht="17.25" thickBot="1">
      <c r="A11" s="62"/>
      <c r="AG11" s="2"/>
      <c r="AH11" s="2"/>
      <c r="AI11" s="2"/>
      <c r="AJ11" s="2"/>
      <c r="AK11" s="2"/>
      <c r="AL11" s="2"/>
      <c r="AM11" s="2"/>
      <c r="AN11" s="174">
        <f>SUM(AN6:AN10)</f>
        <v>1</v>
      </c>
      <c r="AO11" s="175">
        <f>SUM(AO6:AO10)</f>
        <v>0</v>
      </c>
    </row>
    <row r="12" spans="1:92" ht="15.75">
      <c r="A12" s="62"/>
    </row>
    <row r="13" spans="1:92" ht="15.75" customHeight="1">
      <c r="A13" s="62"/>
    </row>
    <row r="14" spans="1:92" ht="15.75" customHeight="1">
      <c r="A14" s="62"/>
      <c r="L14" s="5"/>
      <c r="M14" s="5"/>
      <c r="N14" s="5"/>
    </row>
    <row r="15" spans="1:92" ht="15.75" customHeight="1">
      <c r="A15" s="62"/>
      <c r="L15" s="5"/>
      <c r="M15" s="5"/>
      <c r="N15" s="5"/>
      <c r="AD15" s="5"/>
    </row>
    <row r="16" spans="1:92" ht="15.75" customHeight="1" thickBot="1">
      <c r="A16" s="62"/>
      <c r="AD16" s="5"/>
    </row>
    <row r="17" spans="1:30" ht="15.75" customHeight="1" thickBot="1">
      <c r="A17" s="62"/>
      <c r="C17" s="1790" t="s">
        <v>51</v>
      </c>
      <c r="D17" s="1784"/>
      <c r="E17" s="1784"/>
      <c r="F17" s="1784"/>
      <c r="G17" s="1784"/>
      <c r="H17" s="1784"/>
      <c r="I17" s="1784"/>
      <c r="J17" s="1784"/>
      <c r="K17" s="1784"/>
      <c r="L17" s="1785"/>
      <c r="O17" s="1790" t="s">
        <v>59</v>
      </c>
      <c r="P17" s="1784"/>
      <c r="Q17" s="1784"/>
      <c r="R17" s="1784"/>
      <c r="S17" s="1784"/>
      <c r="T17" s="1784"/>
      <c r="U17" s="1784"/>
      <c r="V17" s="1784"/>
      <c r="W17" s="1784"/>
      <c r="X17" s="1785"/>
      <c r="AD17" s="5"/>
    </row>
    <row r="18" spans="1:30" ht="23.25" customHeight="1">
      <c r="A18" s="62"/>
      <c r="C18" s="39" t="s">
        <v>3</v>
      </c>
      <c r="D18" s="39"/>
      <c r="E18" s="39"/>
      <c r="F18" s="39"/>
      <c r="G18" s="39"/>
      <c r="H18" s="39"/>
      <c r="I18" s="39"/>
      <c r="J18" s="39"/>
      <c r="K18" s="39"/>
      <c r="L18" s="39"/>
      <c r="O18" s="39" t="s">
        <v>3</v>
      </c>
      <c r="P18" s="39"/>
      <c r="Q18" s="39"/>
      <c r="R18" s="39"/>
      <c r="S18" s="39"/>
      <c r="T18" s="39"/>
      <c r="U18" s="39"/>
      <c r="V18" s="39"/>
      <c r="W18" s="39"/>
      <c r="X18" s="39"/>
    </row>
    <row r="19" spans="1:30" ht="21.75" customHeight="1">
      <c r="A19" s="62"/>
    </row>
    <row r="20" spans="1:30" ht="15.75" customHeight="1">
      <c r="A20" s="62"/>
    </row>
    <row r="21" spans="1:30" ht="15.75" customHeight="1">
      <c r="A21" s="62"/>
    </row>
    <row r="22" spans="1:30" ht="15.75" customHeight="1">
      <c r="A22" s="62"/>
    </row>
    <row r="23" spans="1:30" ht="15.75" customHeight="1">
      <c r="A23" s="62"/>
    </row>
    <row r="24" spans="1:30" ht="15.75" customHeight="1">
      <c r="A24" s="62"/>
    </row>
    <row r="25" spans="1:30" ht="15.75" customHeight="1">
      <c r="A25" s="62"/>
    </row>
    <row r="26" spans="1:30" ht="15.75" customHeight="1">
      <c r="A26" s="62"/>
    </row>
    <row r="27" spans="1:30" ht="15.75" customHeight="1">
      <c r="A27" s="62"/>
    </row>
    <row r="28" spans="1:30" ht="15.75" customHeight="1">
      <c r="A28" s="62"/>
    </row>
    <row r="29" spans="1:30" ht="15.75" customHeight="1">
      <c r="A29" s="62"/>
    </row>
    <row r="30" spans="1:30" ht="15.75" customHeight="1">
      <c r="A30" s="62"/>
    </row>
    <row r="31" spans="1:30" ht="15.75" customHeight="1">
      <c r="A31" s="62"/>
    </row>
    <row r="32" spans="1:30" ht="23.25" customHeight="1">
      <c r="A32" s="62"/>
    </row>
    <row r="33" spans="1:1" ht="15.75" customHeight="1">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10">
    <mergeCell ref="C17:L17"/>
    <mergeCell ref="B3:K4"/>
    <mergeCell ref="AD3:AO4"/>
    <mergeCell ref="AQ3:BE4"/>
    <mergeCell ref="L3:AB4"/>
    <mergeCell ref="BG3:BU3"/>
    <mergeCell ref="BJ4:BO4"/>
    <mergeCell ref="BP4:BU4"/>
    <mergeCell ref="O17:X17"/>
    <mergeCell ref="BW4:CL4"/>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4337" r:id="rId4" name="Hide">
          <controlPr defaultSize="0" autoLine="0" r:id="rId5">
            <anchor moveWithCells="1">
              <from>
                <xdr:col>0</xdr:col>
                <xdr:colOff>0</xdr:colOff>
                <xdr:row>2</xdr:row>
                <xdr:rowOff>0</xdr:rowOff>
              </from>
              <to>
                <xdr:col>2</xdr:col>
                <xdr:colOff>200025</xdr:colOff>
                <xdr:row>3</xdr:row>
                <xdr:rowOff>47625</xdr:rowOff>
              </to>
            </anchor>
          </controlPr>
        </control>
      </mc:Choice>
      <mc:Fallback>
        <control shapeId="14337" r:id="rId4" name="Hide"/>
      </mc:Fallback>
    </mc:AlternateContent>
    <mc:AlternateContent xmlns:mc="http://schemas.openxmlformats.org/markup-compatibility/2006">
      <mc:Choice Requires="x14">
        <control shapeId="14338" r:id="rId6" name="Specs">
          <controlPr defaultSize="0" autoLine="0" r:id="rId7">
            <anchor moveWithCells="1">
              <from>
                <xdr:col>0</xdr:col>
                <xdr:colOff>0</xdr:colOff>
                <xdr:row>3</xdr:row>
                <xdr:rowOff>123825</xdr:rowOff>
              </from>
              <to>
                <xdr:col>2</xdr:col>
                <xdr:colOff>1238250</xdr:colOff>
                <xdr:row>4</xdr:row>
                <xdr:rowOff>180975</xdr:rowOff>
              </to>
            </anchor>
          </controlPr>
        </control>
      </mc:Choice>
      <mc:Fallback>
        <control shapeId="14338" r:id="rId6" name="Specs"/>
      </mc:Fallback>
    </mc:AlternateContent>
    <mc:AlternateContent xmlns:mc="http://schemas.openxmlformats.org/markup-compatibility/2006">
      <mc:Choice Requires="x14">
        <control shapeId="14339" r:id="rId8" name="Technical">
          <controlPr defaultSize="0" autoLine="0" r:id="rId9">
            <anchor moveWithCells="1">
              <from>
                <xdr:col>0</xdr:col>
                <xdr:colOff>0</xdr:colOff>
                <xdr:row>3</xdr:row>
                <xdr:rowOff>123825</xdr:rowOff>
              </from>
              <to>
                <xdr:col>2</xdr:col>
                <xdr:colOff>1238250</xdr:colOff>
                <xdr:row>4</xdr:row>
                <xdr:rowOff>180975</xdr:rowOff>
              </to>
            </anchor>
          </controlPr>
        </control>
      </mc:Choice>
      <mc:Fallback>
        <control shapeId="14339" r:id="rId8" name="Technical"/>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D4_PASC"/>
  <dimension ref="A1:CF56"/>
  <sheetViews>
    <sheetView zoomScale="80" zoomScaleNormal="80" workbookViewId="0">
      <pane xSplit="1" topLeftCell="B1" activePane="topRight" state="frozen"/>
      <selection pane="topRight" activeCell="O10" sqref="O10"/>
    </sheetView>
  </sheetViews>
  <sheetFormatPr defaultColWidth="9.140625" defaultRowHeight="15"/>
  <cols>
    <col min="1" max="1" width="55.7109375" style="1" hidden="1" customWidth="1"/>
    <col min="2" max="2" width="4.140625" style="1" bestFit="1" customWidth="1"/>
    <col min="3" max="3" width="15" style="1" bestFit="1" customWidth="1"/>
    <col min="4" max="4" width="14.42578125" style="1" customWidth="1"/>
    <col min="5" max="5" width="17.140625" style="1" customWidth="1"/>
    <col min="6" max="6" width="14.28515625" style="1" bestFit="1" customWidth="1"/>
    <col min="7" max="7" width="14.28515625" style="1" customWidth="1"/>
    <col min="8" max="9" width="8.140625" style="1" customWidth="1"/>
    <col min="10" max="10" width="13.28515625" style="1" customWidth="1"/>
    <col min="11" max="11" width="9.140625" style="1"/>
    <col min="12" max="14" width="14.140625" style="1" customWidth="1"/>
    <col min="15" max="15" width="9.140625" style="1"/>
    <col min="16" max="16" width="15" style="1" customWidth="1"/>
    <col min="17" max="18" width="9.140625" style="1" customWidth="1"/>
    <col min="19" max="20" width="15.42578125" style="1" customWidth="1"/>
    <col min="21" max="23" width="7.28515625" style="1" customWidth="1"/>
    <col min="24" max="24" width="9.85546875" style="1" customWidth="1"/>
    <col min="25" max="25" width="10.5703125" style="1" bestFit="1" customWidth="1"/>
    <col min="26" max="28" width="10.5703125" style="1" customWidth="1"/>
    <col min="29" max="29" width="3.85546875" style="1" customWidth="1"/>
    <col min="30" max="30" width="17.28515625" style="1" bestFit="1" customWidth="1"/>
    <col min="31" max="31" width="13.85546875" style="1" customWidth="1"/>
    <col min="32" max="32" width="10.5703125" style="1" bestFit="1" customWidth="1"/>
    <col min="33" max="33" width="14.42578125" style="1" customWidth="1"/>
    <col min="34" max="34" width="10" style="1" customWidth="1"/>
    <col min="35" max="35" width="11.5703125" style="1" bestFit="1" customWidth="1"/>
    <col min="36" max="41" width="9.140625" style="1"/>
    <col min="42" max="42" width="22.140625" style="1" bestFit="1" customWidth="1"/>
    <col min="43" max="66" width="9.140625" style="1"/>
    <col min="67" max="67" width="14.42578125" style="1" customWidth="1"/>
    <col min="68" max="68" width="12.42578125" style="1" customWidth="1"/>
    <col min="69" max="69" width="11.140625" style="1" customWidth="1"/>
    <col min="70" max="70" width="14.85546875" style="1" customWidth="1"/>
    <col min="71" max="71" width="13.28515625" style="1" customWidth="1"/>
    <col min="72" max="72" width="14.7109375" style="1" customWidth="1"/>
    <col min="73" max="73" width="9" style="1" customWidth="1"/>
    <col min="74" max="74" width="10.140625" style="1" bestFit="1" customWidth="1"/>
    <col min="75" max="75" width="14.140625" style="1" customWidth="1"/>
    <col min="76" max="76" width="12.7109375" style="1" bestFit="1" customWidth="1"/>
    <col min="77" max="77" width="13.42578125" style="1" bestFit="1" customWidth="1"/>
    <col min="78" max="78" width="8.140625" style="1" customWidth="1"/>
    <col min="79" max="16384" width="9.140625" style="1"/>
  </cols>
  <sheetData>
    <row r="1" spans="1:84" ht="15.75" hidden="1" customHeight="1" thickBot="1">
      <c r="A1" s="159" t="s">
        <v>394</v>
      </c>
      <c r="B1" s="160">
        <v>0</v>
      </c>
      <c r="C1" s="160">
        <v>1</v>
      </c>
      <c r="D1" s="160">
        <v>2</v>
      </c>
      <c r="E1" s="160">
        <v>3</v>
      </c>
      <c r="F1" s="160">
        <v>4</v>
      </c>
      <c r="G1" s="160">
        <v>0</v>
      </c>
      <c r="H1" s="160">
        <v>0</v>
      </c>
      <c r="I1" s="160">
        <v>0</v>
      </c>
      <c r="J1" s="160">
        <v>0</v>
      </c>
      <c r="K1" s="160">
        <v>5</v>
      </c>
      <c r="L1" s="160">
        <v>0</v>
      </c>
      <c r="M1" s="160">
        <v>0</v>
      </c>
      <c r="N1" s="160">
        <v>0</v>
      </c>
      <c r="O1" s="160">
        <v>0</v>
      </c>
      <c r="P1" s="160">
        <v>0</v>
      </c>
      <c r="Q1" s="160">
        <v>6</v>
      </c>
      <c r="R1" s="160">
        <v>0</v>
      </c>
      <c r="S1" s="160">
        <v>7</v>
      </c>
      <c r="T1" s="160">
        <v>0</v>
      </c>
      <c r="U1" s="160">
        <v>8</v>
      </c>
      <c r="V1" s="160"/>
      <c r="W1" s="160">
        <v>9</v>
      </c>
      <c r="X1" s="160">
        <v>10</v>
      </c>
      <c r="Y1" s="160">
        <v>11</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c r="BE1" s="160">
        <v>0</v>
      </c>
      <c r="BF1" s="160">
        <v>0</v>
      </c>
      <c r="BG1" s="160">
        <v>0</v>
      </c>
      <c r="BH1" s="160">
        <v>0</v>
      </c>
      <c r="BI1" s="160">
        <v>0</v>
      </c>
      <c r="BJ1" s="160">
        <v>0</v>
      </c>
      <c r="BK1" s="160">
        <v>0</v>
      </c>
      <c r="BL1" s="160">
        <v>0</v>
      </c>
      <c r="BM1" s="160">
        <v>0</v>
      </c>
      <c r="BN1" s="160">
        <v>0</v>
      </c>
      <c r="BO1" s="160">
        <v>0</v>
      </c>
      <c r="BP1" s="160">
        <v>0</v>
      </c>
      <c r="BQ1" s="160">
        <v>0</v>
      </c>
      <c r="BR1" s="160">
        <v>0</v>
      </c>
      <c r="BS1" s="160">
        <v>0</v>
      </c>
      <c r="BT1" s="160">
        <v>0</v>
      </c>
      <c r="BU1" s="160">
        <v>0</v>
      </c>
      <c r="BV1" s="160">
        <v>0</v>
      </c>
      <c r="BW1" s="160">
        <v>0</v>
      </c>
      <c r="BX1" s="160">
        <v>0</v>
      </c>
      <c r="BY1" s="160">
        <v>0</v>
      </c>
      <c r="BZ1" s="160">
        <v>0</v>
      </c>
      <c r="CA1" s="160">
        <v>0</v>
      </c>
      <c r="CB1" s="160">
        <v>0</v>
      </c>
      <c r="CC1" s="160">
        <v>0</v>
      </c>
      <c r="CD1" s="160">
        <v>0</v>
      </c>
      <c r="CE1" s="160">
        <v>0</v>
      </c>
      <c r="CF1" s="160">
        <v>0</v>
      </c>
    </row>
    <row r="2" spans="1:84" ht="14.25" hidden="1" customHeight="1" thickBot="1">
      <c r="A2" s="62"/>
      <c r="B2" s="1">
        <v>0</v>
      </c>
      <c r="C2" s="1" t="s">
        <v>427</v>
      </c>
      <c r="D2" s="1" t="s">
        <v>428</v>
      </c>
      <c r="E2" s="1" t="s">
        <v>426</v>
      </c>
      <c r="F2" s="1" t="s">
        <v>2098</v>
      </c>
      <c r="G2" s="1" t="s">
        <v>2099</v>
      </c>
      <c r="H2" s="1" t="s">
        <v>2116</v>
      </c>
      <c r="I2" s="1" t="s">
        <v>2117</v>
      </c>
      <c r="J2" s="1" t="s">
        <v>2120</v>
      </c>
      <c r="K2" s="1" t="s">
        <v>2104</v>
      </c>
      <c r="L2" s="1">
        <v>0</v>
      </c>
      <c r="M2" s="1">
        <v>0</v>
      </c>
      <c r="N2" s="1">
        <v>0</v>
      </c>
      <c r="O2" s="1">
        <v>0</v>
      </c>
      <c r="P2" s="1" t="s">
        <v>1335</v>
      </c>
      <c r="Q2" s="1" t="s">
        <v>578</v>
      </c>
      <c r="R2" s="1" t="s">
        <v>1331</v>
      </c>
      <c r="S2" s="1" t="s">
        <v>579</v>
      </c>
      <c r="T2" s="1" t="s">
        <v>1333</v>
      </c>
      <c r="U2" s="1">
        <v>0</v>
      </c>
      <c r="V2" s="1">
        <v>0</v>
      </c>
      <c r="W2" s="1">
        <v>0</v>
      </c>
      <c r="X2" s="1">
        <v>0</v>
      </c>
      <c r="Y2" s="1">
        <v>0</v>
      </c>
      <c r="Z2" s="1">
        <v>0</v>
      </c>
      <c r="AA2" s="1">
        <v>0</v>
      </c>
      <c r="AB2" s="1">
        <v>0</v>
      </c>
      <c r="AC2" s="1">
        <v>0</v>
      </c>
      <c r="AD2" s="1">
        <v>0</v>
      </c>
      <c r="AE2" s="1">
        <v>0</v>
      </c>
      <c r="AF2" s="1">
        <v>0</v>
      </c>
      <c r="AG2" s="1">
        <v>0</v>
      </c>
      <c r="AH2" s="1">
        <v>0</v>
      </c>
      <c r="AI2" s="1" t="s">
        <v>2102</v>
      </c>
      <c r="AJ2" s="1" t="s">
        <v>2100</v>
      </c>
      <c r="AK2" s="1" t="s">
        <v>2101</v>
      </c>
      <c r="AL2" s="1">
        <v>0</v>
      </c>
      <c r="AM2" s="1">
        <v>0</v>
      </c>
      <c r="AN2" s="1">
        <v>0</v>
      </c>
      <c r="AO2" s="1">
        <v>0</v>
      </c>
      <c r="AP2" s="1">
        <v>0</v>
      </c>
      <c r="AQ2" s="1">
        <v>0</v>
      </c>
      <c r="AR2" s="1">
        <v>0</v>
      </c>
      <c r="AS2" s="1">
        <v>0</v>
      </c>
      <c r="AT2" s="1">
        <v>0</v>
      </c>
      <c r="AU2" s="1">
        <v>0</v>
      </c>
      <c r="AV2" s="1">
        <v>0</v>
      </c>
      <c r="AW2" s="1">
        <v>0</v>
      </c>
      <c r="AX2" s="1">
        <v>0</v>
      </c>
      <c r="AY2" s="1" t="s">
        <v>570</v>
      </c>
      <c r="AZ2" s="1" t="s">
        <v>571</v>
      </c>
      <c r="BA2" s="1">
        <v>0</v>
      </c>
      <c r="BB2" s="1">
        <v>0</v>
      </c>
      <c r="BC2" s="1">
        <v>0</v>
      </c>
      <c r="BD2" s="1">
        <v>0</v>
      </c>
      <c r="BE2" s="1" t="s">
        <v>39</v>
      </c>
      <c r="BF2" s="1" t="s">
        <v>40</v>
      </c>
      <c r="BG2" s="1" t="s">
        <v>38</v>
      </c>
      <c r="BH2" s="1" t="s">
        <v>645</v>
      </c>
      <c r="BI2" s="1" t="s">
        <v>2136</v>
      </c>
      <c r="BJ2" s="1" t="s">
        <v>41</v>
      </c>
      <c r="BK2" s="1">
        <v>0</v>
      </c>
      <c r="BL2" s="1">
        <v>0</v>
      </c>
      <c r="BM2" s="1">
        <v>0</v>
      </c>
      <c r="BN2" s="1">
        <v>0</v>
      </c>
      <c r="BO2" s="1" t="s">
        <v>619</v>
      </c>
      <c r="BP2" s="1" t="s">
        <v>613</v>
      </c>
      <c r="BQ2" s="1" t="s">
        <v>615</v>
      </c>
      <c r="BR2" s="1" t="s">
        <v>614</v>
      </c>
      <c r="BS2" s="1" t="s">
        <v>616</v>
      </c>
      <c r="BT2" s="1" t="s">
        <v>617</v>
      </c>
      <c r="BU2" s="1" t="s">
        <v>618</v>
      </c>
      <c r="BV2" s="1" t="s">
        <v>2122</v>
      </c>
      <c r="BW2" s="1" t="s">
        <v>2123</v>
      </c>
      <c r="BX2" s="1" t="s">
        <v>2126</v>
      </c>
      <c r="BY2" s="1" t="s">
        <v>2128</v>
      </c>
      <c r="BZ2" s="1" t="s">
        <v>1343</v>
      </c>
      <c r="CA2" s="1">
        <v>0</v>
      </c>
      <c r="CB2" s="1">
        <v>0</v>
      </c>
      <c r="CC2" s="1">
        <v>0</v>
      </c>
      <c r="CD2" s="1">
        <v>0</v>
      </c>
      <c r="CE2" s="1">
        <v>0</v>
      </c>
      <c r="CF2" s="1">
        <v>0</v>
      </c>
    </row>
    <row r="3" spans="1:84" s="7" customFormat="1" ht="19.5" customHeight="1" thickTop="1" thickBot="1">
      <c r="A3" s="60" t="s">
        <v>80</v>
      </c>
      <c r="B3" s="1813" t="s">
        <v>21</v>
      </c>
      <c r="C3" s="1814"/>
      <c r="D3" s="1814"/>
      <c r="E3" s="1814"/>
      <c r="F3" s="1814"/>
      <c r="G3" s="1815"/>
      <c r="H3" s="1815"/>
      <c r="I3" s="1815"/>
      <c r="J3" s="1815"/>
      <c r="K3" s="1816"/>
      <c r="L3" s="1817" t="s">
        <v>17</v>
      </c>
      <c r="M3" s="1818"/>
      <c r="N3" s="1818"/>
      <c r="O3" s="1818"/>
      <c r="P3" s="1818"/>
      <c r="Q3" s="1818"/>
      <c r="R3" s="1818"/>
      <c r="S3" s="1818"/>
      <c r="T3" s="1818"/>
      <c r="U3" s="1818"/>
      <c r="V3" s="1818"/>
      <c r="W3" s="1818"/>
      <c r="X3" s="1818"/>
      <c r="Y3" s="1818"/>
      <c r="Z3" s="1818"/>
      <c r="AA3" s="1818"/>
      <c r="AB3" s="1819"/>
      <c r="AC3" s="68"/>
      <c r="AD3" s="1811" t="s">
        <v>24</v>
      </c>
      <c r="AE3" s="1811"/>
      <c r="AF3" s="1811"/>
      <c r="AG3" s="1811"/>
      <c r="AH3" s="1811"/>
      <c r="AI3" s="1811"/>
      <c r="AJ3" s="1811"/>
      <c r="AK3" s="1812"/>
      <c r="AM3" s="1780" t="s">
        <v>43</v>
      </c>
      <c r="AN3" s="1781"/>
      <c r="AO3" s="1781"/>
      <c r="AP3" s="1781"/>
      <c r="AQ3" s="1781"/>
      <c r="AR3" s="1781"/>
      <c r="AS3" s="1781"/>
      <c r="AT3" s="1781"/>
      <c r="AU3" s="1781"/>
      <c r="AV3" s="1781"/>
      <c r="AW3" s="1781"/>
      <c r="AX3" s="1781"/>
      <c r="AY3" s="1781"/>
      <c r="AZ3" s="1782"/>
      <c r="BB3" s="1780" t="s">
        <v>42</v>
      </c>
      <c r="BC3" s="1781"/>
      <c r="BD3" s="1781"/>
      <c r="BE3" s="1781"/>
      <c r="BF3" s="1781"/>
      <c r="BG3" s="1781"/>
      <c r="BH3" s="1781"/>
      <c r="BI3" s="1781"/>
      <c r="BJ3" s="1782"/>
      <c r="BL3" s="1780" t="s">
        <v>2131</v>
      </c>
      <c r="BM3" s="1781"/>
      <c r="BN3" s="1781"/>
      <c r="BO3" s="1781"/>
      <c r="BP3" s="1781"/>
      <c r="BQ3" s="1781"/>
      <c r="BR3" s="1781"/>
      <c r="BS3" s="1781"/>
      <c r="BT3" s="1781"/>
      <c r="BU3" s="1781"/>
      <c r="BV3" s="1781"/>
      <c r="BW3" s="1781"/>
      <c r="BX3" s="1781"/>
      <c r="BY3" s="1781"/>
      <c r="BZ3" s="1782"/>
    </row>
    <row r="4" spans="1:84" s="7" customFormat="1" ht="37.5" customHeight="1" thickTop="1">
      <c r="A4" s="61"/>
      <c r="B4" s="90" t="s">
        <v>2</v>
      </c>
      <c r="C4" s="79" t="s">
        <v>3</v>
      </c>
      <c r="D4" s="79" t="s">
        <v>0</v>
      </c>
      <c r="E4" s="79" t="s">
        <v>81</v>
      </c>
      <c r="F4" s="79" t="s">
        <v>87</v>
      </c>
      <c r="G4" s="79" t="s">
        <v>582</v>
      </c>
      <c r="H4" s="92" t="s">
        <v>583</v>
      </c>
      <c r="I4" s="92" t="s">
        <v>584</v>
      </c>
      <c r="J4" s="92" t="s">
        <v>2121</v>
      </c>
      <c r="K4" s="80" t="s">
        <v>14</v>
      </c>
      <c r="L4" s="83" t="s">
        <v>595</v>
      </c>
      <c r="M4" s="83" t="s">
        <v>596</v>
      </c>
      <c r="N4" s="83" t="s">
        <v>598</v>
      </c>
      <c r="O4" s="83" t="s">
        <v>606</v>
      </c>
      <c r="P4" s="82" t="s">
        <v>1336</v>
      </c>
      <c r="Q4" s="83" t="s">
        <v>593</v>
      </c>
      <c r="R4" s="83" t="s">
        <v>2137</v>
      </c>
      <c r="S4" s="83" t="s">
        <v>594</v>
      </c>
      <c r="T4" s="83" t="s">
        <v>1334</v>
      </c>
      <c r="U4" s="101" t="s">
        <v>604</v>
      </c>
      <c r="V4" s="83" t="s">
        <v>605</v>
      </c>
      <c r="W4" s="82" t="s">
        <v>601</v>
      </c>
      <c r="X4" s="83" t="s">
        <v>19</v>
      </c>
      <c r="Y4" s="83" t="s">
        <v>590</v>
      </c>
      <c r="Z4" s="82" t="s">
        <v>602</v>
      </c>
      <c r="AA4" s="83" t="s">
        <v>591</v>
      </c>
      <c r="AB4" s="83" t="s">
        <v>603</v>
      </c>
      <c r="AC4" s="69"/>
      <c r="AD4" s="85" t="s">
        <v>56</v>
      </c>
      <c r="AE4" s="86" t="s">
        <v>55</v>
      </c>
      <c r="AF4" s="87" t="s">
        <v>26</v>
      </c>
      <c r="AG4" s="88" t="s">
        <v>11</v>
      </c>
      <c r="AH4" s="88" t="s">
        <v>15</v>
      </c>
      <c r="AI4" s="88" t="s">
        <v>2490</v>
      </c>
      <c r="AJ4" s="88" t="s">
        <v>5</v>
      </c>
      <c r="AK4" s="89" t="s">
        <v>2491</v>
      </c>
      <c r="AM4" s="52" t="str">
        <f t="shared" ref="AM4:AP9" si="0">B4</f>
        <v>No.</v>
      </c>
      <c r="AN4" s="53" t="str">
        <f t="shared" si="0"/>
        <v>Ref.</v>
      </c>
      <c r="AO4" s="53" t="str">
        <f t="shared" si="0"/>
        <v>Model</v>
      </c>
      <c r="AP4" s="238" t="str">
        <f t="shared" si="0"/>
        <v>Supply Flow Rate
 CFM</v>
      </c>
      <c r="AQ4" s="241" t="str">
        <f>V4</f>
        <v>ESP
(inwg)</v>
      </c>
      <c r="AR4" s="54" t="s">
        <v>31</v>
      </c>
      <c r="AS4" s="53" t="s">
        <v>30</v>
      </c>
      <c r="AT4" s="53" t="s">
        <v>32</v>
      </c>
      <c r="AU4" s="53" t="s">
        <v>33</v>
      </c>
      <c r="AV4" s="53" t="s">
        <v>34</v>
      </c>
      <c r="AW4" s="53" t="s">
        <v>8</v>
      </c>
      <c r="AX4" s="53" t="s">
        <v>36</v>
      </c>
      <c r="AY4" s="235" t="s">
        <v>637</v>
      </c>
      <c r="AZ4" s="236" t="s">
        <v>2139</v>
      </c>
      <c r="BB4" s="48" t="str">
        <f t="shared" ref="BB4:BD9" si="1">B4</f>
        <v>No.</v>
      </c>
      <c r="BC4" s="49" t="str">
        <f t="shared" si="1"/>
        <v>Ref.</v>
      </c>
      <c r="BD4" s="49" t="str">
        <f t="shared" si="1"/>
        <v>Model</v>
      </c>
      <c r="BE4" s="49" t="s">
        <v>39</v>
      </c>
      <c r="BF4" s="50" t="s">
        <v>40</v>
      </c>
      <c r="BG4" s="50" t="s">
        <v>38</v>
      </c>
      <c r="BH4" s="243" t="s">
        <v>645</v>
      </c>
      <c r="BI4" s="243" t="s">
        <v>2136</v>
      </c>
      <c r="BJ4" s="51" t="s">
        <v>41</v>
      </c>
      <c r="BL4" s="228" t="str">
        <f t="shared" ref="BL4:BN5" si="2">BB4</f>
        <v>No.</v>
      </c>
      <c r="BM4" s="234" t="str">
        <f t="shared" si="2"/>
        <v>Ref.</v>
      </c>
      <c r="BN4" s="234" t="str">
        <f t="shared" si="2"/>
        <v>Model</v>
      </c>
      <c r="BO4" s="234" t="s">
        <v>621</v>
      </c>
      <c r="BP4" s="234" t="s">
        <v>580</v>
      </c>
      <c r="BQ4" s="234" t="s">
        <v>1329</v>
      </c>
      <c r="BR4" s="234" t="s">
        <v>581</v>
      </c>
      <c r="BS4" s="234" t="s">
        <v>1330</v>
      </c>
      <c r="BT4" s="239" t="s">
        <v>620</v>
      </c>
      <c r="BU4" s="234" t="s">
        <v>5</v>
      </c>
      <c r="BV4" s="239" t="s">
        <v>2130</v>
      </c>
      <c r="BW4" s="239" t="s">
        <v>2129</v>
      </c>
      <c r="BX4" s="239" t="s">
        <v>2125</v>
      </c>
      <c r="BY4" s="239" t="s">
        <v>2127</v>
      </c>
      <c r="BZ4" s="757" t="s">
        <v>1328</v>
      </c>
    </row>
    <row r="5" spans="1:84" s="7" customFormat="1" ht="16.5">
      <c r="A5" s="62"/>
      <c r="B5" s="24">
        <v>1</v>
      </c>
      <c r="C5" s="25" t="s">
        <v>2840</v>
      </c>
      <c r="D5" s="22" t="s">
        <v>2840</v>
      </c>
      <c r="E5" s="22">
        <f>O5*2.1191</f>
        <v>0</v>
      </c>
      <c r="F5" s="22" t="s">
        <v>2840</v>
      </c>
      <c r="G5" s="93"/>
      <c r="H5" s="93"/>
      <c r="I5" s="93"/>
      <c r="J5" s="93"/>
      <c r="K5" s="107"/>
      <c r="L5" s="26"/>
      <c r="M5" s="26">
        <f>L5*3412</f>
        <v>0</v>
      </c>
      <c r="N5" s="26"/>
      <c r="O5" s="8"/>
      <c r="P5" s="8"/>
      <c r="Q5" s="8"/>
      <c r="R5" s="8"/>
      <c r="S5" s="8"/>
      <c r="T5" s="8"/>
      <c r="U5" s="8"/>
      <c r="V5" s="119">
        <f>U5/249</f>
        <v>0</v>
      </c>
      <c r="W5" s="8"/>
      <c r="X5" s="8"/>
      <c r="Y5" s="8"/>
      <c r="Z5" s="210">
        <f>W5*1.8+32</f>
        <v>32</v>
      </c>
      <c r="AA5" s="210">
        <f>X5*1.8+32</f>
        <v>32</v>
      </c>
      <c r="AB5" s="210">
        <f>Y5*1.8+32</f>
        <v>32</v>
      </c>
      <c r="AC5" s="69"/>
      <c r="AD5" s="43"/>
      <c r="AE5" s="9"/>
      <c r="AF5" s="9">
        <f>SUM(AD5:AE5)</f>
        <v>0</v>
      </c>
      <c r="AG5" s="22">
        <f>AF5*3.75</f>
        <v>0</v>
      </c>
      <c r="AH5" s="22">
        <f>AG5*1.25</f>
        <v>0</v>
      </c>
      <c r="AI5" s="22">
        <f>CEILING(AH5,5)</f>
        <v>0</v>
      </c>
      <c r="AJ5" s="22"/>
      <c r="AK5" s="23">
        <f>AJ5*AI5</f>
        <v>0</v>
      </c>
      <c r="AM5" s="12">
        <f t="shared" si="0"/>
        <v>1</v>
      </c>
      <c r="AN5" s="8" t="str">
        <f t="shared" si="0"/>
        <v>XX</v>
      </c>
      <c r="AO5" s="8" t="str">
        <f t="shared" si="0"/>
        <v>XX</v>
      </c>
      <c r="AP5" s="8">
        <f t="shared" si="0"/>
        <v>0</v>
      </c>
      <c r="AQ5" s="118">
        <f t="shared" ref="AQ5:AQ9" si="3">V5</f>
        <v>0</v>
      </c>
      <c r="AR5" s="118"/>
      <c r="AS5" s="119"/>
      <c r="AT5" s="119"/>
      <c r="AU5" s="119"/>
      <c r="AV5" s="119"/>
      <c r="AW5" s="119">
        <f>SUM(AQ5:AV5)</f>
        <v>0</v>
      </c>
      <c r="AX5" s="8"/>
      <c r="AY5" s="201"/>
      <c r="AZ5" s="13"/>
      <c r="BB5" s="12">
        <f t="shared" si="1"/>
        <v>1</v>
      </c>
      <c r="BC5" s="8" t="str">
        <f t="shared" si="1"/>
        <v>XX</v>
      </c>
      <c r="BD5" s="8" t="str">
        <f t="shared" si="1"/>
        <v>XX</v>
      </c>
      <c r="BE5" s="210"/>
      <c r="BF5" s="223"/>
      <c r="BG5" s="223"/>
      <c r="BH5" s="226"/>
      <c r="BI5" s="226"/>
      <c r="BJ5" s="213"/>
      <c r="BL5" s="12">
        <f t="shared" si="2"/>
        <v>1</v>
      </c>
      <c r="BM5" s="8" t="str">
        <f t="shared" si="2"/>
        <v>XX</v>
      </c>
      <c r="BN5" s="8" t="str">
        <f t="shared" si="2"/>
        <v>XX</v>
      </c>
      <c r="BO5" s="742"/>
      <c r="BP5" s="749"/>
      <c r="BQ5" s="752"/>
      <c r="BR5" s="223"/>
      <c r="BS5" s="210"/>
      <c r="BT5" s="745"/>
      <c r="BU5" s="745"/>
      <c r="BV5" s="742"/>
      <c r="BW5" s="742"/>
      <c r="BX5" s="742"/>
      <c r="BY5" s="742"/>
      <c r="BZ5" s="758"/>
    </row>
    <row r="6" spans="1:84" s="7" customFormat="1" ht="16.5">
      <c r="A6" s="62"/>
      <c r="B6" s="12">
        <v>2</v>
      </c>
      <c r="C6" s="25"/>
      <c r="D6" s="22"/>
      <c r="E6" s="22">
        <f>O6*2.1191</f>
        <v>0</v>
      </c>
      <c r="F6" s="9"/>
      <c r="G6" s="170"/>
      <c r="H6" s="170"/>
      <c r="I6" s="170"/>
      <c r="J6" s="170"/>
      <c r="K6" s="108"/>
      <c r="L6" s="26"/>
      <c r="M6" s="26">
        <f>L6*3412</f>
        <v>0</v>
      </c>
      <c r="N6" s="26"/>
      <c r="O6" s="8"/>
      <c r="P6" s="8"/>
      <c r="Q6" s="8"/>
      <c r="R6" s="8"/>
      <c r="S6" s="8"/>
      <c r="T6" s="8"/>
      <c r="U6" s="8"/>
      <c r="V6" s="119">
        <f>U6/249</f>
        <v>0</v>
      </c>
      <c r="W6" s="8"/>
      <c r="X6" s="8"/>
      <c r="Y6" s="8"/>
      <c r="Z6" s="210">
        <f t="shared" ref="Z6:AB9" si="4">W6*1.8+32</f>
        <v>32</v>
      </c>
      <c r="AA6" s="210">
        <f t="shared" si="4"/>
        <v>32</v>
      </c>
      <c r="AB6" s="210">
        <f t="shared" si="4"/>
        <v>32</v>
      </c>
      <c r="AC6" s="69"/>
      <c r="AD6" s="43"/>
      <c r="AE6" s="9"/>
      <c r="AF6" s="9">
        <f>SUM(AD6:AE6)</f>
        <v>0</v>
      </c>
      <c r="AG6" s="9">
        <f>AF6*3.75</f>
        <v>0</v>
      </c>
      <c r="AH6" s="9">
        <f>AG6*1.25</f>
        <v>0</v>
      </c>
      <c r="AI6" s="9">
        <f>CEILING(AH6,5)</f>
        <v>0</v>
      </c>
      <c r="AJ6" s="9"/>
      <c r="AK6" s="10">
        <f>AJ6*AI6</f>
        <v>0</v>
      </c>
      <c r="AM6" s="12">
        <f t="shared" si="0"/>
        <v>2</v>
      </c>
      <c r="AN6" s="8">
        <f t="shared" si="0"/>
        <v>0</v>
      </c>
      <c r="AO6" s="8">
        <f t="shared" si="0"/>
        <v>0</v>
      </c>
      <c r="AP6" s="8">
        <f t="shared" si="0"/>
        <v>0</v>
      </c>
      <c r="AQ6" s="118">
        <f t="shared" si="3"/>
        <v>0</v>
      </c>
      <c r="AR6" s="118"/>
      <c r="AS6" s="119"/>
      <c r="AT6" s="119"/>
      <c r="AU6" s="119"/>
      <c r="AV6" s="119"/>
      <c r="AW6" s="119">
        <f>SUM(AQ6:AV6)</f>
        <v>0</v>
      </c>
      <c r="AX6" s="8"/>
      <c r="AY6" s="201"/>
      <c r="AZ6" s="13"/>
      <c r="BB6" s="12">
        <f t="shared" si="1"/>
        <v>2</v>
      </c>
      <c r="BC6" s="8">
        <f t="shared" si="1"/>
        <v>0</v>
      </c>
      <c r="BD6" s="8">
        <f t="shared" si="1"/>
        <v>0</v>
      </c>
      <c r="BE6" s="210"/>
      <c r="BF6" s="223"/>
      <c r="BG6" s="223"/>
      <c r="BH6" s="226"/>
      <c r="BI6" s="226"/>
      <c r="BJ6" s="213"/>
      <c r="BL6" s="12">
        <f t="shared" ref="BL6:BL9" si="5">BB6</f>
        <v>2</v>
      </c>
      <c r="BM6" s="8">
        <f t="shared" ref="BM6:BM9" si="6">BC6</f>
        <v>0</v>
      </c>
      <c r="BN6" s="8">
        <f t="shared" ref="BN6:BN9" si="7">BD6</f>
        <v>0</v>
      </c>
      <c r="BO6" s="742"/>
      <c r="BP6" s="749"/>
      <c r="BQ6" s="752"/>
      <c r="BR6" s="223"/>
      <c r="BS6" s="210"/>
      <c r="BT6" s="745"/>
      <c r="BU6" s="745"/>
      <c r="BV6" s="742"/>
      <c r="BW6" s="742"/>
      <c r="BX6" s="742"/>
      <c r="BY6" s="742"/>
      <c r="BZ6" s="758"/>
    </row>
    <row r="7" spans="1:84" s="7" customFormat="1" ht="16.5">
      <c r="A7" s="62"/>
      <c r="B7" s="12">
        <v>3</v>
      </c>
      <c r="C7" s="25"/>
      <c r="D7" s="22"/>
      <c r="E7" s="22">
        <f>O7*2.1191</f>
        <v>0</v>
      </c>
      <c r="F7" s="9"/>
      <c r="G7" s="170"/>
      <c r="H7" s="170"/>
      <c r="I7" s="170"/>
      <c r="J7" s="170"/>
      <c r="K7" s="108"/>
      <c r="L7" s="26"/>
      <c r="M7" s="26">
        <f>L7*3412</f>
        <v>0</v>
      </c>
      <c r="N7" s="26"/>
      <c r="O7" s="8"/>
      <c r="P7" s="8"/>
      <c r="Q7" s="8"/>
      <c r="R7" s="8"/>
      <c r="S7" s="8"/>
      <c r="T7" s="8"/>
      <c r="U7" s="8"/>
      <c r="V7" s="119">
        <f>U7/249</f>
        <v>0</v>
      </c>
      <c r="W7" s="8"/>
      <c r="X7" s="8"/>
      <c r="Y7" s="8"/>
      <c r="Z7" s="210">
        <f t="shared" si="4"/>
        <v>32</v>
      </c>
      <c r="AA7" s="210">
        <f t="shared" si="4"/>
        <v>32</v>
      </c>
      <c r="AB7" s="210">
        <f t="shared" si="4"/>
        <v>32</v>
      </c>
      <c r="AC7" s="69"/>
      <c r="AD7" s="43"/>
      <c r="AE7" s="9"/>
      <c r="AF7" s="9">
        <f>SUM(AD7:AE7)</f>
        <v>0</v>
      </c>
      <c r="AG7" s="9">
        <f>AF7*3.75</f>
        <v>0</v>
      </c>
      <c r="AH7" s="9">
        <f>AG7*1.25</f>
        <v>0</v>
      </c>
      <c r="AI7" s="9">
        <f>CEILING(AH7,5)</f>
        <v>0</v>
      </c>
      <c r="AJ7" s="9"/>
      <c r="AK7" s="10">
        <f>AJ7*AI7</f>
        <v>0</v>
      </c>
      <c r="AM7" s="12">
        <f t="shared" si="0"/>
        <v>3</v>
      </c>
      <c r="AN7" s="8">
        <f t="shared" si="0"/>
        <v>0</v>
      </c>
      <c r="AO7" s="8">
        <f t="shared" si="0"/>
        <v>0</v>
      </c>
      <c r="AP7" s="8">
        <f t="shared" si="0"/>
        <v>0</v>
      </c>
      <c r="AQ7" s="118">
        <f t="shared" si="3"/>
        <v>0</v>
      </c>
      <c r="AR7" s="118"/>
      <c r="AS7" s="119"/>
      <c r="AT7" s="119"/>
      <c r="AU7" s="119"/>
      <c r="AV7" s="119"/>
      <c r="AW7" s="119">
        <f>SUM(AQ7:AV7)</f>
        <v>0</v>
      </c>
      <c r="AX7" s="8"/>
      <c r="AY7" s="201"/>
      <c r="AZ7" s="13"/>
      <c r="BB7" s="12">
        <f t="shared" si="1"/>
        <v>3</v>
      </c>
      <c r="BC7" s="8">
        <f t="shared" si="1"/>
        <v>0</v>
      </c>
      <c r="BD7" s="8">
        <f t="shared" si="1"/>
        <v>0</v>
      </c>
      <c r="BE7" s="210"/>
      <c r="BF7" s="223"/>
      <c r="BG7" s="223"/>
      <c r="BH7" s="226"/>
      <c r="BI7" s="226"/>
      <c r="BJ7" s="213"/>
      <c r="BL7" s="12">
        <f t="shared" si="5"/>
        <v>3</v>
      </c>
      <c r="BM7" s="8">
        <f t="shared" si="6"/>
        <v>0</v>
      </c>
      <c r="BN7" s="8">
        <f t="shared" si="7"/>
        <v>0</v>
      </c>
      <c r="BO7" s="742"/>
      <c r="BP7" s="749"/>
      <c r="BQ7" s="752"/>
      <c r="BR7" s="223"/>
      <c r="BS7" s="210"/>
      <c r="BT7" s="745"/>
      <c r="BU7" s="745"/>
      <c r="BV7" s="742"/>
      <c r="BW7" s="742"/>
      <c r="BX7" s="742"/>
      <c r="BY7" s="742"/>
      <c r="BZ7" s="758"/>
    </row>
    <row r="8" spans="1:84" s="7" customFormat="1" ht="16.5">
      <c r="A8" s="62"/>
      <c r="B8" s="12">
        <v>4</v>
      </c>
      <c r="C8" s="25"/>
      <c r="D8" s="22"/>
      <c r="E8" s="22">
        <f>O8*2.1191</f>
        <v>0</v>
      </c>
      <c r="F8" s="9"/>
      <c r="G8" s="170"/>
      <c r="H8" s="170"/>
      <c r="I8" s="170"/>
      <c r="J8" s="170"/>
      <c r="K8" s="108"/>
      <c r="L8" s="26"/>
      <c r="M8" s="26">
        <f>L8*3412</f>
        <v>0</v>
      </c>
      <c r="N8" s="26"/>
      <c r="O8" s="8"/>
      <c r="P8" s="8"/>
      <c r="Q8" s="8"/>
      <c r="R8" s="8"/>
      <c r="S8" s="8"/>
      <c r="T8" s="8"/>
      <c r="U8" s="8"/>
      <c r="V8" s="119">
        <f>U8/249</f>
        <v>0</v>
      </c>
      <c r="W8" s="8"/>
      <c r="X8" s="8"/>
      <c r="Y8" s="8"/>
      <c r="Z8" s="210">
        <f t="shared" si="4"/>
        <v>32</v>
      </c>
      <c r="AA8" s="210">
        <f t="shared" si="4"/>
        <v>32</v>
      </c>
      <c r="AB8" s="210">
        <f t="shared" si="4"/>
        <v>32</v>
      </c>
      <c r="AC8" s="69"/>
      <c r="AD8" s="43"/>
      <c r="AE8" s="9"/>
      <c r="AF8" s="9">
        <f>SUM(AD8:AE8)</f>
        <v>0</v>
      </c>
      <c r="AG8" s="9">
        <f>AF8*3.75</f>
        <v>0</v>
      </c>
      <c r="AH8" s="9">
        <f>AG8*1.25</f>
        <v>0</v>
      </c>
      <c r="AI8" s="9">
        <f>CEILING(AH8,5)</f>
        <v>0</v>
      </c>
      <c r="AJ8" s="9"/>
      <c r="AK8" s="10">
        <f>AJ8*AI8</f>
        <v>0</v>
      </c>
      <c r="AM8" s="12">
        <f t="shared" si="0"/>
        <v>4</v>
      </c>
      <c r="AN8" s="8">
        <f t="shared" si="0"/>
        <v>0</v>
      </c>
      <c r="AO8" s="8">
        <f t="shared" si="0"/>
        <v>0</v>
      </c>
      <c r="AP8" s="8">
        <f t="shared" si="0"/>
        <v>0</v>
      </c>
      <c r="AQ8" s="118">
        <f t="shared" si="3"/>
        <v>0</v>
      </c>
      <c r="AR8" s="118"/>
      <c r="AS8" s="119"/>
      <c r="AT8" s="119"/>
      <c r="AU8" s="119"/>
      <c r="AV8" s="119"/>
      <c r="AW8" s="119">
        <f>SUM(AQ8:AV8)</f>
        <v>0</v>
      </c>
      <c r="AX8" s="8"/>
      <c r="AY8" s="201"/>
      <c r="AZ8" s="13"/>
      <c r="BB8" s="12">
        <f t="shared" si="1"/>
        <v>4</v>
      </c>
      <c r="BC8" s="8">
        <f t="shared" si="1"/>
        <v>0</v>
      </c>
      <c r="BD8" s="8">
        <f t="shared" si="1"/>
        <v>0</v>
      </c>
      <c r="BE8" s="210"/>
      <c r="BF8" s="223"/>
      <c r="BG8" s="223"/>
      <c r="BH8" s="226"/>
      <c r="BI8" s="226"/>
      <c r="BJ8" s="213"/>
      <c r="BL8" s="12">
        <f t="shared" si="5"/>
        <v>4</v>
      </c>
      <c r="BM8" s="8">
        <f t="shared" si="6"/>
        <v>0</v>
      </c>
      <c r="BN8" s="8">
        <f t="shared" si="7"/>
        <v>0</v>
      </c>
      <c r="BO8" s="742"/>
      <c r="BP8" s="749"/>
      <c r="BQ8" s="752"/>
      <c r="BR8" s="223"/>
      <c r="BS8" s="210"/>
      <c r="BT8" s="745"/>
      <c r="BU8" s="745"/>
      <c r="BV8" s="742"/>
      <c r="BW8" s="742"/>
      <c r="BX8" s="742"/>
      <c r="BY8" s="742"/>
      <c r="BZ8" s="758"/>
    </row>
    <row r="9" spans="1:84" s="7" customFormat="1" ht="15.75" customHeight="1" thickBot="1">
      <c r="A9" s="62"/>
      <c r="B9" s="38">
        <v>5</v>
      </c>
      <c r="C9" s="17"/>
      <c r="D9" s="18"/>
      <c r="E9" s="18">
        <f>O9*2.1191</f>
        <v>0</v>
      </c>
      <c r="F9" s="18"/>
      <c r="G9" s="171"/>
      <c r="H9" s="171"/>
      <c r="I9" s="171"/>
      <c r="J9" s="171"/>
      <c r="K9" s="109"/>
      <c r="L9" s="27"/>
      <c r="M9" s="27">
        <f>L9*3412</f>
        <v>0</v>
      </c>
      <c r="N9" s="27"/>
      <c r="O9" s="15"/>
      <c r="P9" s="15"/>
      <c r="Q9" s="15"/>
      <c r="R9" s="15"/>
      <c r="S9" s="15"/>
      <c r="T9" s="15"/>
      <c r="U9" s="15"/>
      <c r="V9" s="121">
        <f>U9/249</f>
        <v>0</v>
      </c>
      <c r="W9" s="15"/>
      <c r="X9" s="15"/>
      <c r="Y9" s="15"/>
      <c r="Z9" s="211">
        <f t="shared" si="4"/>
        <v>32</v>
      </c>
      <c r="AA9" s="211">
        <f t="shared" si="4"/>
        <v>32</v>
      </c>
      <c r="AB9" s="211">
        <f t="shared" si="4"/>
        <v>32</v>
      </c>
      <c r="AC9" s="70"/>
      <c r="AD9" s="18"/>
      <c r="AE9" s="18"/>
      <c r="AF9" s="18">
        <f>SUM(AD9:AE9)</f>
        <v>0</v>
      </c>
      <c r="AG9" s="18">
        <f>AF9*3.75</f>
        <v>0</v>
      </c>
      <c r="AH9" s="18">
        <f>AG9*1.25</f>
        <v>0</v>
      </c>
      <c r="AI9" s="18">
        <f>CEILING(AH9,5)</f>
        <v>0</v>
      </c>
      <c r="AJ9" s="18"/>
      <c r="AK9" s="19">
        <f>AJ9*AI9</f>
        <v>0</v>
      </c>
      <c r="AM9" s="14">
        <f t="shared" si="0"/>
        <v>5</v>
      </c>
      <c r="AN9" s="15">
        <f t="shared" si="0"/>
        <v>0</v>
      </c>
      <c r="AO9" s="15">
        <f t="shared" si="0"/>
        <v>0</v>
      </c>
      <c r="AP9" s="15">
        <f t="shared" si="0"/>
        <v>0</v>
      </c>
      <c r="AQ9" s="121">
        <f t="shared" si="3"/>
        <v>0</v>
      </c>
      <c r="AR9" s="120"/>
      <c r="AS9" s="121"/>
      <c r="AT9" s="121"/>
      <c r="AU9" s="121"/>
      <c r="AV9" s="121"/>
      <c r="AW9" s="121">
        <f>SUM(AQ9:AV9)</f>
        <v>0</v>
      </c>
      <c r="AX9" s="15"/>
      <c r="AY9" s="202"/>
      <c r="AZ9" s="16"/>
      <c r="BB9" s="14">
        <f t="shared" si="1"/>
        <v>5</v>
      </c>
      <c r="BC9" s="15">
        <f t="shared" si="1"/>
        <v>0</v>
      </c>
      <c r="BD9" s="15">
        <f t="shared" si="1"/>
        <v>0</v>
      </c>
      <c r="BE9" s="211"/>
      <c r="BF9" s="224"/>
      <c r="BG9" s="224"/>
      <c r="BH9" s="227"/>
      <c r="BI9" s="227"/>
      <c r="BJ9" s="214"/>
      <c r="BL9" s="14">
        <f t="shared" si="5"/>
        <v>5</v>
      </c>
      <c r="BM9" s="15">
        <f t="shared" si="6"/>
        <v>0</v>
      </c>
      <c r="BN9" s="15">
        <f t="shared" si="7"/>
        <v>0</v>
      </c>
      <c r="BO9" s="743"/>
      <c r="BP9" s="750"/>
      <c r="BQ9" s="753"/>
      <c r="BR9" s="224"/>
      <c r="BS9" s="211"/>
      <c r="BT9" s="746"/>
      <c r="BU9" s="746"/>
      <c r="BV9" s="743"/>
      <c r="BW9" s="743"/>
      <c r="BX9" s="743"/>
      <c r="BY9" s="743"/>
      <c r="BZ9" s="759"/>
    </row>
    <row r="10" spans="1:84" ht="17.25" thickBot="1">
      <c r="A10" s="62"/>
      <c r="AE10" s="2"/>
      <c r="AF10" s="2"/>
      <c r="AG10" s="2"/>
      <c r="AH10" s="2"/>
      <c r="AI10" s="2"/>
      <c r="AJ10" s="174">
        <f>SUM(AJ5:AJ9)</f>
        <v>0</v>
      </c>
      <c r="AK10" s="175">
        <f>SUM(AK5:AK9)</f>
        <v>0</v>
      </c>
    </row>
    <row r="11" spans="1:84" ht="15.75">
      <c r="A11" s="62"/>
      <c r="L11" s="5"/>
      <c r="M11" s="5"/>
      <c r="N11" s="5"/>
      <c r="O11" s="5"/>
      <c r="P11" s="5"/>
    </row>
    <row r="12" spans="1:84" ht="16.5" thickBot="1">
      <c r="A12" s="62"/>
    </row>
    <row r="13" spans="1:84" ht="21" thickBot="1">
      <c r="A13" s="62"/>
      <c r="C13" s="1790" t="s">
        <v>61</v>
      </c>
      <c r="D13" s="1784"/>
      <c r="E13" s="1784"/>
      <c r="F13" s="1784"/>
      <c r="G13" s="1784"/>
      <c r="H13" s="1784"/>
      <c r="I13" s="1784"/>
      <c r="J13" s="1784"/>
      <c r="K13" s="1784"/>
      <c r="L13" s="1785"/>
    </row>
    <row r="14" spans="1:84" ht="15.75">
      <c r="A14" s="62"/>
      <c r="C14" s="39" t="s">
        <v>3</v>
      </c>
      <c r="D14" s="39"/>
      <c r="E14" s="39"/>
      <c r="F14" s="39"/>
      <c r="G14" s="39"/>
      <c r="H14" s="39"/>
      <c r="I14" s="39"/>
      <c r="J14" s="39"/>
      <c r="K14" s="39"/>
      <c r="L14" s="39"/>
    </row>
    <row r="15" spans="1:84" ht="15.75">
      <c r="A15" s="62"/>
    </row>
    <row r="16" spans="1:84"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7">
    <mergeCell ref="BL3:BZ3"/>
    <mergeCell ref="BB3:BJ3"/>
    <mergeCell ref="L3:AB3"/>
    <mergeCell ref="C13:L13"/>
    <mergeCell ref="B3:K3"/>
    <mergeCell ref="AD3:AK3"/>
    <mergeCell ref="AM3:AZ3"/>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5362" r:id="rId4" name="Hide">
          <controlPr defaultSize="0" autoLine="0" r:id="rId5">
            <anchor moveWithCells="1">
              <from>
                <xdr:col>0</xdr:col>
                <xdr:colOff>0</xdr:colOff>
                <xdr:row>2</xdr:row>
                <xdr:rowOff>0</xdr:rowOff>
              </from>
              <to>
                <xdr:col>2</xdr:col>
                <xdr:colOff>209550</xdr:colOff>
                <xdr:row>3</xdr:row>
                <xdr:rowOff>66675</xdr:rowOff>
              </to>
            </anchor>
          </controlPr>
        </control>
      </mc:Choice>
      <mc:Fallback>
        <control shapeId="15362" r:id="rId4" name="Hide"/>
      </mc:Fallback>
    </mc:AlternateContent>
    <mc:AlternateContent xmlns:mc="http://schemas.openxmlformats.org/markup-compatibility/2006">
      <mc:Choice Requires="x14">
        <control shapeId="15363" r:id="rId6" name="Specs">
          <controlPr defaultSize="0" autoLine="0" r:id="rId7">
            <anchor moveWithCells="1">
              <from>
                <xdr:col>0</xdr:col>
                <xdr:colOff>0</xdr:colOff>
                <xdr:row>3</xdr:row>
                <xdr:rowOff>133350</xdr:rowOff>
              </from>
              <to>
                <xdr:col>3</xdr:col>
                <xdr:colOff>247650</xdr:colOff>
                <xdr:row>3</xdr:row>
                <xdr:rowOff>447675</xdr:rowOff>
              </to>
            </anchor>
          </controlPr>
        </control>
      </mc:Choice>
      <mc:Fallback>
        <control shapeId="15363" r:id="rId6" name="Specs"/>
      </mc:Fallback>
    </mc:AlternateContent>
    <mc:AlternateContent xmlns:mc="http://schemas.openxmlformats.org/markup-compatibility/2006">
      <mc:Choice Requires="x14">
        <control shapeId="15364" r:id="rId8" name="Technical">
          <controlPr defaultSize="0" autoLine="0" r:id="rId9">
            <anchor moveWithCells="1">
              <from>
                <xdr:col>0</xdr:col>
                <xdr:colOff>0</xdr:colOff>
                <xdr:row>3</xdr:row>
                <xdr:rowOff>133350</xdr:rowOff>
              </from>
              <to>
                <xdr:col>3</xdr:col>
                <xdr:colOff>247650</xdr:colOff>
                <xdr:row>3</xdr:row>
                <xdr:rowOff>447675</xdr:rowOff>
              </to>
            </anchor>
          </controlPr>
        </control>
      </mc:Choice>
      <mc:Fallback>
        <control shapeId="15364" r:id="rId8" name="Technical"/>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B07FE-F345-4A87-93DE-9C73023FAF7D}">
  <sheetPr codeName="D5_PASC_Ceiling"/>
  <dimension ref="A1:CB56"/>
  <sheetViews>
    <sheetView zoomScale="80" zoomScaleNormal="80" workbookViewId="0">
      <pane xSplit="1" topLeftCell="B1" activePane="topRight" state="frozen"/>
      <selection pane="topRight" activeCell="AI16" sqref="AI16"/>
    </sheetView>
  </sheetViews>
  <sheetFormatPr defaultColWidth="9.140625" defaultRowHeight="15"/>
  <cols>
    <col min="1" max="1" width="55.7109375" style="1" customWidth="1"/>
    <col min="2" max="2" width="4.140625" style="1" bestFit="1" customWidth="1"/>
    <col min="3" max="3" width="15" style="1" bestFit="1" customWidth="1"/>
    <col min="4" max="4" width="14.42578125" style="1" customWidth="1"/>
    <col min="5" max="5" width="17.140625" style="1" customWidth="1"/>
    <col min="6" max="6" width="9.7109375" style="1" customWidth="1"/>
    <col min="7" max="7" width="10.140625" style="1" customWidth="1"/>
    <col min="8" max="9" width="7" style="1" customWidth="1"/>
    <col min="10" max="10" width="15.85546875" style="1" customWidth="1"/>
    <col min="11" max="11" width="9.140625" style="1"/>
    <col min="12" max="14" width="14.140625" style="1" customWidth="1"/>
    <col min="15" max="15" width="9.140625" style="1"/>
    <col min="16" max="16" width="13.85546875" style="1" customWidth="1"/>
    <col min="17" max="18" width="9.140625" style="1" customWidth="1"/>
    <col min="19" max="20" width="18.140625" style="1" customWidth="1"/>
    <col min="21" max="23" width="7.28515625" style="1" customWidth="1"/>
    <col min="24" max="24" width="9.85546875" style="1" customWidth="1"/>
    <col min="25" max="25" width="10.5703125" style="1" bestFit="1" customWidth="1"/>
    <col min="26" max="28" width="10.5703125" style="1" customWidth="1"/>
    <col min="29" max="29" width="3.85546875" style="1" customWidth="1"/>
    <col min="30" max="30" width="17.28515625" style="1" bestFit="1" customWidth="1"/>
    <col min="31" max="31" width="13.85546875" style="1" customWidth="1"/>
    <col min="32" max="32" width="10.5703125" style="1" bestFit="1" customWidth="1"/>
    <col min="33" max="33" width="14.42578125" style="1" customWidth="1"/>
    <col min="34" max="34" width="10" style="1" customWidth="1"/>
    <col min="35" max="35" width="11.5703125" style="1" bestFit="1" customWidth="1"/>
    <col min="36" max="36" width="9.140625" style="1"/>
    <col min="37" max="37" width="10.28515625" style="1" bestFit="1" customWidth="1"/>
    <col min="38" max="41" width="9.140625" style="1"/>
    <col min="42" max="42" width="22.140625" style="1" bestFit="1" customWidth="1"/>
    <col min="43" max="66" width="9.140625" style="1"/>
    <col min="67" max="67" width="13.140625" style="1" customWidth="1"/>
    <col min="68" max="68" width="12.85546875" style="1" customWidth="1"/>
    <col min="69" max="69" width="12.5703125" style="1" customWidth="1"/>
    <col min="70" max="70" width="13.140625" style="1" customWidth="1"/>
    <col min="71" max="71" width="11.140625" style="1" customWidth="1"/>
    <col min="72" max="72" width="11.28515625" style="1" customWidth="1"/>
    <col min="73" max="73" width="8.7109375" style="1" customWidth="1"/>
    <col min="74" max="74" width="10.140625" style="1" bestFit="1" customWidth="1"/>
    <col min="75" max="75" width="15.42578125" style="1" customWidth="1"/>
    <col min="76" max="76" width="14.140625" style="1" customWidth="1"/>
    <col min="77" max="77" width="18.140625" style="1" customWidth="1"/>
    <col min="78" max="78" width="10.85546875" style="1" customWidth="1"/>
    <col min="79" max="16384" width="9.140625" style="1"/>
  </cols>
  <sheetData>
    <row r="1" spans="1:80" ht="15.75" customHeight="1" thickBot="1">
      <c r="A1" s="159" t="s">
        <v>394</v>
      </c>
      <c r="B1" s="160">
        <v>0</v>
      </c>
      <c r="C1" s="160">
        <v>1</v>
      </c>
      <c r="D1" s="160">
        <v>2</v>
      </c>
      <c r="E1" s="160">
        <v>3</v>
      </c>
      <c r="F1" s="160">
        <v>4</v>
      </c>
      <c r="G1" s="160">
        <v>0</v>
      </c>
      <c r="H1" s="160">
        <v>0</v>
      </c>
      <c r="I1" s="160">
        <v>0</v>
      </c>
      <c r="J1" s="160">
        <v>0</v>
      </c>
      <c r="K1" s="160">
        <v>5</v>
      </c>
      <c r="L1" s="160">
        <v>6</v>
      </c>
      <c r="M1" s="160">
        <v>7</v>
      </c>
      <c r="N1" s="160">
        <v>0</v>
      </c>
      <c r="O1" s="160">
        <v>8</v>
      </c>
      <c r="P1" s="160">
        <v>0</v>
      </c>
      <c r="Q1" s="160">
        <v>9</v>
      </c>
      <c r="R1" s="160">
        <v>0</v>
      </c>
      <c r="S1" s="160">
        <v>0</v>
      </c>
      <c r="T1" s="160">
        <v>0</v>
      </c>
      <c r="U1" s="160">
        <v>10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c r="BE1" s="160">
        <v>0</v>
      </c>
      <c r="BF1" s="160">
        <v>0</v>
      </c>
      <c r="BG1" s="160">
        <v>0</v>
      </c>
      <c r="BH1" s="160">
        <v>0</v>
      </c>
      <c r="BI1" s="160">
        <v>0</v>
      </c>
      <c r="BJ1" s="160">
        <v>0</v>
      </c>
      <c r="BK1" s="160">
        <v>0</v>
      </c>
      <c r="BL1" s="160">
        <v>0</v>
      </c>
      <c r="BM1" s="160">
        <v>0</v>
      </c>
      <c r="BN1" s="160">
        <v>0</v>
      </c>
      <c r="BO1" s="160">
        <v>0</v>
      </c>
      <c r="BP1" s="160">
        <v>0</v>
      </c>
      <c r="BQ1" s="160">
        <v>0</v>
      </c>
      <c r="BR1" s="160">
        <v>0</v>
      </c>
      <c r="BS1" s="160">
        <v>0</v>
      </c>
      <c r="BT1" s="160">
        <v>0</v>
      </c>
      <c r="BU1" s="160">
        <v>0</v>
      </c>
      <c r="BV1" s="160">
        <v>0</v>
      </c>
      <c r="BW1" s="160">
        <v>0</v>
      </c>
      <c r="BX1" s="160">
        <v>0</v>
      </c>
      <c r="BY1" s="160">
        <v>0</v>
      </c>
      <c r="BZ1" s="160">
        <v>0</v>
      </c>
      <c r="CA1" s="160">
        <v>0</v>
      </c>
      <c r="CB1" s="160">
        <v>0</v>
      </c>
    </row>
    <row r="2" spans="1:80" ht="14.25" customHeight="1" thickBot="1">
      <c r="A2" s="62"/>
      <c r="B2" s="1">
        <v>0</v>
      </c>
      <c r="C2" s="1" t="s">
        <v>427</v>
      </c>
      <c r="D2" s="1" t="s">
        <v>428</v>
      </c>
      <c r="E2" s="1" t="s">
        <v>426</v>
      </c>
      <c r="F2" s="1" t="s">
        <v>2098</v>
      </c>
      <c r="G2" s="1" t="s">
        <v>2099</v>
      </c>
      <c r="H2" s="1" t="s">
        <v>2116</v>
      </c>
      <c r="I2" s="1" t="s">
        <v>2117</v>
      </c>
      <c r="J2" s="1" t="s">
        <v>2120</v>
      </c>
      <c r="K2" s="1" t="s">
        <v>2104</v>
      </c>
      <c r="L2" s="1">
        <v>0</v>
      </c>
      <c r="M2" s="1">
        <v>0</v>
      </c>
      <c r="N2" s="1">
        <v>0</v>
      </c>
      <c r="O2" s="1">
        <v>0</v>
      </c>
      <c r="P2" s="1" t="s">
        <v>1335</v>
      </c>
      <c r="Q2" s="1" t="s">
        <v>578</v>
      </c>
      <c r="R2" s="1" t="s">
        <v>1331</v>
      </c>
      <c r="S2" s="1" t="s">
        <v>579</v>
      </c>
      <c r="T2" s="1" t="s">
        <v>1333</v>
      </c>
      <c r="U2" s="1">
        <v>0</v>
      </c>
      <c r="V2" s="1">
        <v>0</v>
      </c>
      <c r="W2" s="1">
        <v>0</v>
      </c>
      <c r="X2" s="1">
        <v>0</v>
      </c>
      <c r="Y2" s="1">
        <v>0</v>
      </c>
      <c r="Z2" s="1">
        <v>0</v>
      </c>
      <c r="AA2" s="1">
        <v>0</v>
      </c>
      <c r="AB2" s="1">
        <v>0</v>
      </c>
      <c r="AC2" s="1">
        <v>0</v>
      </c>
      <c r="AD2" s="1">
        <v>0</v>
      </c>
      <c r="AE2" s="1">
        <v>0</v>
      </c>
      <c r="AF2" s="1">
        <v>0</v>
      </c>
      <c r="AG2" s="1">
        <v>0</v>
      </c>
      <c r="AH2" s="1">
        <v>0</v>
      </c>
      <c r="AI2" s="1" t="s">
        <v>2102</v>
      </c>
      <c r="AJ2" s="1" t="s">
        <v>2100</v>
      </c>
      <c r="AK2" s="1" t="s">
        <v>2101</v>
      </c>
      <c r="AL2" s="1">
        <v>0</v>
      </c>
      <c r="AM2" s="1">
        <v>0</v>
      </c>
      <c r="AN2" s="1">
        <v>0</v>
      </c>
      <c r="AO2" s="1">
        <v>0</v>
      </c>
      <c r="AP2" s="1">
        <v>0</v>
      </c>
      <c r="AQ2" s="1">
        <v>0</v>
      </c>
      <c r="AR2" s="1">
        <v>0</v>
      </c>
      <c r="AS2" s="1">
        <v>0</v>
      </c>
      <c r="AT2" s="1">
        <v>0</v>
      </c>
      <c r="AU2" s="1">
        <v>0</v>
      </c>
      <c r="AV2" s="1" t="s">
        <v>2119</v>
      </c>
      <c r="AW2" s="1">
        <v>0</v>
      </c>
      <c r="AX2" s="1">
        <v>0</v>
      </c>
      <c r="AY2" s="1" t="s">
        <v>570</v>
      </c>
      <c r="AZ2" s="1" t="s">
        <v>571</v>
      </c>
      <c r="BA2" s="1">
        <v>0</v>
      </c>
      <c r="BB2" s="1">
        <v>0</v>
      </c>
      <c r="BC2" s="1">
        <v>0</v>
      </c>
      <c r="BD2" s="1">
        <v>0</v>
      </c>
      <c r="BE2" s="1" t="s">
        <v>39</v>
      </c>
      <c r="BF2" s="1" t="s">
        <v>40</v>
      </c>
      <c r="BG2" s="1" t="s">
        <v>38</v>
      </c>
      <c r="BH2" s="1" t="s">
        <v>645</v>
      </c>
      <c r="BI2" s="1" t="s">
        <v>2136</v>
      </c>
      <c r="BJ2" s="1" t="s">
        <v>41</v>
      </c>
      <c r="BK2" s="1">
        <v>0</v>
      </c>
      <c r="BL2" s="1">
        <v>0</v>
      </c>
      <c r="BM2" s="1">
        <v>0</v>
      </c>
      <c r="BN2" s="1">
        <v>0</v>
      </c>
      <c r="BO2" s="1" t="s">
        <v>619</v>
      </c>
      <c r="BP2" s="1" t="s">
        <v>613</v>
      </c>
      <c r="BQ2" s="1" t="s">
        <v>615</v>
      </c>
      <c r="BR2" s="1" t="s">
        <v>614</v>
      </c>
      <c r="BS2" s="1" t="s">
        <v>616</v>
      </c>
      <c r="BT2" s="1" t="s">
        <v>617</v>
      </c>
      <c r="BU2" s="1" t="s">
        <v>618</v>
      </c>
      <c r="BV2" s="1" t="s">
        <v>2122</v>
      </c>
      <c r="BW2" s="1" t="s">
        <v>2123</v>
      </c>
      <c r="BX2" s="1" t="s">
        <v>2126</v>
      </c>
      <c r="BY2" s="1" t="s">
        <v>2128</v>
      </c>
      <c r="BZ2" s="1" t="s">
        <v>1343</v>
      </c>
      <c r="CA2" s="1">
        <v>0</v>
      </c>
      <c r="CB2" s="1">
        <v>0</v>
      </c>
    </row>
    <row r="3" spans="1:80" s="7" customFormat="1" ht="19.5" customHeight="1" thickTop="1" thickBot="1">
      <c r="A3" s="60" t="s">
        <v>80</v>
      </c>
      <c r="B3" s="1813" t="s">
        <v>21</v>
      </c>
      <c r="C3" s="1814"/>
      <c r="D3" s="1814"/>
      <c r="E3" s="1814"/>
      <c r="F3" s="1814"/>
      <c r="G3" s="1815"/>
      <c r="H3" s="1815"/>
      <c r="I3" s="1815"/>
      <c r="J3" s="1815"/>
      <c r="K3" s="1816"/>
      <c r="L3" s="1817" t="s">
        <v>17</v>
      </c>
      <c r="M3" s="1818"/>
      <c r="N3" s="1818"/>
      <c r="O3" s="1818"/>
      <c r="P3" s="1818"/>
      <c r="Q3" s="1818"/>
      <c r="R3" s="1818"/>
      <c r="S3" s="1818"/>
      <c r="T3" s="1818"/>
      <c r="U3" s="1818"/>
      <c r="V3" s="1818"/>
      <c r="W3" s="1818"/>
      <c r="X3" s="1818"/>
      <c r="Y3" s="1818"/>
      <c r="Z3" s="1818"/>
      <c r="AA3" s="1818"/>
      <c r="AB3" s="1819"/>
      <c r="AC3" s="68"/>
      <c r="AD3" s="1811" t="s">
        <v>24</v>
      </c>
      <c r="AE3" s="1811"/>
      <c r="AF3" s="1811"/>
      <c r="AG3" s="1811"/>
      <c r="AH3" s="1811"/>
      <c r="AI3" s="1811"/>
      <c r="AJ3" s="1811"/>
      <c r="AK3" s="1812"/>
      <c r="AM3" s="1780" t="s">
        <v>43</v>
      </c>
      <c r="AN3" s="1781"/>
      <c r="AO3" s="1781"/>
      <c r="AP3" s="1781"/>
      <c r="AQ3" s="1781"/>
      <c r="AR3" s="1781"/>
      <c r="AS3" s="1781"/>
      <c r="AT3" s="1781"/>
      <c r="AU3" s="1781"/>
      <c r="AV3" s="1781"/>
      <c r="AW3" s="1781"/>
      <c r="AX3" s="1781"/>
      <c r="AY3" s="1781"/>
      <c r="AZ3" s="1782"/>
      <c r="BB3" s="1780" t="s">
        <v>42</v>
      </c>
      <c r="BC3" s="1781"/>
      <c r="BD3" s="1781"/>
      <c r="BE3" s="1781"/>
      <c r="BF3" s="1781"/>
      <c r="BG3" s="1781"/>
      <c r="BH3" s="1781"/>
      <c r="BI3" s="1781"/>
      <c r="BJ3" s="1782"/>
      <c r="BL3" s="1780" t="s">
        <v>2131</v>
      </c>
      <c r="BM3" s="1781"/>
      <c r="BN3" s="1781"/>
      <c r="BO3" s="1781"/>
      <c r="BP3" s="1781"/>
      <c r="BQ3" s="1781"/>
      <c r="BR3" s="1781"/>
      <c r="BS3" s="1781"/>
      <c r="BT3" s="1781"/>
      <c r="BU3" s="1781"/>
      <c r="BV3" s="1781"/>
      <c r="BW3" s="1781"/>
      <c r="BX3" s="1781"/>
      <c r="BY3" s="1781"/>
      <c r="BZ3" s="1782"/>
    </row>
    <row r="4" spans="1:80" s="7" customFormat="1" ht="37.5" customHeight="1" thickTop="1">
      <c r="A4" s="61"/>
      <c r="B4" s="90" t="s">
        <v>2</v>
      </c>
      <c r="C4" s="79" t="s">
        <v>3</v>
      </c>
      <c r="D4" s="79" t="s">
        <v>0</v>
      </c>
      <c r="E4" s="79" t="s">
        <v>81</v>
      </c>
      <c r="F4" s="79" t="s">
        <v>87</v>
      </c>
      <c r="G4" s="79" t="s">
        <v>582</v>
      </c>
      <c r="H4" s="92" t="s">
        <v>583</v>
      </c>
      <c r="I4" s="92" t="s">
        <v>584</v>
      </c>
      <c r="J4" s="92" t="s">
        <v>2121</v>
      </c>
      <c r="K4" s="80" t="s">
        <v>14</v>
      </c>
      <c r="L4" s="83" t="s">
        <v>595</v>
      </c>
      <c r="M4" s="83" t="s">
        <v>596</v>
      </c>
      <c r="N4" s="83" t="s">
        <v>598</v>
      </c>
      <c r="O4" s="83" t="s">
        <v>606</v>
      </c>
      <c r="P4" s="82" t="s">
        <v>1336</v>
      </c>
      <c r="Q4" s="101" t="s">
        <v>23</v>
      </c>
      <c r="R4" s="101" t="s">
        <v>2137</v>
      </c>
      <c r="S4" s="101" t="s">
        <v>2106</v>
      </c>
      <c r="T4" s="101" t="s">
        <v>1334</v>
      </c>
      <c r="U4" s="101" t="s">
        <v>604</v>
      </c>
      <c r="V4" s="83" t="s">
        <v>605</v>
      </c>
      <c r="W4" s="82" t="s">
        <v>601</v>
      </c>
      <c r="X4" s="83" t="s">
        <v>19</v>
      </c>
      <c r="Y4" s="83" t="s">
        <v>590</v>
      </c>
      <c r="Z4" s="82" t="s">
        <v>602</v>
      </c>
      <c r="AA4" s="83" t="s">
        <v>591</v>
      </c>
      <c r="AB4" s="83" t="s">
        <v>603</v>
      </c>
      <c r="AC4" s="69"/>
      <c r="AD4" s="85" t="s">
        <v>56</v>
      </c>
      <c r="AE4" s="86" t="s">
        <v>55</v>
      </c>
      <c r="AF4" s="87" t="s">
        <v>26</v>
      </c>
      <c r="AG4" s="88" t="s">
        <v>11</v>
      </c>
      <c r="AH4" s="88" t="s">
        <v>15</v>
      </c>
      <c r="AI4" s="88" t="s">
        <v>2490</v>
      </c>
      <c r="AJ4" s="88" t="s">
        <v>5</v>
      </c>
      <c r="AK4" s="89" t="s">
        <v>2491</v>
      </c>
      <c r="AM4" s="52" t="str">
        <f t="shared" ref="AM4:AP9" si="0">B4</f>
        <v>No.</v>
      </c>
      <c r="AN4" s="53" t="str">
        <f t="shared" si="0"/>
        <v>Ref.</v>
      </c>
      <c r="AO4" s="53" t="str">
        <f t="shared" si="0"/>
        <v>Model</v>
      </c>
      <c r="AP4" s="238" t="str">
        <f t="shared" si="0"/>
        <v>Supply Flow Rate
 CFM</v>
      </c>
      <c r="AQ4" s="241" t="str">
        <f t="shared" ref="AQ4:AQ9" si="1">V4</f>
        <v>ESP
(inwg)</v>
      </c>
      <c r="AR4" s="54" t="s">
        <v>31</v>
      </c>
      <c r="AS4" s="54" t="s">
        <v>29</v>
      </c>
      <c r="AT4" s="53" t="s">
        <v>30</v>
      </c>
      <c r="AU4" s="53" t="s">
        <v>32</v>
      </c>
      <c r="AV4" s="53" t="s">
        <v>33</v>
      </c>
      <c r="AW4" s="53" t="s">
        <v>34</v>
      </c>
      <c r="AX4" s="53" t="s">
        <v>8</v>
      </c>
      <c r="AY4" s="53" t="s">
        <v>36</v>
      </c>
      <c r="AZ4" s="55" t="s">
        <v>37</v>
      </c>
      <c r="BB4" s="48" t="str">
        <f t="shared" ref="BB4:BD9" si="2">B4</f>
        <v>No.</v>
      </c>
      <c r="BC4" s="49" t="str">
        <f t="shared" si="2"/>
        <v>Ref.</v>
      </c>
      <c r="BD4" s="49" t="str">
        <f t="shared" si="2"/>
        <v>Model</v>
      </c>
      <c r="BE4" s="49" t="s">
        <v>39</v>
      </c>
      <c r="BF4" s="50" t="s">
        <v>40</v>
      </c>
      <c r="BG4" s="50" t="s">
        <v>38</v>
      </c>
      <c r="BH4" s="243" t="s">
        <v>645</v>
      </c>
      <c r="BI4" s="243" t="s">
        <v>2136</v>
      </c>
      <c r="BJ4" s="51" t="s">
        <v>41</v>
      </c>
      <c r="BL4" s="767" t="str">
        <f t="shared" ref="BL4:BN9" si="3">BB4</f>
        <v>No.</v>
      </c>
      <c r="BM4" s="239" t="str">
        <f t="shared" si="3"/>
        <v>Ref.</v>
      </c>
      <c r="BN4" s="239" t="str">
        <f t="shared" si="3"/>
        <v>Model</v>
      </c>
      <c r="BO4" s="239" t="s">
        <v>621</v>
      </c>
      <c r="BP4" s="239" t="s">
        <v>580</v>
      </c>
      <c r="BQ4" s="239" t="s">
        <v>1329</v>
      </c>
      <c r="BR4" s="239" t="s">
        <v>581</v>
      </c>
      <c r="BS4" s="239" t="s">
        <v>1330</v>
      </c>
      <c r="BT4" s="239" t="s">
        <v>620</v>
      </c>
      <c r="BU4" s="239" t="s">
        <v>5</v>
      </c>
      <c r="BV4" s="239" t="s">
        <v>2130</v>
      </c>
      <c r="BW4" s="239" t="s">
        <v>2129</v>
      </c>
      <c r="BX4" s="239" t="s">
        <v>2125</v>
      </c>
      <c r="BY4" s="239" t="s">
        <v>2127</v>
      </c>
      <c r="BZ4" s="240" t="s">
        <v>1328</v>
      </c>
    </row>
    <row r="5" spans="1:80" s="7" customFormat="1" ht="16.5">
      <c r="A5" s="62"/>
      <c r="B5" s="24">
        <v>1</v>
      </c>
      <c r="C5" s="25" t="s">
        <v>2840</v>
      </c>
      <c r="D5" s="22" t="s">
        <v>2840</v>
      </c>
      <c r="E5" s="22">
        <f>O5*2.1191</f>
        <v>0</v>
      </c>
      <c r="F5" s="22" t="s">
        <v>2840</v>
      </c>
      <c r="G5" s="93"/>
      <c r="H5" s="93"/>
      <c r="I5" s="93"/>
      <c r="J5" s="93"/>
      <c r="K5" s="107"/>
      <c r="L5" s="26"/>
      <c r="M5" s="26">
        <f>L5*3412</f>
        <v>0</v>
      </c>
      <c r="N5" s="26"/>
      <c r="O5" s="8"/>
      <c r="P5" s="8"/>
      <c r="Q5" s="8"/>
      <c r="R5" s="8"/>
      <c r="S5" s="8"/>
      <c r="T5" s="8"/>
      <c r="U5" s="8"/>
      <c r="V5" s="119">
        <f>U5/249</f>
        <v>0</v>
      </c>
      <c r="W5" s="210"/>
      <c r="X5" s="210"/>
      <c r="Y5" s="210"/>
      <c r="Z5" s="210">
        <f>W5*1.8+32</f>
        <v>32</v>
      </c>
      <c r="AA5" s="210">
        <f>X5*1.8+32</f>
        <v>32</v>
      </c>
      <c r="AB5" s="210">
        <f>Y5*1.8+32</f>
        <v>32</v>
      </c>
      <c r="AC5" s="69"/>
      <c r="AD5" s="43"/>
      <c r="AE5" s="9"/>
      <c r="AF5" s="9">
        <f>SUM(AD5:AE5)</f>
        <v>0</v>
      </c>
      <c r="AG5" s="22">
        <f>AF5*3.75</f>
        <v>0</v>
      </c>
      <c r="AH5" s="22">
        <f>AG5*1.25</f>
        <v>0</v>
      </c>
      <c r="AI5" s="22">
        <f>CEILING(AH5,5)</f>
        <v>0</v>
      </c>
      <c r="AJ5" s="22">
        <v>1</v>
      </c>
      <c r="AK5" s="23">
        <f>AJ5*AI5</f>
        <v>0</v>
      </c>
      <c r="AM5" s="12">
        <f t="shared" si="0"/>
        <v>1</v>
      </c>
      <c r="AN5" s="8" t="str">
        <f t="shared" si="0"/>
        <v>XX</v>
      </c>
      <c r="AO5" s="8" t="str">
        <f t="shared" si="0"/>
        <v>XX</v>
      </c>
      <c r="AP5" s="8">
        <f t="shared" si="0"/>
        <v>0</v>
      </c>
      <c r="AQ5" s="118">
        <f t="shared" si="1"/>
        <v>0</v>
      </c>
      <c r="AR5" s="118"/>
      <c r="AS5" s="119"/>
      <c r="AT5" s="119"/>
      <c r="AU5" s="119"/>
      <c r="AV5" s="119"/>
      <c r="AW5" s="119"/>
      <c r="AX5" s="119">
        <f>SUM(AQ5:AW5)</f>
        <v>0</v>
      </c>
      <c r="AY5" s="8"/>
      <c r="AZ5" s="13"/>
      <c r="BB5" s="12">
        <f t="shared" si="2"/>
        <v>1</v>
      </c>
      <c r="BC5" s="8" t="str">
        <f t="shared" si="2"/>
        <v>XX</v>
      </c>
      <c r="BD5" s="8" t="str">
        <f t="shared" si="2"/>
        <v>XX</v>
      </c>
      <c r="BE5" s="210"/>
      <c r="BF5" s="223"/>
      <c r="BG5" s="223"/>
      <c r="BH5" s="226"/>
      <c r="BI5" s="226"/>
      <c r="BJ5" s="213"/>
      <c r="BL5" s="12">
        <f t="shared" si="3"/>
        <v>1</v>
      </c>
      <c r="BM5" s="8" t="str">
        <f t="shared" si="3"/>
        <v>XX</v>
      </c>
      <c r="BN5" s="8" t="str">
        <f t="shared" si="3"/>
        <v>XX</v>
      </c>
      <c r="BO5" s="742"/>
      <c r="BP5" s="749"/>
      <c r="BQ5" s="752"/>
      <c r="BR5" s="223"/>
      <c r="BS5" s="210"/>
      <c r="BT5" s="745"/>
      <c r="BU5" s="745"/>
      <c r="BV5" s="742"/>
      <c r="BW5" s="742"/>
      <c r="BX5" s="742"/>
      <c r="BY5" s="742"/>
      <c r="BZ5" s="758"/>
    </row>
    <row r="6" spans="1:80" s="7" customFormat="1" ht="16.5">
      <c r="A6" s="62"/>
      <c r="B6" s="12">
        <v>2</v>
      </c>
      <c r="C6" s="6"/>
      <c r="D6" s="9"/>
      <c r="E6" s="22">
        <f>O6*2.1191</f>
        <v>0</v>
      </c>
      <c r="F6" s="9"/>
      <c r="G6" s="170"/>
      <c r="H6" s="170"/>
      <c r="I6" s="170"/>
      <c r="J6" s="170"/>
      <c r="K6" s="108"/>
      <c r="L6" s="26"/>
      <c r="M6" s="26">
        <f>L6*3412</f>
        <v>0</v>
      </c>
      <c r="N6" s="26"/>
      <c r="O6" s="8"/>
      <c r="P6" s="8"/>
      <c r="Q6" s="8"/>
      <c r="R6" s="8"/>
      <c r="S6" s="8"/>
      <c r="T6" s="8"/>
      <c r="U6" s="8"/>
      <c r="V6" s="119">
        <f>U6/249</f>
        <v>0</v>
      </c>
      <c r="W6" s="210"/>
      <c r="X6" s="210"/>
      <c r="Y6" s="210"/>
      <c r="Z6" s="210">
        <f t="shared" ref="Z6:AB9" si="4">W6*1.8+32</f>
        <v>32</v>
      </c>
      <c r="AA6" s="210">
        <f t="shared" si="4"/>
        <v>32</v>
      </c>
      <c r="AB6" s="210">
        <f t="shared" si="4"/>
        <v>32</v>
      </c>
      <c r="AC6" s="69"/>
      <c r="AD6" s="43"/>
      <c r="AE6" s="9"/>
      <c r="AF6" s="9">
        <f>SUM(AD6:AE6)</f>
        <v>0</v>
      </c>
      <c r="AG6" s="9">
        <f>AF6*3.75</f>
        <v>0</v>
      </c>
      <c r="AH6" s="9">
        <f>AG6*1.25</f>
        <v>0</v>
      </c>
      <c r="AI6" s="9">
        <f>CEILING(AH6,5)</f>
        <v>0</v>
      </c>
      <c r="AJ6" s="9"/>
      <c r="AK6" s="10">
        <f>AJ6*AI6</f>
        <v>0</v>
      </c>
      <c r="AM6" s="12">
        <f t="shared" si="0"/>
        <v>2</v>
      </c>
      <c r="AN6" s="8">
        <f t="shared" si="0"/>
        <v>0</v>
      </c>
      <c r="AO6" s="8">
        <f t="shared" si="0"/>
        <v>0</v>
      </c>
      <c r="AP6" s="8">
        <f t="shared" si="0"/>
        <v>0</v>
      </c>
      <c r="AQ6" s="118">
        <f t="shared" si="1"/>
        <v>0</v>
      </c>
      <c r="AR6" s="118"/>
      <c r="AS6" s="119"/>
      <c r="AT6" s="119"/>
      <c r="AU6" s="119"/>
      <c r="AV6" s="119"/>
      <c r="AW6" s="119"/>
      <c r="AX6" s="119">
        <f>SUM(AQ6:AW6)</f>
        <v>0</v>
      </c>
      <c r="AY6" s="8"/>
      <c r="AZ6" s="13"/>
      <c r="BB6" s="12">
        <f t="shared" si="2"/>
        <v>2</v>
      </c>
      <c r="BC6" s="8">
        <f t="shared" si="2"/>
        <v>0</v>
      </c>
      <c r="BD6" s="8">
        <f t="shared" si="2"/>
        <v>0</v>
      </c>
      <c r="BE6" s="210"/>
      <c r="BF6" s="223"/>
      <c r="BG6" s="223"/>
      <c r="BH6" s="226"/>
      <c r="BI6" s="226"/>
      <c r="BJ6" s="213"/>
      <c r="BL6" s="12">
        <f t="shared" si="3"/>
        <v>2</v>
      </c>
      <c r="BM6" s="8">
        <f t="shared" si="3"/>
        <v>0</v>
      </c>
      <c r="BN6" s="8">
        <f t="shared" si="3"/>
        <v>0</v>
      </c>
      <c r="BO6" s="742"/>
      <c r="BP6" s="749"/>
      <c r="BQ6" s="752"/>
      <c r="BR6" s="223"/>
      <c r="BS6" s="210"/>
      <c r="BT6" s="745"/>
      <c r="BU6" s="745"/>
      <c r="BV6" s="742"/>
      <c r="BW6" s="742"/>
      <c r="BX6" s="742"/>
      <c r="BY6" s="742"/>
      <c r="BZ6" s="758"/>
    </row>
    <row r="7" spans="1:80" s="7" customFormat="1" ht="16.5">
      <c r="A7" s="62"/>
      <c r="B7" s="12">
        <v>3</v>
      </c>
      <c r="C7" s="6"/>
      <c r="D7" s="9"/>
      <c r="E7" s="22">
        <f>O7*2.1191</f>
        <v>0</v>
      </c>
      <c r="F7" s="9"/>
      <c r="G7" s="170"/>
      <c r="H7" s="170"/>
      <c r="I7" s="170"/>
      <c r="J7" s="170"/>
      <c r="K7" s="108"/>
      <c r="L7" s="26"/>
      <c r="M7" s="26">
        <f>L7*3412</f>
        <v>0</v>
      </c>
      <c r="N7" s="26"/>
      <c r="O7" s="8"/>
      <c r="P7" s="8"/>
      <c r="Q7" s="8"/>
      <c r="R7" s="8"/>
      <c r="S7" s="8"/>
      <c r="T7" s="8"/>
      <c r="U7" s="8"/>
      <c r="V7" s="119">
        <f>U7/249</f>
        <v>0</v>
      </c>
      <c r="W7" s="210"/>
      <c r="X7" s="210"/>
      <c r="Y7" s="210"/>
      <c r="Z7" s="210">
        <f t="shared" si="4"/>
        <v>32</v>
      </c>
      <c r="AA7" s="210">
        <f t="shared" si="4"/>
        <v>32</v>
      </c>
      <c r="AB7" s="210">
        <f t="shared" si="4"/>
        <v>32</v>
      </c>
      <c r="AC7" s="69"/>
      <c r="AD7" s="43"/>
      <c r="AE7" s="9"/>
      <c r="AF7" s="9">
        <f>SUM(AD7:AE7)</f>
        <v>0</v>
      </c>
      <c r="AG7" s="9">
        <f>AF7*3.75</f>
        <v>0</v>
      </c>
      <c r="AH7" s="9">
        <f>AG7*1.25</f>
        <v>0</v>
      </c>
      <c r="AI7" s="9">
        <f>CEILING(AH7,5)</f>
        <v>0</v>
      </c>
      <c r="AJ7" s="9"/>
      <c r="AK7" s="10">
        <f>AJ7*AI7</f>
        <v>0</v>
      </c>
      <c r="AM7" s="12">
        <f t="shared" si="0"/>
        <v>3</v>
      </c>
      <c r="AN7" s="8">
        <f t="shared" si="0"/>
        <v>0</v>
      </c>
      <c r="AO7" s="8">
        <f t="shared" si="0"/>
        <v>0</v>
      </c>
      <c r="AP7" s="8">
        <f t="shared" si="0"/>
        <v>0</v>
      </c>
      <c r="AQ7" s="118">
        <f t="shared" si="1"/>
        <v>0</v>
      </c>
      <c r="AR7" s="118"/>
      <c r="AS7" s="119"/>
      <c r="AT7" s="119"/>
      <c r="AU7" s="119"/>
      <c r="AV7" s="119"/>
      <c r="AW7" s="119"/>
      <c r="AX7" s="119">
        <f>SUM(AQ7:AW7)</f>
        <v>0</v>
      </c>
      <c r="AY7" s="8"/>
      <c r="AZ7" s="13"/>
      <c r="BB7" s="12">
        <f t="shared" si="2"/>
        <v>3</v>
      </c>
      <c r="BC7" s="8">
        <f t="shared" si="2"/>
        <v>0</v>
      </c>
      <c r="BD7" s="8">
        <f t="shared" si="2"/>
        <v>0</v>
      </c>
      <c r="BE7" s="210"/>
      <c r="BF7" s="223"/>
      <c r="BG7" s="223"/>
      <c r="BH7" s="226"/>
      <c r="BI7" s="226"/>
      <c r="BJ7" s="213"/>
      <c r="BL7" s="12">
        <f t="shared" si="3"/>
        <v>3</v>
      </c>
      <c r="BM7" s="8">
        <f t="shared" si="3"/>
        <v>0</v>
      </c>
      <c r="BN7" s="8">
        <f t="shared" si="3"/>
        <v>0</v>
      </c>
      <c r="BO7" s="742"/>
      <c r="BP7" s="749"/>
      <c r="BQ7" s="752"/>
      <c r="BR7" s="223"/>
      <c r="BS7" s="210"/>
      <c r="BT7" s="745"/>
      <c r="BU7" s="745"/>
      <c r="BV7" s="742"/>
      <c r="BW7" s="742"/>
      <c r="BX7" s="742"/>
      <c r="BY7" s="742"/>
      <c r="BZ7" s="758"/>
    </row>
    <row r="8" spans="1:80" s="7" customFormat="1" ht="16.5">
      <c r="A8" s="62"/>
      <c r="B8" s="12">
        <v>4</v>
      </c>
      <c r="C8" s="6"/>
      <c r="D8" s="9"/>
      <c r="E8" s="22">
        <f>O8*2.1191</f>
        <v>0</v>
      </c>
      <c r="F8" s="9"/>
      <c r="G8" s="170"/>
      <c r="H8" s="170"/>
      <c r="I8" s="170"/>
      <c r="J8" s="170"/>
      <c r="K8" s="108"/>
      <c r="L8" s="26"/>
      <c r="M8" s="26">
        <f>L8*3412</f>
        <v>0</v>
      </c>
      <c r="N8" s="26"/>
      <c r="O8" s="8"/>
      <c r="P8" s="8"/>
      <c r="Q8" s="8"/>
      <c r="R8" s="8"/>
      <c r="S8" s="8"/>
      <c r="T8" s="8"/>
      <c r="U8" s="8"/>
      <c r="V8" s="119">
        <f>U8/249</f>
        <v>0</v>
      </c>
      <c r="W8" s="210"/>
      <c r="X8" s="210"/>
      <c r="Y8" s="210"/>
      <c r="Z8" s="210">
        <f t="shared" si="4"/>
        <v>32</v>
      </c>
      <c r="AA8" s="210">
        <f t="shared" si="4"/>
        <v>32</v>
      </c>
      <c r="AB8" s="210">
        <f t="shared" si="4"/>
        <v>32</v>
      </c>
      <c r="AC8" s="69"/>
      <c r="AD8" s="43"/>
      <c r="AE8" s="9"/>
      <c r="AF8" s="9">
        <f>SUM(AD8:AE8)</f>
        <v>0</v>
      </c>
      <c r="AG8" s="9">
        <f>AF8*3.75</f>
        <v>0</v>
      </c>
      <c r="AH8" s="9">
        <f>AG8*1.25</f>
        <v>0</v>
      </c>
      <c r="AI8" s="9">
        <f>CEILING(AH8,5)</f>
        <v>0</v>
      </c>
      <c r="AJ8" s="9"/>
      <c r="AK8" s="10">
        <f>AJ8*AI8</f>
        <v>0</v>
      </c>
      <c r="AM8" s="12">
        <f t="shared" si="0"/>
        <v>4</v>
      </c>
      <c r="AN8" s="8">
        <f t="shared" si="0"/>
        <v>0</v>
      </c>
      <c r="AO8" s="8">
        <f t="shared" si="0"/>
        <v>0</v>
      </c>
      <c r="AP8" s="8">
        <f t="shared" si="0"/>
        <v>0</v>
      </c>
      <c r="AQ8" s="118">
        <f t="shared" si="1"/>
        <v>0</v>
      </c>
      <c r="AR8" s="118"/>
      <c r="AS8" s="119"/>
      <c r="AT8" s="119"/>
      <c r="AU8" s="119"/>
      <c r="AV8" s="119"/>
      <c r="AW8" s="119"/>
      <c r="AX8" s="119">
        <f>SUM(AQ8:AW8)</f>
        <v>0</v>
      </c>
      <c r="AY8" s="8"/>
      <c r="AZ8" s="13"/>
      <c r="BB8" s="12">
        <f t="shared" si="2"/>
        <v>4</v>
      </c>
      <c r="BC8" s="8">
        <f t="shared" si="2"/>
        <v>0</v>
      </c>
      <c r="BD8" s="8">
        <f t="shared" si="2"/>
        <v>0</v>
      </c>
      <c r="BE8" s="210"/>
      <c r="BF8" s="223"/>
      <c r="BG8" s="223"/>
      <c r="BH8" s="226"/>
      <c r="BI8" s="226"/>
      <c r="BJ8" s="213"/>
      <c r="BL8" s="12">
        <f t="shared" si="3"/>
        <v>4</v>
      </c>
      <c r="BM8" s="8">
        <f t="shared" si="3"/>
        <v>0</v>
      </c>
      <c r="BN8" s="8">
        <f t="shared" si="3"/>
        <v>0</v>
      </c>
      <c r="BO8" s="742"/>
      <c r="BP8" s="749"/>
      <c r="BQ8" s="752"/>
      <c r="BR8" s="223"/>
      <c r="BS8" s="210"/>
      <c r="BT8" s="745"/>
      <c r="BU8" s="745"/>
      <c r="BV8" s="742"/>
      <c r="BW8" s="742"/>
      <c r="BX8" s="742"/>
      <c r="BY8" s="742"/>
      <c r="BZ8" s="758"/>
    </row>
    <row r="9" spans="1:80" s="7" customFormat="1" ht="15.75" customHeight="1" thickBot="1">
      <c r="A9" s="62"/>
      <c r="B9" s="38">
        <v>5</v>
      </c>
      <c r="C9" s="17"/>
      <c r="D9" s="18"/>
      <c r="E9" s="18">
        <f>O9*2.1191</f>
        <v>0</v>
      </c>
      <c r="F9" s="18"/>
      <c r="G9" s="171"/>
      <c r="H9" s="171"/>
      <c r="I9" s="171"/>
      <c r="J9" s="171"/>
      <c r="K9" s="109"/>
      <c r="L9" s="27"/>
      <c r="M9" s="27">
        <f>L9*3412</f>
        <v>0</v>
      </c>
      <c r="N9" s="27"/>
      <c r="O9" s="15"/>
      <c r="P9" s="15"/>
      <c r="Q9" s="15"/>
      <c r="R9" s="15"/>
      <c r="S9" s="15"/>
      <c r="T9" s="15"/>
      <c r="U9" s="15"/>
      <c r="V9" s="121">
        <f>U9/249</f>
        <v>0</v>
      </c>
      <c r="W9" s="211"/>
      <c r="X9" s="211"/>
      <c r="Y9" s="211"/>
      <c r="Z9" s="211">
        <f t="shared" si="4"/>
        <v>32</v>
      </c>
      <c r="AA9" s="211">
        <f t="shared" si="4"/>
        <v>32</v>
      </c>
      <c r="AB9" s="211">
        <f t="shared" si="4"/>
        <v>32</v>
      </c>
      <c r="AC9" s="70"/>
      <c r="AD9" s="18"/>
      <c r="AE9" s="18"/>
      <c r="AF9" s="18">
        <f>SUM(AD9:AE9)</f>
        <v>0</v>
      </c>
      <c r="AG9" s="18">
        <f>AF9*3.75</f>
        <v>0</v>
      </c>
      <c r="AH9" s="18">
        <f>AG9*1.25</f>
        <v>0</v>
      </c>
      <c r="AI9" s="18">
        <f>CEILING(AH9,5)</f>
        <v>0</v>
      </c>
      <c r="AJ9" s="18"/>
      <c r="AK9" s="19">
        <f>AJ9*AI9</f>
        <v>0</v>
      </c>
      <c r="AM9" s="14">
        <f t="shared" si="0"/>
        <v>5</v>
      </c>
      <c r="AN9" s="15">
        <f t="shared" si="0"/>
        <v>0</v>
      </c>
      <c r="AO9" s="15">
        <f t="shared" si="0"/>
        <v>0</v>
      </c>
      <c r="AP9" s="15">
        <f t="shared" si="0"/>
        <v>0</v>
      </c>
      <c r="AQ9" s="120">
        <f t="shared" si="1"/>
        <v>0</v>
      </c>
      <c r="AR9" s="120"/>
      <c r="AS9" s="121"/>
      <c r="AT9" s="121"/>
      <c r="AU9" s="121"/>
      <c r="AV9" s="121"/>
      <c r="AW9" s="121"/>
      <c r="AX9" s="121">
        <f>SUM(AQ9:AW9)</f>
        <v>0</v>
      </c>
      <c r="AY9" s="15"/>
      <c r="AZ9" s="16"/>
      <c r="BB9" s="14">
        <f t="shared" si="2"/>
        <v>5</v>
      </c>
      <c r="BC9" s="15">
        <f t="shared" si="2"/>
        <v>0</v>
      </c>
      <c r="BD9" s="15">
        <f t="shared" si="2"/>
        <v>0</v>
      </c>
      <c r="BE9" s="211"/>
      <c r="BF9" s="224"/>
      <c r="BG9" s="224"/>
      <c r="BH9" s="227"/>
      <c r="BI9" s="227"/>
      <c r="BJ9" s="214"/>
      <c r="BL9" s="14">
        <f t="shared" si="3"/>
        <v>5</v>
      </c>
      <c r="BM9" s="15">
        <f t="shared" si="3"/>
        <v>0</v>
      </c>
      <c r="BN9" s="15">
        <f t="shared" si="3"/>
        <v>0</v>
      </c>
      <c r="BO9" s="743"/>
      <c r="BP9" s="750"/>
      <c r="BQ9" s="753"/>
      <c r="BR9" s="224"/>
      <c r="BS9" s="211"/>
      <c r="BT9" s="746"/>
      <c r="BU9" s="746"/>
      <c r="BV9" s="743"/>
      <c r="BW9" s="743"/>
      <c r="BX9" s="743"/>
      <c r="BY9" s="743"/>
      <c r="BZ9" s="759"/>
    </row>
    <row r="10" spans="1:80" ht="17.25" thickBot="1">
      <c r="A10" s="62"/>
      <c r="AE10" s="2"/>
      <c r="AF10" s="2"/>
      <c r="AG10" s="2"/>
      <c r="AH10" s="2"/>
      <c r="AI10" s="2"/>
      <c r="AJ10" s="174">
        <f>SUM(AJ5:AJ9)</f>
        <v>1</v>
      </c>
      <c r="AK10" s="175">
        <f>SUM(AK5:AK9)</f>
        <v>0</v>
      </c>
    </row>
    <row r="11" spans="1:80" ht="15.75">
      <c r="A11" s="62"/>
      <c r="L11" s="5"/>
      <c r="M11" s="5"/>
      <c r="N11" s="5"/>
      <c r="O11" s="5"/>
      <c r="P11" s="5"/>
    </row>
    <row r="12" spans="1:80" ht="15.75">
      <c r="A12" s="62"/>
    </row>
    <row r="13" spans="1:80" ht="16.5" thickBot="1">
      <c r="A13" s="62"/>
    </row>
    <row r="14" spans="1:80" ht="21" thickBot="1">
      <c r="A14" s="62"/>
      <c r="C14" s="1790" t="s">
        <v>61</v>
      </c>
      <c r="D14" s="1784"/>
      <c r="E14" s="1784"/>
      <c r="F14" s="1784"/>
      <c r="G14" s="1784"/>
      <c r="H14" s="1784"/>
      <c r="I14" s="1784"/>
      <c r="J14" s="1784"/>
      <c r="K14" s="1784"/>
      <c r="L14" s="1785"/>
    </row>
    <row r="15" spans="1:80" ht="15.75">
      <c r="A15" s="62"/>
      <c r="C15" s="39" t="s">
        <v>3</v>
      </c>
      <c r="D15" s="39"/>
      <c r="E15" s="39"/>
      <c r="F15" s="39"/>
      <c r="G15" s="39"/>
      <c r="H15" s="39"/>
      <c r="I15" s="39"/>
      <c r="J15" s="39"/>
      <c r="K15" s="39"/>
      <c r="L15" s="39"/>
    </row>
    <row r="16" spans="1:80"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7">
    <mergeCell ref="BB3:BJ3"/>
    <mergeCell ref="BL3:BZ3"/>
    <mergeCell ref="C14:L14"/>
    <mergeCell ref="B3:K3"/>
    <mergeCell ref="L3:AB3"/>
    <mergeCell ref="AD3:AK3"/>
    <mergeCell ref="AM3:AZ3"/>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31075" r:id="rId4" name="Technical">
          <controlPr defaultSize="0" autoLine="0" r:id="rId5">
            <anchor moveWithCells="1">
              <from>
                <xdr:col>0</xdr:col>
                <xdr:colOff>1838325</xdr:colOff>
                <xdr:row>3</xdr:row>
                <xdr:rowOff>133350</xdr:rowOff>
              </from>
              <to>
                <xdr:col>0</xdr:col>
                <xdr:colOff>3362325</xdr:colOff>
                <xdr:row>3</xdr:row>
                <xdr:rowOff>447675</xdr:rowOff>
              </to>
            </anchor>
          </controlPr>
        </control>
      </mc:Choice>
      <mc:Fallback>
        <control shapeId="131075" r:id="rId4" name="Technical"/>
      </mc:Fallback>
    </mc:AlternateContent>
    <mc:AlternateContent xmlns:mc="http://schemas.openxmlformats.org/markup-compatibility/2006">
      <mc:Choice Requires="x14">
        <control shapeId="131074" r:id="rId6" name="Specs">
          <controlPr defaultSize="0" autoLine="0" r:id="rId7">
            <anchor moveWithCells="1">
              <from>
                <xdr:col>0</xdr:col>
                <xdr:colOff>123825</xdr:colOff>
                <xdr:row>3</xdr:row>
                <xdr:rowOff>133350</xdr:rowOff>
              </from>
              <to>
                <xdr:col>0</xdr:col>
                <xdr:colOff>1647825</xdr:colOff>
                <xdr:row>3</xdr:row>
                <xdr:rowOff>447675</xdr:rowOff>
              </to>
            </anchor>
          </controlPr>
        </control>
      </mc:Choice>
      <mc:Fallback>
        <control shapeId="131074" r:id="rId6" name="Specs"/>
      </mc:Fallback>
    </mc:AlternateContent>
    <mc:AlternateContent xmlns:mc="http://schemas.openxmlformats.org/markup-compatibility/2006">
      <mc:Choice Requires="x14">
        <control shapeId="131073" r:id="rId8" name="Hide">
          <controlPr defaultSize="0" autoLine="0" r:id="rId9">
            <anchor moveWithCells="1">
              <from>
                <xdr:col>0</xdr:col>
                <xdr:colOff>0</xdr:colOff>
                <xdr:row>2</xdr:row>
                <xdr:rowOff>0</xdr:rowOff>
              </from>
              <to>
                <xdr:col>0</xdr:col>
                <xdr:colOff>485775</xdr:colOff>
                <xdr:row>3</xdr:row>
                <xdr:rowOff>66675</xdr:rowOff>
              </to>
            </anchor>
          </controlPr>
        </control>
      </mc:Choice>
      <mc:Fallback>
        <control shapeId="131073" r:id="rId8" name="Hide"/>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D5_PASC_WM"/>
  <dimension ref="A1:CB56"/>
  <sheetViews>
    <sheetView zoomScale="80" zoomScaleNormal="80" workbookViewId="0">
      <pane xSplit="1" topLeftCell="B1" activePane="topRight" state="frozen"/>
      <selection pane="topRight" activeCell="L25" sqref="L25"/>
    </sheetView>
  </sheetViews>
  <sheetFormatPr defaultColWidth="9.140625" defaultRowHeight="15"/>
  <cols>
    <col min="1" max="1" width="55.7109375" style="1" hidden="1" customWidth="1"/>
    <col min="2" max="2" width="4.140625" style="1" bestFit="1" customWidth="1"/>
    <col min="3" max="3" width="15" style="1" bestFit="1" customWidth="1"/>
    <col min="4" max="4" width="14.42578125" style="1" customWidth="1"/>
    <col min="5" max="5" width="17.140625" style="1" customWidth="1"/>
    <col min="6" max="6" width="9.7109375" style="1" customWidth="1"/>
    <col min="7" max="7" width="10.140625" style="1" customWidth="1"/>
    <col min="8" max="9" width="7" style="1" customWidth="1"/>
    <col min="10" max="10" width="15.85546875" style="1" customWidth="1"/>
    <col min="11" max="11" width="9.140625" style="1"/>
    <col min="12" max="14" width="14.140625" style="1" customWidth="1"/>
    <col min="15" max="15" width="9.140625" style="1"/>
    <col min="16" max="16" width="13.85546875" style="1" customWidth="1"/>
    <col min="17" max="18" width="9.140625" style="1" customWidth="1"/>
    <col min="19" max="20" width="18.140625" style="1" customWidth="1"/>
    <col min="21" max="23" width="7.28515625" style="1" customWidth="1"/>
    <col min="24" max="24" width="9.85546875" style="1" customWidth="1"/>
    <col min="25" max="25" width="10.5703125" style="1" bestFit="1" customWidth="1"/>
    <col min="26" max="28" width="10.5703125" style="1" customWidth="1"/>
    <col min="29" max="29" width="3.85546875" style="1" customWidth="1"/>
    <col min="30" max="30" width="17.28515625" style="1" bestFit="1" customWidth="1"/>
    <col min="31" max="31" width="13.85546875" style="1" customWidth="1"/>
    <col min="32" max="32" width="10.5703125" style="1" bestFit="1" customWidth="1"/>
    <col min="33" max="33" width="14.42578125" style="1" customWidth="1"/>
    <col min="34" max="34" width="10" style="1" customWidth="1"/>
    <col min="35" max="35" width="11.5703125" style="1" bestFit="1" customWidth="1"/>
    <col min="36" max="36" width="9.140625" style="1"/>
    <col min="37" max="37" width="10.28515625" style="1" bestFit="1" customWidth="1"/>
    <col min="38" max="41" width="9.140625" style="1"/>
    <col min="42" max="42" width="22.140625" style="1" bestFit="1" customWidth="1"/>
    <col min="43" max="66" width="9.140625" style="1"/>
    <col min="67" max="67" width="13.140625" style="1" customWidth="1"/>
    <col min="68" max="68" width="12.85546875" style="1" customWidth="1"/>
    <col min="69" max="69" width="12.5703125" style="1" customWidth="1"/>
    <col min="70" max="70" width="13.140625" style="1" customWidth="1"/>
    <col min="71" max="71" width="11.140625" style="1" customWidth="1"/>
    <col min="72" max="72" width="11.28515625" style="1" customWidth="1"/>
    <col min="73" max="73" width="8.7109375" style="1" customWidth="1"/>
    <col min="74" max="74" width="10.140625" style="1" bestFit="1" customWidth="1"/>
    <col min="75" max="75" width="15.42578125" style="1" customWidth="1"/>
    <col min="76" max="76" width="14.140625" style="1" customWidth="1"/>
    <col min="77" max="77" width="18.140625" style="1" customWidth="1"/>
    <col min="78" max="78" width="10.85546875" style="1" customWidth="1"/>
    <col min="79" max="16384" width="9.140625" style="1"/>
  </cols>
  <sheetData>
    <row r="1" spans="1:80" ht="15.75" hidden="1" customHeight="1" thickBot="1">
      <c r="A1" s="159" t="s">
        <v>394</v>
      </c>
      <c r="B1" s="160">
        <v>0</v>
      </c>
      <c r="C1" s="160">
        <v>1</v>
      </c>
      <c r="D1" s="160">
        <v>2</v>
      </c>
      <c r="E1" s="160">
        <v>3</v>
      </c>
      <c r="F1" s="160">
        <v>4</v>
      </c>
      <c r="G1" s="160">
        <v>0</v>
      </c>
      <c r="H1" s="160">
        <v>0</v>
      </c>
      <c r="I1" s="160">
        <v>0</v>
      </c>
      <c r="J1" s="160">
        <v>0</v>
      </c>
      <c r="K1" s="160">
        <v>5</v>
      </c>
      <c r="L1" s="160">
        <v>6</v>
      </c>
      <c r="M1" s="160">
        <v>7</v>
      </c>
      <c r="N1" s="160">
        <v>0</v>
      </c>
      <c r="O1" s="160">
        <v>8</v>
      </c>
      <c r="P1" s="160">
        <v>0</v>
      </c>
      <c r="Q1" s="160">
        <v>9</v>
      </c>
      <c r="R1" s="160">
        <v>0</v>
      </c>
      <c r="S1" s="160">
        <v>0</v>
      </c>
      <c r="T1" s="160">
        <v>0</v>
      </c>
      <c r="U1" s="160">
        <v>10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c r="BE1" s="160">
        <v>0</v>
      </c>
      <c r="BF1" s="160">
        <v>0</v>
      </c>
      <c r="BG1" s="160">
        <v>0</v>
      </c>
      <c r="BH1" s="160">
        <v>0</v>
      </c>
      <c r="BI1" s="160">
        <v>0</v>
      </c>
      <c r="BJ1" s="160">
        <v>0</v>
      </c>
      <c r="BK1" s="160">
        <v>0</v>
      </c>
      <c r="BL1" s="160">
        <v>0</v>
      </c>
      <c r="BM1" s="160">
        <v>0</v>
      </c>
      <c r="BN1" s="160">
        <v>0</v>
      </c>
      <c r="BO1" s="160">
        <v>0</v>
      </c>
      <c r="BP1" s="160">
        <v>0</v>
      </c>
      <c r="BQ1" s="160">
        <v>0</v>
      </c>
      <c r="BR1" s="160">
        <v>0</v>
      </c>
      <c r="BS1" s="160">
        <v>0</v>
      </c>
      <c r="BT1" s="160">
        <v>0</v>
      </c>
      <c r="BU1" s="160">
        <v>0</v>
      </c>
      <c r="BV1" s="160">
        <v>0</v>
      </c>
      <c r="BW1" s="160">
        <v>0</v>
      </c>
      <c r="BX1" s="160">
        <v>0</v>
      </c>
      <c r="BY1" s="160">
        <v>0</v>
      </c>
      <c r="BZ1" s="160">
        <v>0</v>
      </c>
      <c r="CA1" s="160">
        <v>0</v>
      </c>
      <c r="CB1" s="160">
        <v>0</v>
      </c>
    </row>
    <row r="2" spans="1:80" ht="14.25" hidden="1" customHeight="1" thickBot="1">
      <c r="A2" s="62"/>
      <c r="B2" s="1">
        <v>0</v>
      </c>
      <c r="C2" s="1" t="s">
        <v>427</v>
      </c>
      <c r="D2" s="1" t="s">
        <v>428</v>
      </c>
      <c r="E2" s="1" t="s">
        <v>426</v>
      </c>
      <c r="F2" s="1" t="s">
        <v>2098</v>
      </c>
      <c r="G2" s="1" t="s">
        <v>2099</v>
      </c>
      <c r="H2" s="1" t="s">
        <v>2116</v>
      </c>
      <c r="I2" s="1" t="s">
        <v>2117</v>
      </c>
      <c r="J2" s="1" t="s">
        <v>2120</v>
      </c>
      <c r="K2" s="1" t="s">
        <v>2104</v>
      </c>
      <c r="L2" s="1">
        <v>0</v>
      </c>
      <c r="M2" s="1">
        <v>0</v>
      </c>
      <c r="N2" s="1">
        <v>0</v>
      </c>
      <c r="O2" s="1">
        <v>0</v>
      </c>
      <c r="P2" s="1" t="s">
        <v>1335</v>
      </c>
      <c r="Q2" s="1" t="s">
        <v>578</v>
      </c>
      <c r="R2" s="1" t="s">
        <v>1331</v>
      </c>
      <c r="S2" s="1" t="s">
        <v>579</v>
      </c>
      <c r="T2" s="1" t="s">
        <v>1333</v>
      </c>
      <c r="U2" s="1">
        <v>0</v>
      </c>
      <c r="V2" s="1">
        <v>0</v>
      </c>
      <c r="W2" s="1">
        <v>0</v>
      </c>
      <c r="X2" s="1">
        <v>0</v>
      </c>
      <c r="Y2" s="1">
        <v>0</v>
      </c>
      <c r="Z2" s="1">
        <v>0</v>
      </c>
      <c r="AA2" s="1">
        <v>0</v>
      </c>
      <c r="AB2" s="1">
        <v>0</v>
      </c>
      <c r="AC2" s="1">
        <v>0</v>
      </c>
      <c r="AD2" s="1">
        <v>0</v>
      </c>
      <c r="AE2" s="1">
        <v>0</v>
      </c>
      <c r="AF2" s="1">
        <v>0</v>
      </c>
      <c r="AG2" s="1">
        <v>0</v>
      </c>
      <c r="AH2" s="1">
        <v>0</v>
      </c>
      <c r="AI2" s="1" t="s">
        <v>2102</v>
      </c>
      <c r="AJ2" s="1" t="s">
        <v>2100</v>
      </c>
      <c r="AK2" s="1" t="s">
        <v>2101</v>
      </c>
      <c r="AL2" s="1">
        <v>0</v>
      </c>
      <c r="AM2" s="1">
        <v>0</v>
      </c>
      <c r="AN2" s="1">
        <v>0</v>
      </c>
      <c r="AO2" s="1">
        <v>0</v>
      </c>
      <c r="AP2" s="1">
        <v>0</v>
      </c>
      <c r="AQ2" s="1">
        <v>0</v>
      </c>
      <c r="AR2" s="1">
        <v>0</v>
      </c>
      <c r="AS2" s="1">
        <v>0</v>
      </c>
      <c r="AT2" s="1">
        <v>0</v>
      </c>
      <c r="AU2" s="1">
        <v>0</v>
      </c>
      <c r="AV2" s="1" t="s">
        <v>2119</v>
      </c>
      <c r="AW2" s="1">
        <v>0</v>
      </c>
      <c r="AX2" s="1">
        <v>0</v>
      </c>
      <c r="AY2" s="1" t="s">
        <v>570</v>
      </c>
      <c r="AZ2" s="1" t="s">
        <v>571</v>
      </c>
      <c r="BA2" s="1">
        <v>0</v>
      </c>
      <c r="BB2" s="1">
        <v>0</v>
      </c>
      <c r="BC2" s="1">
        <v>0</v>
      </c>
      <c r="BD2" s="1">
        <v>0</v>
      </c>
      <c r="BE2" s="1" t="s">
        <v>39</v>
      </c>
      <c r="BF2" s="1" t="s">
        <v>40</v>
      </c>
      <c r="BG2" s="1" t="s">
        <v>38</v>
      </c>
      <c r="BH2" s="1" t="s">
        <v>645</v>
      </c>
      <c r="BI2" s="1" t="s">
        <v>2136</v>
      </c>
      <c r="BJ2" s="1" t="s">
        <v>41</v>
      </c>
      <c r="BK2" s="1">
        <v>0</v>
      </c>
      <c r="BL2" s="1">
        <v>0</v>
      </c>
      <c r="BM2" s="1">
        <v>0</v>
      </c>
      <c r="BN2" s="1">
        <v>0</v>
      </c>
      <c r="BO2" s="1" t="s">
        <v>619</v>
      </c>
      <c r="BP2" s="1" t="s">
        <v>613</v>
      </c>
      <c r="BQ2" s="1" t="s">
        <v>615</v>
      </c>
      <c r="BR2" s="1" t="s">
        <v>614</v>
      </c>
      <c r="BS2" s="1" t="s">
        <v>616</v>
      </c>
      <c r="BT2" s="1" t="s">
        <v>617</v>
      </c>
      <c r="BU2" s="1" t="s">
        <v>618</v>
      </c>
      <c r="BV2" s="1" t="s">
        <v>2122</v>
      </c>
      <c r="BW2" s="1" t="s">
        <v>2123</v>
      </c>
      <c r="BX2" s="1" t="s">
        <v>2126</v>
      </c>
      <c r="BY2" s="1" t="s">
        <v>2128</v>
      </c>
      <c r="BZ2" s="1" t="s">
        <v>1343</v>
      </c>
      <c r="CA2" s="1">
        <v>0</v>
      </c>
      <c r="CB2" s="1">
        <v>0</v>
      </c>
    </row>
    <row r="3" spans="1:80" s="7" customFormat="1" ht="19.5" customHeight="1" thickTop="1" thickBot="1">
      <c r="A3" s="60" t="s">
        <v>80</v>
      </c>
      <c r="B3" s="1813" t="s">
        <v>21</v>
      </c>
      <c r="C3" s="1814"/>
      <c r="D3" s="1814"/>
      <c r="E3" s="1814"/>
      <c r="F3" s="1814"/>
      <c r="G3" s="1815"/>
      <c r="H3" s="1815"/>
      <c r="I3" s="1815"/>
      <c r="J3" s="1815"/>
      <c r="K3" s="1816"/>
      <c r="L3" s="1817" t="s">
        <v>17</v>
      </c>
      <c r="M3" s="1818"/>
      <c r="N3" s="1818"/>
      <c r="O3" s="1818"/>
      <c r="P3" s="1818"/>
      <c r="Q3" s="1818"/>
      <c r="R3" s="1818"/>
      <c r="S3" s="1818"/>
      <c r="T3" s="1818"/>
      <c r="U3" s="1818"/>
      <c r="V3" s="1818"/>
      <c r="W3" s="1818"/>
      <c r="X3" s="1818"/>
      <c r="Y3" s="1818"/>
      <c r="Z3" s="1818"/>
      <c r="AA3" s="1818"/>
      <c r="AB3" s="1819"/>
      <c r="AC3" s="68"/>
      <c r="AD3" s="1811" t="s">
        <v>24</v>
      </c>
      <c r="AE3" s="1811"/>
      <c r="AF3" s="1811"/>
      <c r="AG3" s="1811"/>
      <c r="AH3" s="1811"/>
      <c r="AI3" s="1811"/>
      <c r="AJ3" s="1811"/>
      <c r="AK3" s="1812"/>
      <c r="AM3" s="1780" t="s">
        <v>43</v>
      </c>
      <c r="AN3" s="1781"/>
      <c r="AO3" s="1781"/>
      <c r="AP3" s="1781"/>
      <c r="AQ3" s="1781"/>
      <c r="AR3" s="1781"/>
      <c r="AS3" s="1781"/>
      <c r="AT3" s="1781"/>
      <c r="AU3" s="1781"/>
      <c r="AV3" s="1781"/>
      <c r="AW3" s="1781"/>
      <c r="AX3" s="1781"/>
      <c r="AY3" s="1781"/>
      <c r="AZ3" s="1782"/>
      <c r="BB3" s="1780" t="s">
        <v>42</v>
      </c>
      <c r="BC3" s="1781"/>
      <c r="BD3" s="1781"/>
      <c r="BE3" s="1781"/>
      <c r="BF3" s="1781"/>
      <c r="BG3" s="1781"/>
      <c r="BH3" s="1781"/>
      <c r="BI3" s="1781"/>
      <c r="BJ3" s="1782"/>
      <c r="BL3" s="1780" t="s">
        <v>2131</v>
      </c>
      <c r="BM3" s="1781"/>
      <c r="BN3" s="1781"/>
      <c r="BO3" s="1781"/>
      <c r="BP3" s="1781"/>
      <c r="BQ3" s="1781"/>
      <c r="BR3" s="1781"/>
      <c r="BS3" s="1781"/>
      <c r="BT3" s="1781"/>
      <c r="BU3" s="1781"/>
      <c r="BV3" s="1781"/>
      <c r="BW3" s="1781"/>
      <c r="BX3" s="1781"/>
      <c r="BY3" s="1781"/>
      <c r="BZ3" s="1782"/>
    </row>
    <row r="4" spans="1:80" s="7" customFormat="1" ht="37.5" customHeight="1" thickTop="1">
      <c r="A4" s="61"/>
      <c r="B4" s="90" t="s">
        <v>2</v>
      </c>
      <c r="C4" s="79" t="s">
        <v>3</v>
      </c>
      <c r="D4" s="79" t="s">
        <v>0</v>
      </c>
      <c r="E4" s="79" t="s">
        <v>81</v>
      </c>
      <c r="F4" s="79" t="s">
        <v>87</v>
      </c>
      <c r="G4" s="79" t="s">
        <v>582</v>
      </c>
      <c r="H4" s="92" t="s">
        <v>583</v>
      </c>
      <c r="I4" s="92" t="s">
        <v>584</v>
      </c>
      <c r="J4" s="92" t="s">
        <v>2121</v>
      </c>
      <c r="K4" s="80" t="s">
        <v>14</v>
      </c>
      <c r="L4" s="83" t="s">
        <v>595</v>
      </c>
      <c r="M4" s="83" t="s">
        <v>596</v>
      </c>
      <c r="N4" s="83" t="s">
        <v>598</v>
      </c>
      <c r="O4" s="83" t="s">
        <v>606</v>
      </c>
      <c r="P4" s="82" t="s">
        <v>1336</v>
      </c>
      <c r="Q4" s="101" t="s">
        <v>23</v>
      </c>
      <c r="R4" s="101" t="s">
        <v>2137</v>
      </c>
      <c r="S4" s="101" t="s">
        <v>2106</v>
      </c>
      <c r="T4" s="101" t="s">
        <v>1334</v>
      </c>
      <c r="U4" s="101" t="s">
        <v>604</v>
      </c>
      <c r="V4" s="83" t="s">
        <v>605</v>
      </c>
      <c r="W4" s="82" t="s">
        <v>601</v>
      </c>
      <c r="X4" s="83" t="s">
        <v>19</v>
      </c>
      <c r="Y4" s="83" t="s">
        <v>590</v>
      </c>
      <c r="Z4" s="82" t="s">
        <v>602</v>
      </c>
      <c r="AA4" s="83" t="s">
        <v>591</v>
      </c>
      <c r="AB4" s="83" t="s">
        <v>603</v>
      </c>
      <c r="AC4" s="69"/>
      <c r="AD4" s="85" t="s">
        <v>56</v>
      </c>
      <c r="AE4" s="86" t="s">
        <v>55</v>
      </c>
      <c r="AF4" s="87" t="s">
        <v>26</v>
      </c>
      <c r="AG4" s="88" t="s">
        <v>11</v>
      </c>
      <c r="AH4" s="88" t="s">
        <v>15</v>
      </c>
      <c r="AI4" s="88" t="s">
        <v>2490</v>
      </c>
      <c r="AJ4" s="88" t="s">
        <v>5</v>
      </c>
      <c r="AK4" s="89" t="s">
        <v>2491</v>
      </c>
      <c r="AM4" s="52" t="str">
        <f t="shared" ref="AM4:AP9" si="0">B4</f>
        <v>No.</v>
      </c>
      <c r="AN4" s="53" t="str">
        <f t="shared" si="0"/>
        <v>Ref.</v>
      </c>
      <c r="AO4" s="53" t="str">
        <f t="shared" si="0"/>
        <v>Model</v>
      </c>
      <c r="AP4" s="238" t="str">
        <f t="shared" si="0"/>
        <v>Supply Flow Rate
 CFM</v>
      </c>
      <c r="AQ4" s="241" t="str">
        <f t="shared" ref="AQ4:AQ9" si="1">V4</f>
        <v>ESP
(inwg)</v>
      </c>
      <c r="AR4" s="54" t="s">
        <v>31</v>
      </c>
      <c r="AS4" s="54" t="s">
        <v>29</v>
      </c>
      <c r="AT4" s="53" t="s">
        <v>30</v>
      </c>
      <c r="AU4" s="53" t="s">
        <v>32</v>
      </c>
      <c r="AV4" s="53" t="s">
        <v>33</v>
      </c>
      <c r="AW4" s="53" t="s">
        <v>34</v>
      </c>
      <c r="AX4" s="53" t="s">
        <v>8</v>
      </c>
      <c r="AY4" s="53" t="s">
        <v>36</v>
      </c>
      <c r="AZ4" s="55" t="s">
        <v>37</v>
      </c>
      <c r="BB4" s="48" t="str">
        <f t="shared" ref="BB4:BD9" si="2">B4</f>
        <v>No.</v>
      </c>
      <c r="BC4" s="49" t="str">
        <f t="shared" si="2"/>
        <v>Ref.</v>
      </c>
      <c r="BD4" s="49" t="str">
        <f t="shared" si="2"/>
        <v>Model</v>
      </c>
      <c r="BE4" s="49" t="s">
        <v>39</v>
      </c>
      <c r="BF4" s="50" t="s">
        <v>40</v>
      </c>
      <c r="BG4" s="50" t="s">
        <v>38</v>
      </c>
      <c r="BH4" s="243" t="s">
        <v>645</v>
      </c>
      <c r="BI4" s="243" t="s">
        <v>2136</v>
      </c>
      <c r="BJ4" s="51" t="s">
        <v>41</v>
      </c>
      <c r="BL4" s="767" t="str">
        <f t="shared" ref="BL4:BN5" si="3">BB4</f>
        <v>No.</v>
      </c>
      <c r="BM4" s="239" t="str">
        <f t="shared" si="3"/>
        <v>Ref.</v>
      </c>
      <c r="BN4" s="239" t="str">
        <f t="shared" si="3"/>
        <v>Model</v>
      </c>
      <c r="BO4" s="239" t="s">
        <v>621</v>
      </c>
      <c r="BP4" s="239" t="s">
        <v>580</v>
      </c>
      <c r="BQ4" s="239" t="s">
        <v>1329</v>
      </c>
      <c r="BR4" s="239" t="s">
        <v>581</v>
      </c>
      <c r="BS4" s="239" t="s">
        <v>1330</v>
      </c>
      <c r="BT4" s="239" t="s">
        <v>620</v>
      </c>
      <c r="BU4" s="239" t="s">
        <v>5</v>
      </c>
      <c r="BV4" s="239" t="s">
        <v>2130</v>
      </c>
      <c r="BW4" s="239" t="s">
        <v>2129</v>
      </c>
      <c r="BX4" s="239" t="s">
        <v>2125</v>
      </c>
      <c r="BY4" s="239" t="s">
        <v>2127</v>
      </c>
      <c r="BZ4" s="240" t="s">
        <v>1328</v>
      </c>
    </row>
    <row r="5" spans="1:80" s="7" customFormat="1" ht="16.5">
      <c r="A5" s="62"/>
      <c r="B5" s="24">
        <v>1</v>
      </c>
      <c r="C5" s="25" t="s">
        <v>2840</v>
      </c>
      <c r="D5" s="22" t="s">
        <v>2840</v>
      </c>
      <c r="E5" s="22">
        <f>O5*2.1191</f>
        <v>0</v>
      </c>
      <c r="F5" s="22" t="s">
        <v>2840</v>
      </c>
      <c r="G5" s="93"/>
      <c r="H5" s="93"/>
      <c r="I5" s="93"/>
      <c r="J5" s="93"/>
      <c r="K5" s="107"/>
      <c r="L5" s="26"/>
      <c r="M5" s="26">
        <f>L5*3412</f>
        <v>0</v>
      </c>
      <c r="N5" s="26"/>
      <c r="O5" s="8"/>
      <c r="P5" s="8"/>
      <c r="Q5" s="8"/>
      <c r="R5" s="8"/>
      <c r="S5" s="8"/>
      <c r="T5" s="8"/>
      <c r="U5" s="8"/>
      <c r="V5" s="119">
        <f>U5/249</f>
        <v>0</v>
      </c>
      <c r="W5" s="210"/>
      <c r="X5" s="210"/>
      <c r="Y5" s="210"/>
      <c r="Z5" s="210">
        <f>W5*1.8+32</f>
        <v>32</v>
      </c>
      <c r="AA5" s="210">
        <f>X5*1.8+32</f>
        <v>32</v>
      </c>
      <c r="AB5" s="210">
        <f>Y5*1.8+32</f>
        <v>32</v>
      </c>
      <c r="AC5" s="69"/>
      <c r="AD5" s="43"/>
      <c r="AE5" s="9"/>
      <c r="AF5" s="9">
        <f>SUM(AD5:AE5)</f>
        <v>0</v>
      </c>
      <c r="AG5" s="22">
        <f>AF5*3.75</f>
        <v>0</v>
      </c>
      <c r="AH5" s="22">
        <f>AG5*1.25</f>
        <v>0</v>
      </c>
      <c r="AI5" s="22">
        <f>CEILING(AH5,5)</f>
        <v>0</v>
      </c>
      <c r="AJ5" s="22"/>
      <c r="AK5" s="23">
        <f>AJ5*AI5</f>
        <v>0</v>
      </c>
      <c r="AM5" s="12">
        <f t="shared" si="0"/>
        <v>1</v>
      </c>
      <c r="AN5" s="8" t="str">
        <f t="shared" si="0"/>
        <v>XX</v>
      </c>
      <c r="AO5" s="8" t="str">
        <f t="shared" si="0"/>
        <v>XX</v>
      </c>
      <c r="AP5" s="8">
        <f t="shared" si="0"/>
        <v>0</v>
      </c>
      <c r="AQ5" s="118">
        <f t="shared" si="1"/>
        <v>0</v>
      </c>
      <c r="AR5" s="118"/>
      <c r="AS5" s="119"/>
      <c r="AT5" s="119"/>
      <c r="AU5" s="119"/>
      <c r="AV5" s="119"/>
      <c r="AW5" s="119"/>
      <c r="AX5" s="119">
        <f>SUM(AQ5:AW5)</f>
        <v>0</v>
      </c>
      <c r="AY5" s="8"/>
      <c r="AZ5" s="13"/>
      <c r="BB5" s="12">
        <f t="shared" si="2"/>
        <v>1</v>
      </c>
      <c r="BC5" s="8" t="str">
        <f t="shared" si="2"/>
        <v>XX</v>
      </c>
      <c r="BD5" s="8" t="str">
        <f t="shared" si="2"/>
        <v>XX</v>
      </c>
      <c r="BE5" s="210"/>
      <c r="BF5" s="223"/>
      <c r="BG5" s="223"/>
      <c r="BH5" s="226"/>
      <c r="BI5" s="226"/>
      <c r="BJ5" s="213"/>
      <c r="BL5" s="12">
        <f t="shared" si="3"/>
        <v>1</v>
      </c>
      <c r="BM5" s="8" t="str">
        <f t="shared" si="3"/>
        <v>XX</v>
      </c>
      <c r="BN5" s="8" t="str">
        <f t="shared" si="3"/>
        <v>XX</v>
      </c>
      <c r="BO5" s="742"/>
      <c r="BP5" s="749"/>
      <c r="BQ5" s="752"/>
      <c r="BR5" s="223"/>
      <c r="BS5" s="210"/>
      <c r="BT5" s="745"/>
      <c r="BU5" s="745"/>
      <c r="BV5" s="742"/>
      <c r="BW5" s="742"/>
      <c r="BX5" s="742"/>
      <c r="BY5" s="742"/>
      <c r="BZ5" s="758"/>
    </row>
    <row r="6" spans="1:80" s="7" customFormat="1" ht="16.5">
      <c r="A6" s="62"/>
      <c r="B6" s="12">
        <v>2</v>
      </c>
      <c r="C6" s="6"/>
      <c r="D6" s="9"/>
      <c r="E6" s="22">
        <f>O6*2.1191</f>
        <v>0</v>
      </c>
      <c r="F6" s="9"/>
      <c r="G6" s="170"/>
      <c r="H6" s="170"/>
      <c r="I6" s="170"/>
      <c r="J6" s="170"/>
      <c r="K6" s="108"/>
      <c r="L6" s="26"/>
      <c r="M6" s="26">
        <f>L6*3412</f>
        <v>0</v>
      </c>
      <c r="N6" s="26"/>
      <c r="O6" s="8"/>
      <c r="P6" s="8"/>
      <c r="Q6" s="8"/>
      <c r="R6" s="8"/>
      <c r="S6" s="8"/>
      <c r="T6" s="8"/>
      <c r="U6" s="8"/>
      <c r="V6" s="119">
        <f>U6/249</f>
        <v>0</v>
      </c>
      <c r="W6" s="210"/>
      <c r="X6" s="210"/>
      <c r="Y6" s="210"/>
      <c r="Z6" s="210">
        <f t="shared" ref="Z6:AB9" si="4">W6*1.8+32</f>
        <v>32</v>
      </c>
      <c r="AA6" s="210">
        <f t="shared" si="4"/>
        <v>32</v>
      </c>
      <c r="AB6" s="210">
        <f t="shared" si="4"/>
        <v>32</v>
      </c>
      <c r="AC6" s="69"/>
      <c r="AD6" s="43"/>
      <c r="AE6" s="9"/>
      <c r="AF6" s="9">
        <f>SUM(AD6:AE6)</f>
        <v>0</v>
      </c>
      <c r="AG6" s="9">
        <f>AF6*3.75</f>
        <v>0</v>
      </c>
      <c r="AH6" s="9">
        <f>AG6*1.25</f>
        <v>0</v>
      </c>
      <c r="AI6" s="9">
        <f>CEILING(AH6,5)</f>
        <v>0</v>
      </c>
      <c r="AJ6" s="9"/>
      <c r="AK6" s="10">
        <f>AJ6*AI6</f>
        <v>0</v>
      </c>
      <c r="AM6" s="12">
        <f t="shared" si="0"/>
        <v>2</v>
      </c>
      <c r="AN6" s="8">
        <f t="shared" si="0"/>
        <v>0</v>
      </c>
      <c r="AO6" s="8">
        <f t="shared" si="0"/>
        <v>0</v>
      </c>
      <c r="AP6" s="8">
        <f t="shared" si="0"/>
        <v>0</v>
      </c>
      <c r="AQ6" s="118">
        <f t="shared" si="1"/>
        <v>0</v>
      </c>
      <c r="AR6" s="118"/>
      <c r="AS6" s="119"/>
      <c r="AT6" s="119"/>
      <c r="AU6" s="119"/>
      <c r="AV6" s="119"/>
      <c r="AW6" s="119"/>
      <c r="AX6" s="119">
        <f>SUM(AQ6:AW6)</f>
        <v>0</v>
      </c>
      <c r="AY6" s="8"/>
      <c r="AZ6" s="13"/>
      <c r="BB6" s="12">
        <f t="shared" si="2"/>
        <v>2</v>
      </c>
      <c r="BC6" s="8">
        <f t="shared" si="2"/>
        <v>0</v>
      </c>
      <c r="BD6" s="8">
        <f t="shared" si="2"/>
        <v>0</v>
      </c>
      <c r="BE6" s="210"/>
      <c r="BF6" s="223"/>
      <c r="BG6" s="223"/>
      <c r="BH6" s="226"/>
      <c r="BI6" s="226"/>
      <c r="BJ6" s="213"/>
      <c r="BL6" s="12">
        <f t="shared" ref="BL6:BN9" si="5">BB6</f>
        <v>2</v>
      </c>
      <c r="BM6" s="8">
        <f t="shared" si="5"/>
        <v>0</v>
      </c>
      <c r="BN6" s="8">
        <f t="shared" si="5"/>
        <v>0</v>
      </c>
      <c r="BO6" s="742"/>
      <c r="BP6" s="749"/>
      <c r="BQ6" s="752"/>
      <c r="BR6" s="223"/>
      <c r="BS6" s="210"/>
      <c r="BT6" s="745"/>
      <c r="BU6" s="745"/>
      <c r="BV6" s="742"/>
      <c r="BW6" s="742"/>
      <c r="BX6" s="742"/>
      <c r="BY6" s="742"/>
      <c r="BZ6" s="758"/>
    </row>
    <row r="7" spans="1:80" s="7" customFormat="1" ht="16.5">
      <c r="A7" s="62"/>
      <c r="B7" s="12">
        <v>3</v>
      </c>
      <c r="C7" s="6"/>
      <c r="D7" s="9"/>
      <c r="E7" s="22">
        <f>O7*2.1191</f>
        <v>0</v>
      </c>
      <c r="F7" s="9"/>
      <c r="G7" s="170"/>
      <c r="H7" s="170"/>
      <c r="I7" s="170"/>
      <c r="J7" s="170"/>
      <c r="K7" s="108"/>
      <c r="L7" s="26"/>
      <c r="M7" s="26">
        <f>L7*3412</f>
        <v>0</v>
      </c>
      <c r="N7" s="26"/>
      <c r="O7" s="8"/>
      <c r="P7" s="8"/>
      <c r="Q7" s="8"/>
      <c r="R7" s="8"/>
      <c r="S7" s="8"/>
      <c r="T7" s="8"/>
      <c r="U7" s="8"/>
      <c r="V7" s="119">
        <f>U7/249</f>
        <v>0</v>
      </c>
      <c r="W7" s="210"/>
      <c r="X7" s="210"/>
      <c r="Y7" s="210"/>
      <c r="Z7" s="210">
        <f t="shared" si="4"/>
        <v>32</v>
      </c>
      <c r="AA7" s="210">
        <f t="shared" si="4"/>
        <v>32</v>
      </c>
      <c r="AB7" s="210">
        <f t="shared" si="4"/>
        <v>32</v>
      </c>
      <c r="AC7" s="69"/>
      <c r="AD7" s="43"/>
      <c r="AE7" s="9"/>
      <c r="AF7" s="9">
        <f>SUM(AD7:AE7)</f>
        <v>0</v>
      </c>
      <c r="AG7" s="9">
        <f>AF7*3.75</f>
        <v>0</v>
      </c>
      <c r="AH7" s="9">
        <f>AG7*1.25</f>
        <v>0</v>
      </c>
      <c r="AI7" s="9">
        <f>CEILING(AH7,5)</f>
        <v>0</v>
      </c>
      <c r="AJ7" s="9"/>
      <c r="AK7" s="10">
        <f>AJ7*AI7</f>
        <v>0</v>
      </c>
      <c r="AM7" s="12">
        <f t="shared" si="0"/>
        <v>3</v>
      </c>
      <c r="AN7" s="8">
        <f t="shared" si="0"/>
        <v>0</v>
      </c>
      <c r="AO7" s="8">
        <f t="shared" si="0"/>
        <v>0</v>
      </c>
      <c r="AP7" s="8">
        <f t="shared" si="0"/>
        <v>0</v>
      </c>
      <c r="AQ7" s="118">
        <f t="shared" si="1"/>
        <v>0</v>
      </c>
      <c r="AR7" s="118"/>
      <c r="AS7" s="119"/>
      <c r="AT7" s="119"/>
      <c r="AU7" s="119"/>
      <c r="AV7" s="119"/>
      <c r="AW7" s="119"/>
      <c r="AX7" s="119">
        <f>SUM(AQ7:AW7)</f>
        <v>0</v>
      </c>
      <c r="AY7" s="8"/>
      <c r="AZ7" s="13"/>
      <c r="BB7" s="12">
        <f t="shared" si="2"/>
        <v>3</v>
      </c>
      <c r="BC7" s="8">
        <f t="shared" si="2"/>
        <v>0</v>
      </c>
      <c r="BD7" s="8">
        <f t="shared" si="2"/>
        <v>0</v>
      </c>
      <c r="BE7" s="210"/>
      <c r="BF7" s="223"/>
      <c r="BG7" s="223"/>
      <c r="BH7" s="226"/>
      <c r="BI7" s="226"/>
      <c r="BJ7" s="213"/>
      <c r="BL7" s="12">
        <f t="shared" si="5"/>
        <v>3</v>
      </c>
      <c r="BM7" s="8">
        <f t="shared" si="5"/>
        <v>0</v>
      </c>
      <c r="BN7" s="8">
        <f t="shared" si="5"/>
        <v>0</v>
      </c>
      <c r="BO7" s="742"/>
      <c r="BP7" s="749"/>
      <c r="BQ7" s="752"/>
      <c r="BR7" s="223"/>
      <c r="BS7" s="210"/>
      <c r="BT7" s="745"/>
      <c r="BU7" s="745"/>
      <c r="BV7" s="742"/>
      <c r="BW7" s="742"/>
      <c r="BX7" s="742"/>
      <c r="BY7" s="742"/>
      <c r="BZ7" s="758"/>
    </row>
    <row r="8" spans="1:80" s="7" customFormat="1" ht="16.5">
      <c r="A8" s="62"/>
      <c r="B8" s="12">
        <v>4</v>
      </c>
      <c r="C8" s="6"/>
      <c r="D8" s="9"/>
      <c r="E8" s="22">
        <f>O8*2.1191</f>
        <v>0</v>
      </c>
      <c r="F8" s="9"/>
      <c r="G8" s="170"/>
      <c r="H8" s="170"/>
      <c r="I8" s="170"/>
      <c r="J8" s="170"/>
      <c r="K8" s="108"/>
      <c r="L8" s="26"/>
      <c r="M8" s="26">
        <f>L8*3412</f>
        <v>0</v>
      </c>
      <c r="N8" s="26"/>
      <c r="O8" s="8"/>
      <c r="P8" s="8"/>
      <c r="Q8" s="8"/>
      <c r="R8" s="8"/>
      <c r="S8" s="8"/>
      <c r="T8" s="8"/>
      <c r="U8" s="8"/>
      <c r="V8" s="119">
        <f>U8/249</f>
        <v>0</v>
      </c>
      <c r="W8" s="210"/>
      <c r="X8" s="210"/>
      <c r="Y8" s="210"/>
      <c r="Z8" s="210">
        <f t="shared" si="4"/>
        <v>32</v>
      </c>
      <c r="AA8" s="210">
        <f t="shared" si="4"/>
        <v>32</v>
      </c>
      <c r="AB8" s="210">
        <f t="shared" si="4"/>
        <v>32</v>
      </c>
      <c r="AC8" s="69"/>
      <c r="AD8" s="43"/>
      <c r="AE8" s="9"/>
      <c r="AF8" s="9">
        <f>SUM(AD8:AE8)</f>
        <v>0</v>
      </c>
      <c r="AG8" s="9">
        <f>AF8*3.75</f>
        <v>0</v>
      </c>
      <c r="AH8" s="9">
        <f>AG8*1.25</f>
        <v>0</v>
      </c>
      <c r="AI8" s="9">
        <f>CEILING(AH8,5)</f>
        <v>0</v>
      </c>
      <c r="AJ8" s="9"/>
      <c r="AK8" s="10">
        <f>AJ8*AI8</f>
        <v>0</v>
      </c>
      <c r="AM8" s="12">
        <f t="shared" si="0"/>
        <v>4</v>
      </c>
      <c r="AN8" s="8">
        <f t="shared" si="0"/>
        <v>0</v>
      </c>
      <c r="AO8" s="8">
        <f t="shared" si="0"/>
        <v>0</v>
      </c>
      <c r="AP8" s="8">
        <f t="shared" si="0"/>
        <v>0</v>
      </c>
      <c r="AQ8" s="118">
        <f t="shared" si="1"/>
        <v>0</v>
      </c>
      <c r="AR8" s="118"/>
      <c r="AS8" s="119"/>
      <c r="AT8" s="119"/>
      <c r="AU8" s="119"/>
      <c r="AV8" s="119"/>
      <c r="AW8" s="119"/>
      <c r="AX8" s="119">
        <f>SUM(AQ8:AW8)</f>
        <v>0</v>
      </c>
      <c r="AY8" s="8"/>
      <c r="AZ8" s="13"/>
      <c r="BB8" s="12">
        <f t="shared" si="2"/>
        <v>4</v>
      </c>
      <c r="BC8" s="8">
        <f t="shared" si="2"/>
        <v>0</v>
      </c>
      <c r="BD8" s="8">
        <f t="shared" si="2"/>
        <v>0</v>
      </c>
      <c r="BE8" s="210"/>
      <c r="BF8" s="223"/>
      <c r="BG8" s="223"/>
      <c r="BH8" s="226"/>
      <c r="BI8" s="226"/>
      <c r="BJ8" s="213"/>
      <c r="BL8" s="12">
        <f t="shared" si="5"/>
        <v>4</v>
      </c>
      <c r="BM8" s="8">
        <f t="shared" si="5"/>
        <v>0</v>
      </c>
      <c r="BN8" s="8">
        <f t="shared" si="5"/>
        <v>0</v>
      </c>
      <c r="BO8" s="742"/>
      <c r="BP8" s="749"/>
      <c r="BQ8" s="752"/>
      <c r="BR8" s="223"/>
      <c r="BS8" s="210"/>
      <c r="BT8" s="745"/>
      <c r="BU8" s="745"/>
      <c r="BV8" s="742"/>
      <c r="BW8" s="742"/>
      <c r="BX8" s="742"/>
      <c r="BY8" s="742"/>
      <c r="BZ8" s="758"/>
    </row>
    <row r="9" spans="1:80" s="7" customFormat="1" ht="15.75" customHeight="1" thickBot="1">
      <c r="A9" s="62"/>
      <c r="B9" s="38">
        <v>5</v>
      </c>
      <c r="C9" s="17"/>
      <c r="D9" s="18"/>
      <c r="E9" s="18">
        <f>O9*2.1191</f>
        <v>0</v>
      </c>
      <c r="F9" s="18"/>
      <c r="G9" s="171"/>
      <c r="H9" s="171"/>
      <c r="I9" s="171"/>
      <c r="J9" s="171"/>
      <c r="K9" s="109"/>
      <c r="L9" s="27"/>
      <c r="M9" s="27">
        <f>L9*3412</f>
        <v>0</v>
      </c>
      <c r="N9" s="27"/>
      <c r="O9" s="15"/>
      <c r="P9" s="15"/>
      <c r="Q9" s="15"/>
      <c r="R9" s="15"/>
      <c r="S9" s="15"/>
      <c r="T9" s="15"/>
      <c r="U9" s="15"/>
      <c r="V9" s="121">
        <f>U9/249</f>
        <v>0</v>
      </c>
      <c r="W9" s="211"/>
      <c r="X9" s="211"/>
      <c r="Y9" s="211"/>
      <c r="Z9" s="211">
        <f t="shared" si="4"/>
        <v>32</v>
      </c>
      <c r="AA9" s="211">
        <f t="shared" si="4"/>
        <v>32</v>
      </c>
      <c r="AB9" s="211">
        <f t="shared" si="4"/>
        <v>32</v>
      </c>
      <c r="AC9" s="70"/>
      <c r="AD9" s="18"/>
      <c r="AE9" s="18"/>
      <c r="AF9" s="18">
        <f>SUM(AD9:AE9)</f>
        <v>0</v>
      </c>
      <c r="AG9" s="18">
        <f>AF9*3.75</f>
        <v>0</v>
      </c>
      <c r="AH9" s="18">
        <f>AG9*1.25</f>
        <v>0</v>
      </c>
      <c r="AI9" s="18">
        <f>CEILING(AH9,5)</f>
        <v>0</v>
      </c>
      <c r="AJ9" s="18"/>
      <c r="AK9" s="19">
        <f>AJ9*AI9</f>
        <v>0</v>
      </c>
      <c r="AM9" s="14">
        <f t="shared" si="0"/>
        <v>5</v>
      </c>
      <c r="AN9" s="15">
        <f t="shared" si="0"/>
        <v>0</v>
      </c>
      <c r="AO9" s="15">
        <f t="shared" si="0"/>
        <v>0</v>
      </c>
      <c r="AP9" s="15">
        <f t="shared" si="0"/>
        <v>0</v>
      </c>
      <c r="AQ9" s="120">
        <f t="shared" si="1"/>
        <v>0</v>
      </c>
      <c r="AR9" s="120"/>
      <c r="AS9" s="121"/>
      <c r="AT9" s="121"/>
      <c r="AU9" s="121"/>
      <c r="AV9" s="121"/>
      <c r="AW9" s="121"/>
      <c r="AX9" s="121">
        <f>SUM(AQ9:AW9)</f>
        <v>0</v>
      </c>
      <c r="AY9" s="15"/>
      <c r="AZ9" s="16"/>
      <c r="BB9" s="14">
        <f t="shared" si="2"/>
        <v>5</v>
      </c>
      <c r="BC9" s="15">
        <f t="shared" si="2"/>
        <v>0</v>
      </c>
      <c r="BD9" s="15">
        <f t="shared" si="2"/>
        <v>0</v>
      </c>
      <c r="BE9" s="211"/>
      <c r="BF9" s="224"/>
      <c r="BG9" s="224"/>
      <c r="BH9" s="227"/>
      <c r="BI9" s="227"/>
      <c r="BJ9" s="214"/>
      <c r="BL9" s="14">
        <f t="shared" si="5"/>
        <v>5</v>
      </c>
      <c r="BM9" s="15">
        <f t="shared" si="5"/>
        <v>0</v>
      </c>
      <c r="BN9" s="15">
        <f t="shared" si="5"/>
        <v>0</v>
      </c>
      <c r="BO9" s="743"/>
      <c r="BP9" s="750"/>
      <c r="BQ9" s="753"/>
      <c r="BR9" s="224"/>
      <c r="BS9" s="211"/>
      <c r="BT9" s="746"/>
      <c r="BU9" s="746"/>
      <c r="BV9" s="743"/>
      <c r="BW9" s="743"/>
      <c r="BX9" s="743"/>
      <c r="BY9" s="743"/>
      <c r="BZ9" s="759"/>
    </row>
    <row r="10" spans="1:80" ht="17.25" thickBot="1">
      <c r="A10" s="62"/>
      <c r="AE10" s="2"/>
      <c r="AF10" s="2"/>
      <c r="AG10" s="2"/>
      <c r="AH10" s="2"/>
      <c r="AI10" s="2"/>
      <c r="AJ10" s="174">
        <f>SUM(AJ5:AJ9)</f>
        <v>0</v>
      </c>
      <c r="AK10" s="175">
        <f>SUM(AK5:AK9)</f>
        <v>0</v>
      </c>
    </row>
    <row r="11" spans="1:80" ht="15.75">
      <c r="A11" s="62"/>
      <c r="L11" s="5"/>
      <c r="M11" s="5"/>
      <c r="N11" s="5"/>
      <c r="O11" s="5"/>
      <c r="P11" s="5"/>
    </row>
    <row r="12" spans="1:80" ht="15.75">
      <c r="A12" s="62"/>
    </row>
    <row r="13" spans="1:80" ht="16.5" thickBot="1">
      <c r="A13" s="62"/>
    </row>
    <row r="14" spans="1:80" ht="21" thickBot="1">
      <c r="A14" s="62"/>
      <c r="C14" s="1790" t="s">
        <v>61</v>
      </c>
      <c r="D14" s="1784"/>
      <c r="E14" s="1784"/>
      <c r="F14" s="1784"/>
      <c r="G14" s="1784"/>
      <c r="H14" s="1784"/>
      <c r="I14" s="1784"/>
      <c r="J14" s="1784"/>
      <c r="K14" s="1784"/>
      <c r="L14" s="1785"/>
    </row>
    <row r="15" spans="1:80" ht="15.75">
      <c r="A15" s="62"/>
      <c r="C15" s="39" t="s">
        <v>3</v>
      </c>
      <c r="D15" s="39"/>
      <c r="E15" s="39"/>
      <c r="F15" s="39"/>
      <c r="G15" s="39"/>
      <c r="H15" s="39"/>
      <c r="I15" s="39"/>
      <c r="J15" s="39"/>
      <c r="K15" s="39"/>
      <c r="L15" s="39"/>
    </row>
    <row r="16" spans="1:80"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7">
    <mergeCell ref="BL3:BZ3"/>
    <mergeCell ref="BB3:BJ3"/>
    <mergeCell ref="C14:L14"/>
    <mergeCell ref="B3:K3"/>
    <mergeCell ref="L3:AB3"/>
    <mergeCell ref="AD3:AK3"/>
    <mergeCell ref="AM3:AZ3"/>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21" r:id="rId4" name="Hide">
          <controlPr defaultSize="0" autoLine="0" r:id="rId5">
            <anchor moveWithCells="1">
              <from>
                <xdr:col>0</xdr:col>
                <xdr:colOff>0</xdr:colOff>
                <xdr:row>2</xdr:row>
                <xdr:rowOff>0</xdr:rowOff>
              </from>
              <to>
                <xdr:col>2</xdr:col>
                <xdr:colOff>209550</xdr:colOff>
                <xdr:row>3</xdr:row>
                <xdr:rowOff>66675</xdr:rowOff>
              </to>
            </anchor>
          </controlPr>
        </control>
      </mc:Choice>
      <mc:Fallback>
        <control shapeId="30721" r:id="rId4" name="Hide"/>
      </mc:Fallback>
    </mc:AlternateContent>
    <mc:AlternateContent xmlns:mc="http://schemas.openxmlformats.org/markup-compatibility/2006">
      <mc:Choice Requires="x14">
        <control shapeId="30722" r:id="rId6" name="Specs">
          <controlPr defaultSize="0" autoLine="0" r:id="rId7">
            <anchor moveWithCells="1">
              <from>
                <xdr:col>0</xdr:col>
                <xdr:colOff>0</xdr:colOff>
                <xdr:row>3</xdr:row>
                <xdr:rowOff>133350</xdr:rowOff>
              </from>
              <to>
                <xdr:col>3</xdr:col>
                <xdr:colOff>247650</xdr:colOff>
                <xdr:row>3</xdr:row>
                <xdr:rowOff>447675</xdr:rowOff>
              </to>
            </anchor>
          </controlPr>
        </control>
      </mc:Choice>
      <mc:Fallback>
        <control shapeId="30722" r:id="rId6" name="Specs"/>
      </mc:Fallback>
    </mc:AlternateContent>
    <mc:AlternateContent xmlns:mc="http://schemas.openxmlformats.org/markup-compatibility/2006">
      <mc:Choice Requires="x14">
        <control shapeId="30723" r:id="rId8" name="Technical">
          <controlPr defaultSize="0" autoLine="0" r:id="rId9">
            <anchor moveWithCells="1">
              <from>
                <xdr:col>0</xdr:col>
                <xdr:colOff>0</xdr:colOff>
                <xdr:row>3</xdr:row>
                <xdr:rowOff>133350</xdr:rowOff>
              </from>
              <to>
                <xdr:col>3</xdr:col>
                <xdr:colOff>247650</xdr:colOff>
                <xdr:row>3</xdr:row>
                <xdr:rowOff>447675</xdr:rowOff>
              </to>
            </anchor>
          </controlPr>
        </control>
      </mc:Choice>
      <mc:Fallback>
        <control shapeId="30723" r:id="rId8" name="Technical"/>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D6_CRAH"/>
  <dimension ref="A1:BN56"/>
  <sheetViews>
    <sheetView zoomScale="80" zoomScaleNormal="80" workbookViewId="0">
      <pane xSplit="1" topLeftCell="B1" activePane="topRight" state="frozen"/>
      <selection pane="topRight" activeCell="A5" sqref="A5"/>
    </sheetView>
  </sheetViews>
  <sheetFormatPr defaultColWidth="9.140625" defaultRowHeight="15"/>
  <cols>
    <col min="1" max="1" width="55.7109375" style="1" hidden="1" customWidth="1"/>
    <col min="2" max="2" width="4.140625" style="1" bestFit="1" customWidth="1"/>
    <col min="3" max="3" width="15" style="1" bestFit="1" customWidth="1"/>
    <col min="4" max="4" width="14.42578125" style="1" customWidth="1"/>
    <col min="5" max="5" width="17.140625" style="1" customWidth="1"/>
    <col min="6" max="6" width="14.28515625" style="1" bestFit="1" customWidth="1"/>
    <col min="7" max="7" width="14.28515625" style="1" customWidth="1"/>
    <col min="8" max="9" width="7.5703125" style="1" customWidth="1"/>
    <col min="10" max="10" width="9.42578125" style="1" customWidth="1"/>
    <col min="11" max="13" width="14.140625" style="1" customWidth="1"/>
    <col min="14" max="14" width="9.140625" style="1"/>
    <col min="15" max="15" width="14.5703125" style="1" customWidth="1"/>
    <col min="16" max="17" width="9.140625" style="1" customWidth="1"/>
    <col min="18" max="19" width="7.28515625" style="1" customWidth="1"/>
    <col min="20" max="22" width="8.28515625" style="1" customWidth="1"/>
    <col min="23" max="23" width="8.5703125" style="1" customWidth="1"/>
    <col min="24" max="27" width="10" style="1" customWidth="1"/>
    <col min="28" max="28" width="3.85546875" style="1" customWidth="1"/>
    <col min="29" max="29" width="17.28515625" style="1" bestFit="1" customWidth="1"/>
    <col min="30" max="30" width="13.85546875" style="1" customWidth="1"/>
    <col min="31" max="31" width="10.5703125" style="1" bestFit="1" customWidth="1"/>
    <col min="32" max="32" width="14.42578125" style="1" customWidth="1"/>
    <col min="33" max="33" width="10" style="1" customWidth="1"/>
    <col min="34" max="34" width="11.5703125" style="1" bestFit="1" customWidth="1"/>
    <col min="35" max="35" width="9.140625" style="1"/>
    <col min="36" max="36" width="10.28515625" style="1" bestFit="1" customWidth="1"/>
    <col min="37" max="40" width="9.140625" style="1"/>
    <col min="41" max="41" width="22.140625" style="1" bestFit="1" customWidth="1"/>
    <col min="42" max="16384" width="9.140625" style="1"/>
  </cols>
  <sheetData>
    <row r="1" spans="1:66" ht="15.75" hidden="1" customHeight="1" thickBot="1">
      <c r="A1" s="159" t="s">
        <v>394</v>
      </c>
      <c r="B1" s="160">
        <v>0</v>
      </c>
      <c r="C1" s="160">
        <v>1</v>
      </c>
      <c r="D1" s="160">
        <v>2</v>
      </c>
      <c r="E1" s="160">
        <v>3</v>
      </c>
      <c r="F1" s="160">
        <v>4</v>
      </c>
      <c r="G1" s="160">
        <v>0</v>
      </c>
      <c r="H1" s="160">
        <v>0</v>
      </c>
      <c r="I1" s="160">
        <v>0</v>
      </c>
      <c r="J1" s="160">
        <v>5</v>
      </c>
      <c r="K1" s="160">
        <v>6</v>
      </c>
      <c r="L1" s="160">
        <v>7</v>
      </c>
      <c r="M1" s="160">
        <v>0</v>
      </c>
      <c r="N1" s="160">
        <v>8</v>
      </c>
      <c r="O1" s="160">
        <v>0</v>
      </c>
      <c r="P1" s="160">
        <v>9</v>
      </c>
      <c r="Q1" s="160">
        <v>0</v>
      </c>
      <c r="R1" s="160">
        <v>10</v>
      </c>
      <c r="S1" s="160">
        <v>0</v>
      </c>
      <c r="T1" s="160">
        <v>0</v>
      </c>
      <c r="U1" s="160">
        <v>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c r="BE1" s="160">
        <v>0</v>
      </c>
      <c r="BF1" s="160">
        <v>0</v>
      </c>
      <c r="BG1" s="160">
        <v>0</v>
      </c>
      <c r="BH1" s="160">
        <v>0</v>
      </c>
      <c r="BI1" s="160">
        <v>0</v>
      </c>
      <c r="BJ1" s="160">
        <v>0</v>
      </c>
      <c r="BK1" s="160">
        <v>0</v>
      </c>
      <c r="BL1" s="160">
        <v>0</v>
      </c>
      <c r="BM1" s="160">
        <v>0</v>
      </c>
      <c r="BN1" s="160">
        <v>0</v>
      </c>
    </row>
    <row r="2" spans="1:66" ht="14.25" hidden="1" customHeight="1" thickBot="1">
      <c r="A2" s="62"/>
      <c r="B2" s="1">
        <v>0</v>
      </c>
      <c r="C2" s="1" t="s">
        <v>427</v>
      </c>
      <c r="D2" s="1" t="s">
        <v>428</v>
      </c>
      <c r="E2" s="1" t="s">
        <v>426</v>
      </c>
      <c r="F2" s="1" t="s">
        <v>2098</v>
      </c>
      <c r="G2" s="1" t="s">
        <v>2099</v>
      </c>
      <c r="H2" s="1">
        <v>0</v>
      </c>
      <c r="I2" s="1">
        <v>0</v>
      </c>
      <c r="J2" s="1" t="s">
        <v>2104</v>
      </c>
      <c r="K2" s="1">
        <v>0</v>
      </c>
      <c r="L2" s="1">
        <v>0</v>
      </c>
      <c r="M2" s="1">
        <v>0</v>
      </c>
      <c r="N2" s="1">
        <v>0</v>
      </c>
      <c r="O2" s="1" t="s">
        <v>1335</v>
      </c>
      <c r="P2" s="1" t="s">
        <v>578</v>
      </c>
      <c r="Q2" s="1" t="s">
        <v>1331</v>
      </c>
      <c r="R2" s="1">
        <v>0</v>
      </c>
      <c r="S2" s="1">
        <v>0</v>
      </c>
      <c r="T2" s="1">
        <v>0</v>
      </c>
      <c r="U2" s="1">
        <v>0</v>
      </c>
      <c r="V2" s="1">
        <v>0</v>
      </c>
      <c r="W2" s="1">
        <v>0</v>
      </c>
      <c r="X2" s="1">
        <v>0</v>
      </c>
      <c r="Y2" s="1">
        <v>0</v>
      </c>
      <c r="Z2" s="1">
        <v>0</v>
      </c>
      <c r="AA2" s="1">
        <v>0</v>
      </c>
      <c r="AB2" s="1">
        <v>0</v>
      </c>
      <c r="AC2" s="1">
        <v>0</v>
      </c>
      <c r="AD2" s="1">
        <v>0</v>
      </c>
      <c r="AE2" s="1">
        <v>0</v>
      </c>
      <c r="AF2" s="1">
        <v>0</v>
      </c>
      <c r="AG2" s="1">
        <v>0</v>
      </c>
      <c r="AH2" s="1" t="s">
        <v>2102</v>
      </c>
      <c r="AI2" s="1" t="s">
        <v>2100</v>
      </c>
      <c r="AJ2" s="1" t="s">
        <v>2101</v>
      </c>
      <c r="AK2" s="1">
        <v>0</v>
      </c>
      <c r="AL2" s="1">
        <v>0</v>
      </c>
      <c r="AM2" s="1">
        <v>0</v>
      </c>
      <c r="AN2" s="1">
        <v>0</v>
      </c>
      <c r="AO2" s="1">
        <v>0</v>
      </c>
      <c r="AP2" s="1">
        <v>0</v>
      </c>
      <c r="AQ2" s="1">
        <v>0</v>
      </c>
      <c r="AR2" s="1">
        <v>0</v>
      </c>
      <c r="AS2" s="1">
        <v>0</v>
      </c>
      <c r="AT2" s="1">
        <v>0</v>
      </c>
      <c r="AU2" s="1" t="s">
        <v>2119</v>
      </c>
      <c r="AV2" s="1">
        <v>0</v>
      </c>
      <c r="AW2" s="1">
        <v>0</v>
      </c>
      <c r="AX2" s="1">
        <v>0</v>
      </c>
      <c r="AY2" s="1" t="s">
        <v>570</v>
      </c>
      <c r="AZ2" s="1" t="s">
        <v>571</v>
      </c>
      <c r="BA2" s="1">
        <v>0</v>
      </c>
      <c r="BB2" s="1">
        <v>0</v>
      </c>
      <c r="BC2" s="1">
        <v>0</v>
      </c>
      <c r="BD2" s="1">
        <v>0</v>
      </c>
      <c r="BE2" s="1" t="s">
        <v>39</v>
      </c>
      <c r="BF2" s="1" t="s">
        <v>40</v>
      </c>
      <c r="BG2" s="1" t="s">
        <v>38</v>
      </c>
      <c r="BH2" s="1" t="s">
        <v>645</v>
      </c>
      <c r="BI2" s="1" t="s">
        <v>2136</v>
      </c>
      <c r="BJ2" s="1" t="s">
        <v>41</v>
      </c>
      <c r="BK2" s="1">
        <v>0</v>
      </c>
      <c r="BL2" s="1">
        <v>0</v>
      </c>
      <c r="BM2" s="1">
        <v>0</v>
      </c>
      <c r="BN2" s="1">
        <v>0</v>
      </c>
    </row>
    <row r="3" spans="1:66" s="7" customFormat="1" ht="19.5" customHeight="1" thickTop="1" thickBot="1">
      <c r="A3" s="60" t="s">
        <v>80</v>
      </c>
      <c r="B3" s="1813" t="s">
        <v>21</v>
      </c>
      <c r="C3" s="1814"/>
      <c r="D3" s="1814"/>
      <c r="E3" s="1814"/>
      <c r="F3" s="1814"/>
      <c r="G3" s="1815"/>
      <c r="H3" s="1815"/>
      <c r="I3" s="1815"/>
      <c r="J3" s="1816"/>
      <c r="K3" s="1817" t="s">
        <v>17</v>
      </c>
      <c r="L3" s="1818"/>
      <c r="M3" s="1818"/>
      <c r="N3" s="1818"/>
      <c r="O3" s="1818"/>
      <c r="P3" s="1818"/>
      <c r="Q3" s="1818"/>
      <c r="R3" s="1818"/>
      <c r="S3" s="1818"/>
      <c r="T3" s="1818"/>
      <c r="U3" s="1818"/>
      <c r="V3" s="1818"/>
      <c r="W3" s="1818"/>
      <c r="X3" s="1818"/>
      <c r="Y3" s="1818"/>
      <c r="Z3" s="1818"/>
      <c r="AA3" s="1819"/>
      <c r="AB3" s="68"/>
      <c r="AC3" s="1811" t="s">
        <v>24</v>
      </c>
      <c r="AD3" s="1811"/>
      <c r="AE3" s="1811"/>
      <c r="AF3" s="1811"/>
      <c r="AG3" s="1811"/>
      <c r="AH3" s="1811"/>
      <c r="AI3" s="1811"/>
      <c r="AJ3" s="1812"/>
      <c r="AL3" s="1780" t="s">
        <v>43</v>
      </c>
      <c r="AM3" s="1781"/>
      <c r="AN3" s="1781"/>
      <c r="AO3" s="1781"/>
      <c r="AP3" s="1781"/>
      <c r="AQ3" s="1781"/>
      <c r="AR3" s="1781"/>
      <c r="AS3" s="1781"/>
      <c r="AT3" s="1781"/>
      <c r="AU3" s="1781"/>
      <c r="AV3" s="1781"/>
      <c r="AW3" s="1781"/>
      <c r="AX3" s="1781"/>
      <c r="AY3" s="1781"/>
      <c r="AZ3" s="1782"/>
      <c r="BB3" s="1780" t="s">
        <v>42</v>
      </c>
      <c r="BC3" s="1781"/>
      <c r="BD3" s="1781"/>
      <c r="BE3" s="1781"/>
      <c r="BF3" s="1781"/>
      <c r="BG3" s="1781"/>
      <c r="BH3" s="1781"/>
      <c r="BI3" s="1781"/>
      <c r="BJ3" s="1782"/>
    </row>
    <row r="4" spans="1:66" s="7" customFormat="1" ht="37.5" customHeight="1" thickTop="1">
      <c r="A4" s="61"/>
      <c r="B4" s="90" t="s">
        <v>2</v>
      </c>
      <c r="C4" s="79" t="s">
        <v>3</v>
      </c>
      <c r="D4" s="79" t="s">
        <v>0</v>
      </c>
      <c r="E4" s="79" t="s">
        <v>81</v>
      </c>
      <c r="F4" s="79" t="s">
        <v>87</v>
      </c>
      <c r="G4" s="79" t="s">
        <v>582</v>
      </c>
      <c r="H4" s="92" t="s">
        <v>583</v>
      </c>
      <c r="I4" s="92" t="s">
        <v>584</v>
      </c>
      <c r="J4" s="80" t="s">
        <v>14</v>
      </c>
      <c r="K4" s="83" t="s">
        <v>595</v>
      </c>
      <c r="L4" s="83" t="s">
        <v>596</v>
      </c>
      <c r="M4" s="83" t="s">
        <v>598</v>
      </c>
      <c r="N4" s="101" t="s">
        <v>606</v>
      </c>
      <c r="O4" s="82" t="s">
        <v>1336</v>
      </c>
      <c r="P4" s="83" t="s">
        <v>593</v>
      </c>
      <c r="Q4" s="101" t="s">
        <v>2137</v>
      </c>
      <c r="R4" s="101" t="s">
        <v>604</v>
      </c>
      <c r="S4" s="83" t="s">
        <v>605</v>
      </c>
      <c r="T4" s="83" t="s">
        <v>585</v>
      </c>
      <c r="U4" s="83" t="s">
        <v>586</v>
      </c>
      <c r="V4" s="83" t="s">
        <v>587</v>
      </c>
      <c r="W4" s="83" t="s">
        <v>588</v>
      </c>
      <c r="X4" s="83" t="s">
        <v>589</v>
      </c>
      <c r="Y4" s="83" t="s">
        <v>590</v>
      </c>
      <c r="Z4" s="83" t="s">
        <v>591</v>
      </c>
      <c r="AA4" s="91" t="s">
        <v>592</v>
      </c>
      <c r="AB4" s="69"/>
      <c r="AC4" s="85" t="s">
        <v>56</v>
      </c>
      <c r="AD4" s="86" t="s">
        <v>55</v>
      </c>
      <c r="AE4" s="87" t="s">
        <v>26</v>
      </c>
      <c r="AF4" s="88" t="s">
        <v>11</v>
      </c>
      <c r="AG4" s="88" t="s">
        <v>15</v>
      </c>
      <c r="AH4" s="88" t="s">
        <v>2490</v>
      </c>
      <c r="AI4" s="88" t="s">
        <v>5</v>
      </c>
      <c r="AJ4" s="89" t="s">
        <v>2491</v>
      </c>
      <c r="AL4" s="52" t="str">
        <f t="shared" ref="AL4:AO9" si="0">B4</f>
        <v>No.</v>
      </c>
      <c r="AM4" s="53" t="str">
        <f t="shared" si="0"/>
        <v>Ref.</v>
      </c>
      <c r="AN4" s="53" t="str">
        <f t="shared" si="0"/>
        <v>Model</v>
      </c>
      <c r="AO4" s="53" t="str">
        <f t="shared" si="0"/>
        <v>Supply Flow Rate
 CFM</v>
      </c>
      <c r="AP4" s="54" t="str">
        <f t="shared" ref="AP4:AP9" si="1">S4</f>
        <v>ESP
(inwg)</v>
      </c>
      <c r="AQ4" s="54" t="s">
        <v>31</v>
      </c>
      <c r="AR4" s="54" t="s">
        <v>29</v>
      </c>
      <c r="AS4" s="53" t="s">
        <v>30</v>
      </c>
      <c r="AT4" s="53" t="s">
        <v>32</v>
      </c>
      <c r="AU4" s="53" t="s">
        <v>33</v>
      </c>
      <c r="AV4" s="53" t="s">
        <v>34</v>
      </c>
      <c r="AW4" s="53" t="s">
        <v>8</v>
      </c>
      <c r="AX4" s="53" t="s">
        <v>36</v>
      </c>
      <c r="AY4" s="235" t="s">
        <v>2138</v>
      </c>
      <c r="AZ4" s="236" t="s">
        <v>2139</v>
      </c>
      <c r="BB4" s="48" t="str">
        <f t="shared" ref="BB4:BD9" si="2">B4</f>
        <v>No.</v>
      </c>
      <c r="BC4" s="49" t="str">
        <f t="shared" si="2"/>
        <v>Ref.</v>
      </c>
      <c r="BD4" s="49" t="str">
        <f t="shared" si="2"/>
        <v>Model</v>
      </c>
      <c r="BE4" s="49" t="s">
        <v>39</v>
      </c>
      <c r="BF4" s="50" t="s">
        <v>40</v>
      </c>
      <c r="BG4" s="50" t="s">
        <v>38</v>
      </c>
      <c r="BH4" s="243" t="s">
        <v>645</v>
      </c>
      <c r="BI4" s="243" t="s">
        <v>2136</v>
      </c>
      <c r="BJ4" s="51" t="s">
        <v>41</v>
      </c>
    </row>
    <row r="5" spans="1:66" s="7" customFormat="1" ht="16.5">
      <c r="A5" s="62"/>
      <c r="B5" s="24">
        <v>1</v>
      </c>
      <c r="C5" s="25" t="s">
        <v>2840</v>
      </c>
      <c r="D5" s="22" t="s">
        <v>2840</v>
      </c>
      <c r="E5" s="22">
        <f>N5*2.1191</f>
        <v>0</v>
      </c>
      <c r="F5" s="22" t="s">
        <v>2841</v>
      </c>
      <c r="G5" s="93"/>
      <c r="H5" s="93"/>
      <c r="I5" s="93"/>
      <c r="J5" s="107"/>
      <c r="K5" s="26"/>
      <c r="L5" s="26">
        <f>K5*3412</f>
        <v>0</v>
      </c>
      <c r="M5" s="26"/>
      <c r="N5" s="8"/>
      <c r="O5" s="8"/>
      <c r="P5" s="8"/>
      <c r="Q5" s="8"/>
      <c r="R5" s="8"/>
      <c r="S5" s="119">
        <f>R5/249</f>
        <v>0</v>
      </c>
      <c r="T5" s="210"/>
      <c r="U5" s="210"/>
      <c r="V5" s="210"/>
      <c r="W5" s="210"/>
      <c r="X5" s="210">
        <f t="shared" ref="X5:AA9" si="3">T5*1.8+32</f>
        <v>32</v>
      </c>
      <c r="Y5" s="210">
        <f t="shared" si="3"/>
        <v>32</v>
      </c>
      <c r="Z5" s="210">
        <f t="shared" si="3"/>
        <v>32</v>
      </c>
      <c r="AA5" s="210">
        <f t="shared" si="3"/>
        <v>32</v>
      </c>
      <c r="AB5" s="69"/>
      <c r="AC5" s="43"/>
      <c r="AD5" s="9"/>
      <c r="AE5" s="9">
        <f>SUM(AC5:AD5)</f>
        <v>0</v>
      </c>
      <c r="AF5" s="22">
        <f>AE5*3.75</f>
        <v>0</v>
      </c>
      <c r="AG5" s="22">
        <f>AF5*1.25</f>
        <v>0</v>
      </c>
      <c r="AH5" s="22">
        <f>CEILING(AG5,5)</f>
        <v>0</v>
      </c>
      <c r="AI5" s="22">
        <v>1</v>
      </c>
      <c r="AJ5" s="23">
        <f>AI5*AH5</f>
        <v>0</v>
      </c>
      <c r="AL5" s="12">
        <f t="shared" si="0"/>
        <v>1</v>
      </c>
      <c r="AM5" s="8" t="str">
        <f t="shared" si="0"/>
        <v>XX</v>
      </c>
      <c r="AN5" s="8" t="str">
        <f t="shared" si="0"/>
        <v>XX</v>
      </c>
      <c r="AO5" s="8">
        <f t="shared" si="0"/>
        <v>0</v>
      </c>
      <c r="AP5" s="118">
        <f t="shared" si="1"/>
        <v>0</v>
      </c>
      <c r="AQ5" s="118"/>
      <c r="AR5" s="119"/>
      <c r="AS5" s="119"/>
      <c r="AT5" s="119"/>
      <c r="AU5" s="119"/>
      <c r="AV5" s="119"/>
      <c r="AW5" s="119">
        <f>SUM(AP5:AV5)</f>
        <v>0</v>
      </c>
      <c r="AX5" s="8"/>
      <c r="AY5" s="201"/>
      <c r="AZ5" s="13"/>
      <c r="BB5" s="12">
        <f t="shared" si="2"/>
        <v>1</v>
      </c>
      <c r="BC5" s="8" t="str">
        <f t="shared" si="2"/>
        <v>XX</v>
      </c>
      <c r="BD5" s="8" t="str">
        <f t="shared" si="2"/>
        <v>XX</v>
      </c>
      <c r="BE5" s="210"/>
      <c r="BF5" s="223"/>
      <c r="BG5" s="223"/>
      <c r="BH5" s="226"/>
      <c r="BI5" s="226"/>
      <c r="BJ5" s="213"/>
    </row>
    <row r="6" spans="1:66" s="7" customFormat="1" ht="16.5">
      <c r="A6" s="62"/>
      <c r="B6" s="12">
        <v>2</v>
      </c>
      <c r="C6" s="6"/>
      <c r="D6" s="9"/>
      <c r="E6" s="22">
        <f>N6*2.1191</f>
        <v>0</v>
      </c>
      <c r="F6" s="9"/>
      <c r="G6" s="170"/>
      <c r="H6" s="170"/>
      <c r="I6" s="170"/>
      <c r="J6" s="108"/>
      <c r="K6" s="26"/>
      <c r="L6" s="26">
        <f>K6*3412</f>
        <v>0</v>
      </c>
      <c r="M6" s="26"/>
      <c r="N6" s="8"/>
      <c r="O6" s="8"/>
      <c r="P6" s="8"/>
      <c r="Q6" s="8"/>
      <c r="R6" s="8"/>
      <c r="S6" s="119">
        <f>R6/249</f>
        <v>0</v>
      </c>
      <c r="T6" s="210"/>
      <c r="U6" s="210"/>
      <c r="V6" s="210"/>
      <c r="W6" s="210"/>
      <c r="X6" s="210">
        <f t="shared" si="3"/>
        <v>32</v>
      </c>
      <c r="Y6" s="210">
        <f t="shared" si="3"/>
        <v>32</v>
      </c>
      <c r="Z6" s="210">
        <f t="shared" si="3"/>
        <v>32</v>
      </c>
      <c r="AA6" s="210">
        <f t="shared" si="3"/>
        <v>32</v>
      </c>
      <c r="AB6" s="69"/>
      <c r="AC6" s="43"/>
      <c r="AD6" s="9"/>
      <c r="AE6" s="9">
        <f>SUM(AC6:AD6)</f>
        <v>0</v>
      </c>
      <c r="AF6" s="9">
        <f>AE6*3.75</f>
        <v>0</v>
      </c>
      <c r="AG6" s="9">
        <f>AF6*1.25</f>
        <v>0</v>
      </c>
      <c r="AH6" s="9">
        <f>CEILING(AG6,5)</f>
        <v>0</v>
      </c>
      <c r="AI6" s="9"/>
      <c r="AJ6" s="10">
        <f>AI6*AH6</f>
        <v>0</v>
      </c>
      <c r="AL6" s="12">
        <f t="shared" si="0"/>
        <v>2</v>
      </c>
      <c r="AM6" s="8">
        <f t="shared" si="0"/>
        <v>0</v>
      </c>
      <c r="AN6" s="8">
        <f t="shared" si="0"/>
        <v>0</v>
      </c>
      <c r="AO6" s="8">
        <f t="shared" si="0"/>
        <v>0</v>
      </c>
      <c r="AP6" s="118">
        <f t="shared" si="1"/>
        <v>0</v>
      </c>
      <c r="AQ6" s="118"/>
      <c r="AR6" s="119"/>
      <c r="AS6" s="119"/>
      <c r="AT6" s="119"/>
      <c r="AU6" s="119"/>
      <c r="AV6" s="119"/>
      <c r="AW6" s="119">
        <f>SUM(AP6:AV6)</f>
        <v>0</v>
      </c>
      <c r="AX6" s="8"/>
      <c r="AY6" s="201"/>
      <c r="AZ6" s="13"/>
      <c r="BB6" s="12">
        <f t="shared" si="2"/>
        <v>2</v>
      </c>
      <c r="BC6" s="8">
        <f t="shared" si="2"/>
        <v>0</v>
      </c>
      <c r="BD6" s="8">
        <f t="shared" si="2"/>
        <v>0</v>
      </c>
      <c r="BE6" s="210"/>
      <c r="BF6" s="223"/>
      <c r="BG6" s="223"/>
      <c r="BH6" s="226"/>
      <c r="BI6" s="226"/>
      <c r="BJ6" s="213"/>
    </row>
    <row r="7" spans="1:66" s="7" customFormat="1" ht="16.5">
      <c r="A7" s="62"/>
      <c r="B7" s="12">
        <v>3</v>
      </c>
      <c r="C7" s="6"/>
      <c r="D7" s="9"/>
      <c r="E7" s="22">
        <f>N7*2.1191</f>
        <v>0</v>
      </c>
      <c r="F7" s="9"/>
      <c r="G7" s="170"/>
      <c r="H7" s="170"/>
      <c r="I7" s="170"/>
      <c r="J7" s="108"/>
      <c r="K7" s="26"/>
      <c r="L7" s="26">
        <f>K7*3412</f>
        <v>0</v>
      </c>
      <c r="M7" s="26"/>
      <c r="N7" s="8"/>
      <c r="O7" s="8"/>
      <c r="P7" s="8"/>
      <c r="Q7" s="8"/>
      <c r="R7" s="8"/>
      <c r="S7" s="119">
        <f>R7/249</f>
        <v>0</v>
      </c>
      <c r="T7" s="210"/>
      <c r="U7" s="210"/>
      <c r="V7" s="210"/>
      <c r="W7" s="210"/>
      <c r="X7" s="210">
        <f t="shared" si="3"/>
        <v>32</v>
      </c>
      <c r="Y7" s="210">
        <f t="shared" si="3"/>
        <v>32</v>
      </c>
      <c r="Z7" s="210">
        <f t="shared" si="3"/>
        <v>32</v>
      </c>
      <c r="AA7" s="210">
        <f t="shared" si="3"/>
        <v>32</v>
      </c>
      <c r="AB7" s="69"/>
      <c r="AC7" s="43"/>
      <c r="AD7" s="9"/>
      <c r="AE7" s="9">
        <f>SUM(AC7:AD7)</f>
        <v>0</v>
      </c>
      <c r="AF7" s="9">
        <f>AE7*3.75</f>
        <v>0</v>
      </c>
      <c r="AG7" s="9">
        <f>AF7*1.25</f>
        <v>0</v>
      </c>
      <c r="AH7" s="9">
        <f>CEILING(AG7,5)</f>
        <v>0</v>
      </c>
      <c r="AI7" s="9"/>
      <c r="AJ7" s="10">
        <f>AI7*AH7</f>
        <v>0</v>
      </c>
      <c r="AL7" s="12">
        <f t="shared" si="0"/>
        <v>3</v>
      </c>
      <c r="AM7" s="8">
        <f t="shared" si="0"/>
        <v>0</v>
      </c>
      <c r="AN7" s="8">
        <f t="shared" si="0"/>
        <v>0</v>
      </c>
      <c r="AO7" s="8">
        <f t="shared" si="0"/>
        <v>0</v>
      </c>
      <c r="AP7" s="118">
        <f t="shared" si="1"/>
        <v>0</v>
      </c>
      <c r="AQ7" s="118"/>
      <c r="AR7" s="119"/>
      <c r="AS7" s="119"/>
      <c r="AT7" s="119"/>
      <c r="AU7" s="119"/>
      <c r="AV7" s="119"/>
      <c r="AW7" s="119">
        <f>SUM(AP7:AV7)</f>
        <v>0</v>
      </c>
      <c r="AX7" s="8"/>
      <c r="AY7" s="201"/>
      <c r="AZ7" s="13"/>
      <c r="BB7" s="12">
        <f t="shared" si="2"/>
        <v>3</v>
      </c>
      <c r="BC7" s="8">
        <f t="shared" si="2"/>
        <v>0</v>
      </c>
      <c r="BD7" s="8">
        <f t="shared" si="2"/>
        <v>0</v>
      </c>
      <c r="BE7" s="210"/>
      <c r="BF7" s="223"/>
      <c r="BG7" s="223"/>
      <c r="BH7" s="226"/>
      <c r="BI7" s="226"/>
      <c r="BJ7" s="213"/>
    </row>
    <row r="8" spans="1:66" s="7" customFormat="1" ht="16.5">
      <c r="A8" s="62"/>
      <c r="B8" s="12">
        <v>4</v>
      </c>
      <c r="C8" s="6"/>
      <c r="D8" s="9"/>
      <c r="E8" s="22">
        <f>N8*2.1191</f>
        <v>0</v>
      </c>
      <c r="F8" s="9"/>
      <c r="G8" s="170"/>
      <c r="H8" s="170"/>
      <c r="I8" s="170"/>
      <c r="J8" s="108"/>
      <c r="K8" s="26"/>
      <c r="L8" s="26">
        <f>K8*3412</f>
        <v>0</v>
      </c>
      <c r="M8" s="26"/>
      <c r="N8" s="8"/>
      <c r="O8" s="8"/>
      <c r="P8" s="8"/>
      <c r="Q8" s="8"/>
      <c r="R8" s="8"/>
      <c r="S8" s="119">
        <f>R8/249</f>
        <v>0</v>
      </c>
      <c r="T8" s="210"/>
      <c r="U8" s="210"/>
      <c r="V8" s="210"/>
      <c r="W8" s="210"/>
      <c r="X8" s="210">
        <f t="shared" si="3"/>
        <v>32</v>
      </c>
      <c r="Y8" s="210">
        <f t="shared" si="3"/>
        <v>32</v>
      </c>
      <c r="Z8" s="210">
        <f t="shared" si="3"/>
        <v>32</v>
      </c>
      <c r="AA8" s="210">
        <f t="shared" si="3"/>
        <v>32</v>
      </c>
      <c r="AB8" s="69"/>
      <c r="AC8" s="43"/>
      <c r="AD8" s="9"/>
      <c r="AE8" s="9">
        <f>SUM(AC8:AD8)</f>
        <v>0</v>
      </c>
      <c r="AF8" s="9">
        <f>AE8*3.75</f>
        <v>0</v>
      </c>
      <c r="AG8" s="9">
        <f>AF8*1.25</f>
        <v>0</v>
      </c>
      <c r="AH8" s="9">
        <f>CEILING(AG8,5)</f>
        <v>0</v>
      </c>
      <c r="AI8" s="9"/>
      <c r="AJ8" s="10">
        <f>AI8*AH8</f>
        <v>0</v>
      </c>
      <c r="AL8" s="12">
        <f t="shared" si="0"/>
        <v>4</v>
      </c>
      <c r="AM8" s="8">
        <f t="shared" si="0"/>
        <v>0</v>
      </c>
      <c r="AN8" s="8">
        <f t="shared" si="0"/>
        <v>0</v>
      </c>
      <c r="AO8" s="8">
        <f t="shared" si="0"/>
        <v>0</v>
      </c>
      <c r="AP8" s="118">
        <f t="shared" si="1"/>
        <v>0</v>
      </c>
      <c r="AQ8" s="118"/>
      <c r="AR8" s="119"/>
      <c r="AS8" s="119"/>
      <c r="AT8" s="119"/>
      <c r="AU8" s="119"/>
      <c r="AV8" s="119"/>
      <c r="AW8" s="119">
        <f>SUM(AP8:AV8)</f>
        <v>0</v>
      </c>
      <c r="AX8" s="8"/>
      <c r="AY8" s="201"/>
      <c r="AZ8" s="13"/>
      <c r="BB8" s="12">
        <f t="shared" si="2"/>
        <v>4</v>
      </c>
      <c r="BC8" s="8">
        <f t="shared" si="2"/>
        <v>0</v>
      </c>
      <c r="BD8" s="8">
        <f t="shared" si="2"/>
        <v>0</v>
      </c>
      <c r="BE8" s="210"/>
      <c r="BF8" s="223"/>
      <c r="BG8" s="223"/>
      <c r="BH8" s="226"/>
      <c r="BI8" s="226"/>
      <c r="BJ8" s="213"/>
    </row>
    <row r="9" spans="1:66" s="7" customFormat="1" ht="15.75" customHeight="1" thickBot="1">
      <c r="A9" s="62"/>
      <c r="B9" s="38">
        <v>5</v>
      </c>
      <c r="C9" s="17"/>
      <c r="D9" s="18"/>
      <c r="E9" s="18">
        <f>N9*2.1191</f>
        <v>0</v>
      </c>
      <c r="F9" s="18"/>
      <c r="G9" s="171"/>
      <c r="H9" s="171"/>
      <c r="I9" s="171"/>
      <c r="J9" s="109"/>
      <c r="K9" s="27"/>
      <c r="L9" s="27">
        <f>K9*3412</f>
        <v>0</v>
      </c>
      <c r="M9" s="27"/>
      <c r="N9" s="15"/>
      <c r="O9" s="15"/>
      <c r="P9" s="15"/>
      <c r="Q9" s="15"/>
      <c r="R9" s="15"/>
      <c r="S9" s="121">
        <f>R9/249</f>
        <v>0</v>
      </c>
      <c r="T9" s="211"/>
      <c r="U9" s="211"/>
      <c r="V9" s="211"/>
      <c r="W9" s="211"/>
      <c r="X9" s="211">
        <f t="shared" si="3"/>
        <v>32</v>
      </c>
      <c r="Y9" s="211">
        <f t="shared" si="3"/>
        <v>32</v>
      </c>
      <c r="Z9" s="211">
        <f t="shared" si="3"/>
        <v>32</v>
      </c>
      <c r="AA9" s="211">
        <f t="shared" si="3"/>
        <v>32</v>
      </c>
      <c r="AB9" s="70"/>
      <c r="AC9" s="18"/>
      <c r="AD9" s="18"/>
      <c r="AE9" s="18">
        <f>SUM(AC9:AD9)</f>
        <v>0</v>
      </c>
      <c r="AF9" s="18">
        <f>AE9*3.75</f>
        <v>0</v>
      </c>
      <c r="AG9" s="18">
        <f>AF9*1.25</f>
        <v>0</v>
      </c>
      <c r="AH9" s="18">
        <f>CEILING(AG9,5)</f>
        <v>0</v>
      </c>
      <c r="AI9" s="18"/>
      <c r="AJ9" s="19">
        <f>AI9*AH9</f>
        <v>0</v>
      </c>
      <c r="AL9" s="14">
        <f t="shared" si="0"/>
        <v>5</v>
      </c>
      <c r="AM9" s="15">
        <f t="shared" si="0"/>
        <v>0</v>
      </c>
      <c r="AN9" s="15">
        <f t="shared" si="0"/>
        <v>0</v>
      </c>
      <c r="AO9" s="15">
        <f t="shared" si="0"/>
        <v>0</v>
      </c>
      <c r="AP9" s="120">
        <f t="shared" si="1"/>
        <v>0</v>
      </c>
      <c r="AQ9" s="120"/>
      <c r="AR9" s="121"/>
      <c r="AS9" s="121"/>
      <c r="AT9" s="121"/>
      <c r="AU9" s="121"/>
      <c r="AV9" s="121"/>
      <c r="AW9" s="121">
        <f>SUM(AP9:AV9)</f>
        <v>0</v>
      </c>
      <c r="AX9" s="15"/>
      <c r="AY9" s="202"/>
      <c r="AZ9" s="16"/>
      <c r="BB9" s="14">
        <f t="shared" si="2"/>
        <v>5</v>
      </c>
      <c r="BC9" s="15">
        <f t="shared" si="2"/>
        <v>0</v>
      </c>
      <c r="BD9" s="15">
        <f t="shared" si="2"/>
        <v>0</v>
      </c>
      <c r="BE9" s="211"/>
      <c r="BF9" s="224"/>
      <c r="BG9" s="224"/>
      <c r="BH9" s="227"/>
      <c r="BI9" s="227"/>
      <c r="BJ9" s="214"/>
    </row>
    <row r="10" spans="1:66" ht="17.25" thickBot="1">
      <c r="A10" s="62"/>
      <c r="AD10" s="2"/>
      <c r="AE10" s="2"/>
      <c r="AF10" s="2"/>
      <c r="AG10" s="2"/>
      <c r="AH10" s="2"/>
      <c r="AI10" s="174">
        <f>SUM(AI5:AI9)</f>
        <v>1</v>
      </c>
      <c r="AJ10" s="175">
        <f>SUM(AJ5:AJ9)</f>
        <v>0</v>
      </c>
    </row>
    <row r="11" spans="1:66" ht="15.75">
      <c r="A11" s="62"/>
      <c r="K11" s="5"/>
      <c r="L11" s="5"/>
      <c r="M11" s="5"/>
      <c r="N11" s="5"/>
      <c r="O11" s="5"/>
    </row>
    <row r="12" spans="1:66" ht="16.5" thickBot="1">
      <c r="A12" s="62"/>
    </row>
    <row r="13" spans="1:66" ht="21" thickBot="1">
      <c r="A13" s="62"/>
      <c r="C13" s="1790" t="s">
        <v>607</v>
      </c>
      <c r="D13" s="1784"/>
      <c r="E13" s="1784"/>
      <c r="F13" s="1784"/>
      <c r="G13" s="1784"/>
      <c r="H13" s="1784"/>
      <c r="I13" s="1784"/>
      <c r="J13" s="1784"/>
      <c r="K13" s="1785"/>
    </row>
    <row r="14" spans="1:66" ht="15.75">
      <c r="A14" s="62"/>
      <c r="C14" s="39" t="s">
        <v>3</v>
      </c>
      <c r="D14" s="39"/>
      <c r="E14" s="39"/>
      <c r="F14" s="39"/>
      <c r="G14" s="39"/>
      <c r="H14" s="39"/>
      <c r="I14" s="39"/>
      <c r="J14" s="39"/>
      <c r="K14" s="39"/>
    </row>
    <row r="15" spans="1:66" ht="15.75">
      <c r="A15" s="62"/>
    </row>
    <row r="16" spans="1:66"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6">
    <mergeCell ref="BB3:BJ3"/>
    <mergeCell ref="C13:K13"/>
    <mergeCell ref="B3:J3"/>
    <mergeCell ref="K3:AA3"/>
    <mergeCell ref="AC3:AJ3"/>
    <mergeCell ref="AL3:AZ3"/>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1745" r:id="rId4" name="Hide">
          <controlPr defaultSize="0" autoLine="0" r:id="rId5">
            <anchor moveWithCells="1">
              <from>
                <xdr:col>0</xdr:col>
                <xdr:colOff>0</xdr:colOff>
                <xdr:row>2</xdr:row>
                <xdr:rowOff>0</xdr:rowOff>
              </from>
              <to>
                <xdr:col>2</xdr:col>
                <xdr:colOff>209550</xdr:colOff>
                <xdr:row>3</xdr:row>
                <xdr:rowOff>66675</xdr:rowOff>
              </to>
            </anchor>
          </controlPr>
        </control>
      </mc:Choice>
      <mc:Fallback>
        <control shapeId="31745" r:id="rId4" name="Hide"/>
      </mc:Fallback>
    </mc:AlternateContent>
    <mc:AlternateContent xmlns:mc="http://schemas.openxmlformats.org/markup-compatibility/2006">
      <mc:Choice Requires="x14">
        <control shapeId="31746" r:id="rId6" name="Specs">
          <controlPr defaultSize="0" autoLine="0" r:id="rId7">
            <anchor moveWithCells="1">
              <from>
                <xdr:col>0</xdr:col>
                <xdr:colOff>0</xdr:colOff>
                <xdr:row>3</xdr:row>
                <xdr:rowOff>133350</xdr:rowOff>
              </from>
              <to>
                <xdr:col>3</xdr:col>
                <xdr:colOff>247650</xdr:colOff>
                <xdr:row>3</xdr:row>
                <xdr:rowOff>447675</xdr:rowOff>
              </to>
            </anchor>
          </controlPr>
        </control>
      </mc:Choice>
      <mc:Fallback>
        <control shapeId="31746" r:id="rId6" name="Specs"/>
      </mc:Fallback>
    </mc:AlternateContent>
    <mc:AlternateContent xmlns:mc="http://schemas.openxmlformats.org/markup-compatibility/2006">
      <mc:Choice Requires="x14">
        <control shapeId="31747" r:id="rId8" name="Technical">
          <controlPr defaultSize="0" autoLine="0" r:id="rId9">
            <anchor moveWithCells="1">
              <from>
                <xdr:col>0</xdr:col>
                <xdr:colOff>0</xdr:colOff>
                <xdr:row>3</xdr:row>
                <xdr:rowOff>133350</xdr:rowOff>
              </from>
              <to>
                <xdr:col>3</xdr:col>
                <xdr:colOff>247650</xdr:colOff>
                <xdr:row>3</xdr:row>
                <xdr:rowOff>447675</xdr:rowOff>
              </to>
            </anchor>
          </controlPr>
        </control>
      </mc:Choice>
      <mc:Fallback>
        <control shapeId="31747" r:id="rId8" name="Technical"/>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D7_PDU"/>
  <dimension ref="A1:BH56"/>
  <sheetViews>
    <sheetView zoomScale="80" zoomScaleNormal="80" workbookViewId="0">
      <pane xSplit="1" topLeftCell="B1" activePane="topRight" state="frozen"/>
      <selection pane="topRight" activeCell="AD6" sqref="AD6"/>
    </sheetView>
  </sheetViews>
  <sheetFormatPr defaultColWidth="9.140625" defaultRowHeight="15"/>
  <cols>
    <col min="1" max="1" width="55.7109375" style="1" hidden="1" customWidth="1"/>
    <col min="2" max="2" width="4.140625" style="1" bestFit="1" customWidth="1"/>
    <col min="3" max="3" width="11.85546875" style="1" customWidth="1"/>
    <col min="4" max="4" width="23" style="1" customWidth="1"/>
    <col min="5" max="5" width="22.140625" style="1" customWidth="1"/>
    <col min="6" max="7" width="11.7109375" style="1" customWidth="1"/>
    <col min="8" max="10" width="11.5703125" style="1" customWidth="1"/>
    <col min="11" max="12" width="22.85546875" style="1" customWidth="1"/>
    <col min="13" max="15" width="11.7109375" style="1" customWidth="1"/>
    <col min="16" max="16" width="12" style="1" customWidth="1"/>
    <col min="17" max="17" width="9.42578125" style="1" customWidth="1"/>
    <col min="18" max="18" width="18" style="1" customWidth="1"/>
    <col min="19" max="19" width="11.140625" style="1" customWidth="1"/>
    <col min="20" max="21" width="12.42578125" style="1" customWidth="1"/>
    <col min="22" max="22" width="11.85546875" style="1" customWidth="1"/>
    <col min="23" max="23" width="13.85546875" style="1" customWidth="1"/>
    <col min="24" max="24" width="4.140625" style="1" customWidth="1"/>
    <col min="25" max="25" width="10.28515625" style="1" customWidth="1"/>
    <col min="26" max="26" width="12.5703125" style="1" customWidth="1"/>
    <col min="27" max="30" width="9.140625" style="1"/>
    <col min="31" max="31" width="16.85546875" style="1" customWidth="1"/>
    <col min="32" max="50" width="9.140625" style="1"/>
    <col min="51" max="51" width="11.28515625" style="1" customWidth="1"/>
    <col min="52" max="52" width="9.140625" style="1"/>
    <col min="53" max="53" width="14.42578125" style="1" customWidth="1"/>
    <col min="54" max="55" width="14.28515625" style="1" customWidth="1"/>
    <col min="56" max="56" width="12.42578125" style="1" customWidth="1"/>
    <col min="57" max="57" width="13.140625" style="1" customWidth="1"/>
    <col min="58" max="16384" width="9.140625" style="1"/>
  </cols>
  <sheetData>
    <row r="1" spans="1:60" ht="15.75" hidden="1" customHeight="1" thickBot="1">
      <c r="A1" s="159" t="s">
        <v>394</v>
      </c>
      <c r="B1" s="160">
        <v>0</v>
      </c>
      <c r="C1" s="160">
        <v>1</v>
      </c>
      <c r="D1" s="160">
        <v>2</v>
      </c>
      <c r="E1" s="160">
        <v>3</v>
      </c>
      <c r="F1" s="160">
        <v>4</v>
      </c>
      <c r="G1" s="160">
        <v>0</v>
      </c>
      <c r="H1" s="160">
        <v>0</v>
      </c>
      <c r="I1" s="160">
        <v>0</v>
      </c>
      <c r="J1" s="160">
        <v>5</v>
      </c>
      <c r="K1" s="160">
        <v>6</v>
      </c>
      <c r="L1" s="160">
        <v>0</v>
      </c>
      <c r="M1" s="160">
        <v>7</v>
      </c>
      <c r="N1" s="160">
        <v>0</v>
      </c>
      <c r="O1" s="160">
        <v>0</v>
      </c>
      <c r="P1" s="160">
        <v>8</v>
      </c>
      <c r="Q1" s="160">
        <v>0</v>
      </c>
      <c r="R1" s="160">
        <v>0</v>
      </c>
      <c r="S1" s="160">
        <v>0</v>
      </c>
      <c r="T1" s="160">
        <v>0</v>
      </c>
      <c r="U1" s="160">
        <v>0</v>
      </c>
      <c r="V1" s="160">
        <v>9</v>
      </c>
      <c r="W1" s="160">
        <v>10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c r="BE1" s="160">
        <v>0</v>
      </c>
      <c r="BF1" s="160">
        <v>0</v>
      </c>
      <c r="BG1" s="160">
        <v>0</v>
      </c>
      <c r="BH1" s="160">
        <v>0</v>
      </c>
    </row>
    <row r="2" spans="1:60" ht="14.25" hidden="1" customHeight="1" thickBot="1">
      <c r="A2" s="62"/>
      <c r="B2" s="1">
        <v>0</v>
      </c>
      <c r="C2" s="1" t="s">
        <v>427</v>
      </c>
      <c r="D2" s="1" t="s">
        <v>428</v>
      </c>
      <c r="E2" s="1" t="s">
        <v>426</v>
      </c>
      <c r="F2" s="1" t="s">
        <v>2098</v>
      </c>
      <c r="G2" s="1" t="s">
        <v>2099</v>
      </c>
      <c r="H2" s="1" t="s">
        <v>2116</v>
      </c>
      <c r="I2" s="1" t="s">
        <v>2117</v>
      </c>
      <c r="J2" s="1" t="s">
        <v>2104</v>
      </c>
      <c r="K2" s="1">
        <v>0</v>
      </c>
      <c r="L2" s="1">
        <v>0</v>
      </c>
      <c r="M2" s="1">
        <v>0</v>
      </c>
      <c r="N2" s="1" t="s">
        <v>578</v>
      </c>
      <c r="O2" s="1" t="s">
        <v>1331</v>
      </c>
      <c r="P2" s="1">
        <v>0</v>
      </c>
      <c r="Q2" s="1" t="s">
        <v>396</v>
      </c>
      <c r="R2" s="1">
        <v>0</v>
      </c>
      <c r="S2" s="1">
        <v>0</v>
      </c>
      <c r="T2" s="1">
        <v>0</v>
      </c>
      <c r="U2" s="1" t="s">
        <v>2124</v>
      </c>
      <c r="V2" s="1">
        <v>0</v>
      </c>
      <c r="W2" s="1">
        <v>0</v>
      </c>
      <c r="X2" s="1">
        <v>0</v>
      </c>
      <c r="Y2" s="1">
        <v>0</v>
      </c>
      <c r="Z2" s="1">
        <v>0</v>
      </c>
      <c r="AA2" s="1">
        <v>0</v>
      </c>
      <c r="AB2" s="1">
        <v>0</v>
      </c>
      <c r="AC2" s="1" t="s">
        <v>2102</v>
      </c>
      <c r="AD2" s="1" t="s">
        <v>2100</v>
      </c>
      <c r="AE2" s="1" t="s">
        <v>2101</v>
      </c>
      <c r="AF2" s="1">
        <v>0</v>
      </c>
      <c r="AG2" s="1">
        <v>0</v>
      </c>
      <c r="AH2" s="1">
        <v>0</v>
      </c>
      <c r="AI2" s="1">
        <v>0</v>
      </c>
      <c r="AJ2" s="1" t="s">
        <v>39</v>
      </c>
      <c r="AK2" s="1" t="s">
        <v>40</v>
      </c>
      <c r="AL2" s="1" t="s">
        <v>38</v>
      </c>
      <c r="AM2" s="1" t="s">
        <v>645</v>
      </c>
      <c r="AN2" s="1" t="s">
        <v>1005</v>
      </c>
      <c r="AO2" s="1" t="s">
        <v>41</v>
      </c>
      <c r="AP2" s="1">
        <v>0</v>
      </c>
      <c r="AQ2" s="1">
        <v>0</v>
      </c>
      <c r="AR2" s="1">
        <v>0</v>
      </c>
      <c r="AS2" s="1">
        <v>0</v>
      </c>
      <c r="AT2" s="1" t="s">
        <v>619</v>
      </c>
      <c r="AU2" s="1" t="s">
        <v>613</v>
      </c>
      <c r="AV2" s="1" t="s">
        <v>615</v>
      </c>
      <c r="AW2" s="1" t="s">
        <v>614</v>
      </c>
      <c r="AX2" s="1" t="s">
        <v>616</v>
      </c>
      <c r="AY2" s="1" t="s">
        <v>617</v>
      </c>
      <c r="AZ2" s="1" t="s">
        <v>618</v>
      </c>
      <c r="BA2" s="1" t="s">
        <v>2122</v>
      </c>
      <c r="BB2" s="1" t="s">
        <v>2123</v>
      </c>
      <c r="BC2" s="1" t="s">
        <v>2120</v>
      </c>
      <c r="BD2" s="1" t="s">
        <v>2126</v>
      </c>
      <c r="BE2" s="1" t="s">
        <v>2128</v>
      </c>
      <c r="BF2" s="1" t="s">
        <v>1343</v>
      </c>
      <c r="BG2" s="1">
        <v>0</v>
      </c>
      <c r="BH2" s="1">
        <v>0</v>
      </c>
    </row>
    <row r="3" spans="1:60" s="7" customFormat="1" ht="19.5" customHeight="1" thickTop="1" thickBot="1">
      <c r="A3" s="60" t="s">
        <v>80</v>
      </c>
      <c r="B3" s="1813" t="s">
        <v>21</v>
      </c>
      <c r="C3" s="1814"/>
      <c r="D3" s="1814"/>
      <c r="E3" s="1814"/>
      <c r="F3" s="1814"/>
      <c r="G3" s="1815"/>
      <c r="H3" s="1815"/>
      <c r="I3" s="1815"/>
      <c r="J3" s="1816"/>
      <c r="K3" s="1817" t="s">
        <v>17</v>
      </c>
      <c r="L3" s="1818"/>
      <c r="M3" s="1818"/>
      <c r="N3" s="1818"/>
      <c r="O3" s="1818"/>
      <c r="P3" s="1818"/>
      <c r="Q3" s="1818"/>
      <c r="R3" s="1818"/>
      <c r="S3" s="1818"/>
      <c r="T3" s="1818"/>
      <c r="U3" s="1818"/>
      <c r="V3" s="1818"/>
      <c r="W3" s="1819"/>
      <c r="X3" s="68"/>
      <c r="Y3" s="1810" t="s">
        <v>24</v>
      </c>
      <c r="Z3" s="1811"/>
      <c r="AA3" s="1811"/>
      <c r="AB3" s="1811"/>
      <c r="AC3" s="1811"/>
      <c r="AD3" s="1811"/>
      <c r="AE3" s="1812"/>
      <c r="AG3" s="1780" t="s">
        <v>42</v>
      </c>
      <c r="AH3" s="1781"/>
      <c r="AI3" s="1781"/>
      <c r="AJ3" s="1781"/>
      <c r="AK3" s="1781"/>
      <c r="AL3" s="1781"/>
      <c r="AM3" s="1781"/>
      <c r="AN3" s="1781"/>
      <c r="AO3" s="1782"/>
      <c r="AQ3" s="1780" t="s">
        <v>2131</v>
      </c>
      <c r="AR3" s="1781"/>
      <c r="AS3" s="1781"/>
      <c r="AT3" s="1781"/>
      <c r="AU3" s="1781"/>
      <c r="AV3" s="1781"/>
      <c r="AW3" s="1781"/>
      <c r="AX3" s="1781"/>
      <c r="AY3" s="1781"/>
      <c r="AZ3" s="1781"/>
      <c r="BA3" s="1781"/>
      <c r="BB3" s="1781"/>
      <c r="BC3" s="1781"/>
      <c r="BD3" s="1781"/>
      <c r="BE3" s="1781"/>
      <c r="BF3" s="1782"/>
    </row>
    <row r="4" spans="1:60" s="7" customFormat="1" ht="50.25" thickTop="1">
      <c r="A4" s="61"/>
      <c r="B4" s="90" t="s">
        <v>2</v>
      </c>
      <c r="C4" s="79" t="s">
        <v>3</v>
      </c>
      <c r="D4" s="79" t="s">
        <v>0</v>
      </c>
      <c r="E4" s="79" t="s">
        <v>2140</v>
      </c>
      <c r="F4" s="79" t="s">
        <v>87</v>
      </c>
      <c r="G4" s="79" t="s">
        <v>582</v>
      </c>
      <c r="H4" s="92" t="s">
        <v>583</v>
      </c>
      <c r="I4" s="92" t="s">
        <v>584</v>
      </c>
      <c r="J4" s="80" t="s">
        <v>14</v>
      </c>
      <c r="K4" s="761" t="s">
        <v>22</v>
      </c>
      <c r="L4" s="81" t="s">
        <v>86</v>
      </c>
      <c r="M4" s="82" t="s">
        <v>18</v>
      </c>
      <c r="N4" s="83" t="s">
        <v>593</v>
      </c>
      <c r="O4" s="83" t="s">
        <v>2137</v>
      </c>
      <c r="P4" s="82" t="s">
        <v>609</v>
      </c>
      <c r="Q4" s="82" t="s">
        <v>608</v>
      </c>
      <c r="R4" s="82" t="s">
        <v>601</v>
      </c>
      <c r="S4" s="83" t="s">
        <v>589</v>
      </c>
      <c r="T4" s="83" t="s">
        <v>590</v>
      </c>
      <c r="U4" s="82" t="s">
        <v>602</v>
      </c>
      <c r="V4" s="83" t="s">
        <v>2141</v>
      </c>
      <c r="W4" s="91" t="s">
        <v>592</v>
      </c>
      <c r="X4" s="69"/>
      <c r="Y4" s="84" t="s">
        <v>74</v>
      </c>
      <c r="Z4" s="86" t="s">
        <v>76</v>
      </c>
      <c r="AA4" s="87" t="s">
        <v>26</v>
      </c>
      <c r="AB4" s="88" t="s">
        <v>75</v>
      </c>
      <c r="AC4" s="88" t="s">
        <v>2490</v>
      </c>
      <c r="AD4" s="88" t="s">
        <v>5</v>
      </c>
      <c r="AE4" s="89" t="s">
        <v>2491</v>
      </c>
      <c r="AG4" s="48" t="str">
        <f t="shared" ref="AG4:AI9" si="0">B4</f>
        <v>No.</v>
      </c>
      <c r="AH4" s="49" t="str">
        <f t="shared" si="0"/>
        <v>Ref.</v>
      </c>
      <c r="AI4" s="49" t="str">
        <f t="shared" si="0"/>
        <v>Model</v>
      </c>
      <c r="AJ4" s="49" t="s">
        <v>39</v>
      </c>
      <c r="AK4" s="50" t="s">
        <v>40</v>
      </c>
      <c r="AL4" s="50" t="s">
        <v>38</v>
      </c>
      <c r="AM4" s="243" t="s">
        <v>645</v>
      </c>
      <c r="AN4" s="243" t="s">
        <v>1005</v>
      </c>
      <c r="AO4" s="51" t="s">
        <v>41</v>
      </c>
      <c r="AQ4" s="228" t="str">
        <f t="shared" ref="AQ4:AS5" si="1">AG4</f>
        <v>No.</v>
      </c>
      <c r="AR4" s="234" t="str">
        <f t="shared" si="1"/>
        <v>Ref.</v>
      </c>
      <c r="AS4" s="234" t="str">
        <f t="shared" si="1"/>
        <v>Model</v>
      </c>
      <c r="AT4" s="239" t="s">
        <v>621</v>
      </c>
      <c r="AU4" s="239" t="s">
        <v>580</v>
      </c>
      <c r="AV4" s="234" t="s">
        <v>1329</v>
      </c>
      <c r="AW4" s="239" t="s">
        <v>581</v>
      </c>
      <c r="AX4" s="234" t="s">
        <v>1330</v>
      </c>
      <c r="AY4" s="239" t="s">
        <v>620</v>
      </c>
      <c r="AZ4" s="234" t="s">
        <v>5</v>
      </c>
      <c r="BA4" s="239" t="s">
        <v>2130</v>
      </c>
      <c r="BB4" s="239" t="s">
        <v>2129</v>
      </c>
      <c r="BC4" s="92" t="s">
        <v>2121</v>
      </c>
      <c r="BD4" s="239" t="s">
        <v>2125</v>
      </c>
      <c r="BE4" s="239" t="s">
        <v>2127</v>
      </c>
      <c r="BF4" s="757" t="s">
        <v>1328</v>
      </c>
    </row>
    <row r="5" spans="1:60" s="7" customFormat="1" ht="16.5">
      <c r="A5" s="62"/>
      <c r="B5" s="24">
        <v>1</v>
      </c>
      <c r="C5" s="162" t="s">
        <v>2840</v>
      </c>
      <c r="D5" s="22" t="s">
        <v>2840</v>
      </c>
      <c r="E5" s="22">
        <f>M5*2.1191</f>
        <v>0</v>
      </c>
      <c r="F5" s="22"/>
      <c r="G5" s="93"/>
      <c r="H5" s="93"/>
      <c r="I5" s="93"/>
      <c r="J5" s="107"/>
      <c r="K5" s="12"/>
      <c r="L5" s="26">
        <f>K5*3412</f>
        <v>0</v>
      </c>
      <c r="M5" s="8"/>
      <c r="N5" s="8"/>
      <c r="O5" s="8"/>
      <c r="P5" s="8"/>
      <c r="Q5" s="119">
        <f>P5/249</f>
        <v>0</v>
      </c>
      <c r="R5" s="8"/>
      <c r="S5" s="8"/>
      <c r="T5" s="8"/>
      <c r="U5" s="8">
        <f t="shared" ref="U5:W9" si="2">R5*1.8+32</f>
        <v>32</v>
      </c>
      <c r="V5" s="8">
        <f t="shared" si="2"/>
        <v>32</v>
      </c>
      <c r="W5" s="13">
        <f t="shared" si="2"/>
        <v>32</v>
      </c>
      <c r="X5" s="69"/>
      <c r="Y5" s="20"/>
      <c r="Z5" s="9"/>
      <c r="AA5" s="9">
        <f>SUM(Y5:Z5)</f>
        <v>0</v>
      </c>
      <c r="AB5" s="22">
        <f>AA5*1</f>
        <v>0</v>
      </c>
      <c r="AC5" s="22">
        <f>CEILING(AB5,5)</f>
        <v>0</v>
      </c>
      <c r="AD5" s="22">
        <v>1</v>
      </c>
      <c r="AE5" s="23">
        <f>AD5*AC5</f>
        <v>0</v>
      </c>
      <c r="AG5" s="12">
        <f t="shared" si="0"/>
        <v>1</v>
      </c>
      <c r="AH5" s="8" t="str">
        <f t="shared" si="0"/>
        <v>XX</v>
      </c>
      <c r="AI5" s="8" t="str">
        <f t="shared" si="0"/>
        <v>XX</v>
      </c>
      <c r="AJ5" s="8"/>
      <c r="AK5" s="9"/>
      <c r="AL5" s="9"/>
      <c r="AM5" s="170"/>
      <c r="AN5" s="170"/>
      <c r="AO5" s="13"/>
      <c r="AQ5" s="12">
        <f t="shared" si="1"/>
        <v>1</v>
      </c>
      <c r="AR5" s="8" t="str">
        <f t="shared" si="1"/>
        <v>XX</v>
      </c>
      <c r="AS5" s="8" t="str">
        <f t="shared" si="1"/>
        <v>XX</v>
      </c>
      <c r="AT5" s="742"/>
      <c r="AU5" s="749"/>
      <c r="AV5" s="752"/>
      <c r="AW5" s="223"/>
      <c r="AX5" s="210"/>
      <c r="AY5" s="745"/>
      <c r="AZ5" s="745"/>
      <c r="BA5" s="742"/>
      <c r="BB5" s="742"/>
      <c r="BC5" s="742"/>
      <c r="BD5" s="742"/>
      <c r="BE5" s="742"/>
      <c r="BF5" s="758"/>
    </row>
    <row r="6" spans="1:60" s="7" customFormat="1" ht="16.5">
      <c r="A6" s="62"/>
      <c r="B6" s="12">
        <v>2</v>
      </c>
      <c r="C6" s="6"/>
      <c r="D6" s="9"/>
      <c r="E6" s="22">
        <f t="shared" ref="E6:E9" si="3">M6*2.1191</f>
        <v>0</v>
      </c>
      <c r="F6" s="9"/>
      <c r="G6" s="170"/>
      <c r="H6" s="170"/>
      <c r="I6" s="170"/>
      <c r="J6" s="108"/>
      <c r="K6" s="12"/>
      <c r="L6" s="26">
        <f>K6*3412</f>
        <v>0</v>
      </c>
      <c r="M6" s="8"/>
      <c r="N6" s="8"/>
      <c r="O6" s="8"/>
      <c r="P6" s="8"/>
      <c r="Q6" s="119">
        <f t="shared" ref="Q6:Q9" si="4">P6/249</f>
        <v>0</v>
      </c>
      <c r="R6" s="8"/>
      <c r="S6" s="8"/>
      <c r="T6" s="8"/>
      <c r="U6" s="8">
        <f t="shared" si="2"/>
        <v>32</v>
      </c>
      <c r="V6" s="8">
        <f t="shared" si="2"/>
        <v>32</v>
      </c>
      <c r="W6" s="13">
        <f t="shared" si="2"/>
        <v>32</v>
      </c>
      <c r="X6" s="69"/>
      <c r="Y6" s="20"/>
      <c r="Z6" s="9"/>
      <c r="AA6" s="9">
        <f>SUM(Y6:Z6)</f>
        <v>0</v>
      </c>
      <c r="AB6" s="22">
        <f>AA6*1</f>
        <v>0</v>
      </c>
      <c r="AC6" s="9">
        <f>CEILING(AB6,5)</f>
        <v>0</v>
      </c>
      <c r="AD6" s="9"/>
      <c r="AE6" s="10">
        <f>AD6*AC6</f>
        <v>0</v>
      </c>
      <c r="AG6" s="12">
        <f t="shared" si="0"/>
        <v>2</v>
      </c>
      <c r="AH6" s="8">
        <f t="shared" si="0"/>
        <v>0</v>
      </c>
      <c r="AI6" s="8">
        <f t="shared" si="0"/>
        <v>0</v>
      </c>
      <c r="AJ6" s="8"/>
      <c r="AK6" s="9"/>
      <c r="AL6" s="9"/>
      <c r="AM6" s="170"/>
      <c r="AN6" s="170"/>
      <c r="AO6" s="13"/>
      <c r="AQ6" s="12">
        <f t="shared" ref="AQ6:AS9" si="5">AG6</f>
        <v>2</v>
      </c>
      <c r="AR6" s="8">
        <f t="shared" si="5"/>
        <v>0</v>
      </c>
      <c r="AS6" s="8">
        <f t="shared" si="5"/>
        <v>0</v>
      </c>
      <c r="AT6" s="742"/>
      <c r="AU6" s="749"/>
      <c r="AV6" s="752"/>
      <c r="AW6" s="223"/>
      <c r="AX6" s="210"/>
      <c r="AY6" s="745"/>
      <c r="AZ6" s="745"/>
      <c r="BA6" s="742"/>
      <c r="BB6" s="742"/>
      <c r="BC6" s="742"/>
      <c r="BD6" s="742"/>
      <c r="BE6" s="742"/>
      <c r="BF6" s="758"/>
    </row>
    <row r="7" spans="1:60" s="7" customFormat="1" ht="16.5">
      <c r="A7" s="62"/>
      <c r="B7" s="12">
        <v>3</v>
      </c>
      <c r="C7" s="6"/>
      <c r="D7" s="9"/>
      <c r="E7" s="22">
        <f t="shared" si="3"/>
        <v>0</v>
      </c>
      <c r="F7" s="9"/>
      <c r="G7" s="170"/>
      <c r="H7" s="170"/>
      <c r="I7" s="170"/>
      <c r="J7" s="108"/>
      <c r="K7" s="12"/>
      <c r="L7" s="26">
        <f>K7*3412</f>
        <v>0</v>
      </c>
      <c r="M7" s="8"/>
      <c r="N7" s="8"/>
      <c r="O7" s="8"/>
      <c r="P7" s="8"/>
      <c r="Q7" s="119">
        <f t="shared" si="4"/>
        <v>0</v>
      </c>
      <c r="R7" s="8"/>
      <c r="S7" s="8"/>
      <c r="T7" s="8"/>
      <c r="U7" s="8">
        <f t="shared" si="2"/>
        <v>32</v>
      </c>
      <c r="V7" s="8">
        <f t="shared" si="2"/>
        <v>32</v>
      </c>
      <c r="W7" s="13">
        <f t="shared" si="2"/>
        <v>32</v>
      </c>
      <c r="X7" s="69"/>
      <c r="Y7" s="20"/>
      <c r="Z7" s="9"/>
      <c r="AA7" s="9">
        <f>SUM(Y7:Z7)</f>
        <v>0</v>
      </c>
      <c r="AB7" s="22">
        <f>AA7*1</f>
        <v>0</v>
      </c>
      <c r="AC7" s="9">
        <f>CEILING(AB7,5)</f>
        <v>0</v>
      </c>
      <c r="AD7" s="9"/>
      <c r="AE7" s="10">
        <f>AD7*AC7</f>
        <v>0</v>
      </c>
      <c r="AG7" s="12">
        <f t="shared" si="0"/>
        <v>3</v>
      </c>
      <c r="AH7" s="8">
        <f t="shared" si="0"/>
        <v>0</v>
      </c>
      <c r="AI7" s="8">
        <f t="shared" si="0"/>
        <v>0</v>
      </c>
      <c r="AJ7" s="8"/>
      <c r="AK7" s="9"/>
      <c r="AL7" s="9"/>
      <c r="AM7" s="170"/>
      <c r="AN7" s="170"/>
      <c r="AO7" s="13"/>
      <c r="AQ7" s="12">
        <f t="shared" si="5"/>
        <v>3</v>
      </c>
      <c r="AR7" s="8">
        <f t="shared" si="5"/>
        <v>0</v>
      </c>
      <c r="AS7" s="8">
        <f t="shared" si="5"/>
        <v>0</v>
      </c>
      <c r="AT7" s="742"/>
      <c r="AU7" s="749"/>
      <c r="AV7" s="752"/>
      <c r="AW7" s="223"/>
      <c r="AX7" s="210"/>
      <c r="AY7" s="745"/>
      <c r="AZ7" s="745"/>
      <c r="BA7" s="742"/>
      <c r="BB7" s="742"/>
      <c r="BC7" s="742"/>
      <c r="BD7" s="742"/>
      <c r="BE7" s="742"/>
      <c r="BF7" s="758"/>
    </row>
    <row r="8" spans="1:60" s="7" customFormat="1" ht="16.5">
      <c r="A8" s="62"/>
      <c r="B8" s="12">
        <v>4</v>
      </c>
      <c r="C8" s="6"/>
      <c r="D8" s="9"/>
      <c r="E8" s="22">
        <f t="shared" si="3"/>
        <v>0</v>
      </c>
      <c r="F8" s="9"/>
      <c r="G8" s="170"/>
      <c r="H8" s="170"/>
      <c r="I8" s="170"/>
      <c r="J8" s="108"/>
      <c r="K8" s="12"/>
      <c r="L8" s="26">
        <f>K8*3412</f>
        <v>0</v>
      </c>
      <c r="M8" s="8"/>
      <c r="N8" s="8"/>
      <c r="O8" s="8"/>
      <c r="P8" s="8"/>
      <c r="Q8" s="119">
        <f t="shared" si="4"/>
        <v>0</v>
      </c>
      <c r="R8" s="8"/>
      <c r="S8" s="8"/>
      <c r="T8" s="8"/>
      <c r="U8" s="8">
        <f t="shared" si="2"/>
        <v>32</v>
      </c>
      <c r="V8" s="8">
        <f t="shared" si="2"/>
        <v>32</v>
      </c>
      <c r="W8" s="13">
        <f t="shared" si="2"/>
        <v>32</v>
      </c>
      <c r="X8" s="69"/>
      <c r="Y8" s="20"/>
      <c r="Z8" s="9"/>
      <c r="AA8" s="9">
        <f>SUM(Y8:Z8)</f>
        <v>0</v>
      </c>
      <c r="AB8" s="22">
        <f>AA8*1</f>
        <v>0</v>
      </c>
      <c r="AC8" s="9">
        <f>CEILING(AB8,5)</f>
        <v>0</v>
      </c>
      <c r="AD8" s="9"/>
      <c r="AE8" s="10">
        <f>AD8*AC8</f>
        <v>0</v>
      </c>
      <c r="AG8" s="12">
        <f t="shared" si="0"/>
        <v>4</v>
      </c>
      <c r="AH8" s="8">
        <f t="shared" si="0"/>
        <v>0</v>
      </c>
      <c r="AI8" s="8">
        <f t="shared" si="0"/>
        <v>0</v>
      </c>
      <c r="AJ8" s="8"/>
      <c r="AK8" s="9"/>
      <c r="AL8" s="9"/>
      <c r="AM8" s="170"/>
      <c r="AN8" s="170"/>
      <c r="AO8" s="13"/>
      <c r="AQ8" s="12">
        <f t="shared" si="5"/>
        <v>4</v>
      </c>
      <c r="AR8" s="8">
        <f t="shared" si="5"/>
        <v>0</v>
      </c>
      <c r="AS8" s="8">
        <f t="shared" si="5"/>
        <v>0</v>
      </c>
      <c r="AT8" s="742"/>
      <c r="AU8" s="749"/>
      <c r="AV8" s="752"/>
      <c r="AW8" s="223"/>
      <c r="AX8" s="210"/>
      <c r="AY8" s="745"/>
      <c r="AZ8" s="745"/>
      <c r="BA8" s="742"/>
      <c r="BB8" s="742"/>
      <c r="BC8" s="742"/>
      <c r="BD8" s="742"/>
      <c r="BE8" s="742"/>
      <c r="BF8" s="758"/>
    </row>
    <row r="9" spans="1:60" s="7" customFormat="1" ht="15.75" customHeight="1" thickBot="1">
      <c r="A9" s="62"/>
      <c r="B9" s="38">
        <v>5</v>
      </c>
      <c r="C9" s="17"/>
      <c r="D9" s="18"/>
      <c r="E9" s="18">
        <f t="shared" si="3"/>
        <v>0</v>
      </c>
      <c r="F9" s="18"/>
      <c r="G9" s="171"/>
      <c r="H9" s="171"/>
      <c r="I9" s="171"/>
      <c r="J9" s="109"/>
      <c r="K9" s="14"/>
      <c r="L9" s="15">
        <f>K9*3412</f>
        <v>0</v>
      </c>
      <c r="M9" s="15"/>
      <c r="N9" s="15"/>
      <c r="O9" s="15"/>
      <c r="P9" s="15"/>
      <c r="Q9" s="121">
        <f t="shared" si="4"/>
        <v>0</v>
      </c>
      <c r="R9" s="15"/>
      <c r="S9" s="15"/>
      <c r="T9" s="15"/>
      <c r="U9" s="15">
        <f t="shared" si="2"/>
        <v>32</v>
      </c>
      <c r="V9" s="15">
        <f t="shared" si="2"/>
        <v>32</v>
      </c>
      <c r="W9" s="16">
        <f t="shared" si="2"/>
        <v>32</v>
      </c>
      <c r="X9" s="70"/>
      <c r="Y9" s="21"/>
      <c r="Z9" s="18"/>
      <c r="AA9" s="18">
        <f>SUM(Y9:Z9)</f>
        <v>0</v>
      </c>
      <c r="AB9" s="18">
        <f>AA9*1</f>
        <v>0</v>
      </c>
      <c r="AC9" s="18">
        <f>CEILING(AB9,5)</f>
        <v>0</v>
      </c>
      <c r="AD9" s="18"/>
      <c r="AE9" s="19">
        <f>AD9*AC9</f>
        <v>0</v>
      </c>
      <c r="AG9" s="14">
        <f t="shared" si="0"/>
        <v>5</v>
      </c>
      <c r="AH9" s="15">
        <f t="shared" si="0"/>
        <v>0</v>
      </c>
      <c r="AI9" s="15">
        <f t="shared" si="0"/>
        <v>0</v>
      </c>
      <c r="AJ9" s="15"/>
      <c r="AK9" s="18"/>
      <c r="AL9" s="18"/>
      <c r="AM9" s="171"/>
      <c r="AN9" s="171"/>
      <c r="AO9" s="16"/>
      <c r="AQ9" s="14">
        <f t="shared" si="5"/>
        <v>5</v>
      </c>
      <c r="AR9" s="15">
        <f t="shared" si="5"/>
        <v>0</v>
      </c>
      <c r="AS9" s="15">
        <f t="shared" si="5"/>
        <v>0</v>
      </c>
      <c r="AT9" s="743"/>
      <c r="AU9" s="750"/>
      <c r="AV9" s="753"/>
      <c r="AW9" s="224"/>
      <c r="AX9" s="211"/>
      <c r="AY9" s="746"/>
      <c r="AZ9" s="746"/>
      <c r="BA9" s="743"/>
      <c r="BB9" s="743"/>
      <c r="BC9" s="743"/>
      <c r="BD9" s="743"/>
      <c r="BE9" s="743"/>
      <c r="BF9" s="759"/>
    </row>
    <row r="10" spans="1:60" s="7" customFormat="1" ht="17.25" thickBot="1">
      <c r="A10" s="62"/>
      <c r="F10" s="11"/>
      <c r="G10" s="11"/>
      <c r="H10" s="11"/>
      <c r="I10" s="11"/>
      <c r="J10" s="11"/>
      <c r="AA10" s="11"/>
      <c r="AB10" s="11"/>
      <c r="AC10" s="11"/>
      <c r="AD10" s="172">
        <f>SUM(AD5:AD9)</f>
        <v>1</v>
      </c>
      <c r="AE10" s="173">
        <f>SUM(AE5:AE9)</f>
        <v>0</v>
      </c>
    </row>
    <row r="11" spans="1:60" s="3" customFormat="1" ht="15.75">
      <c r="A11" s="62"/>
    </row>
    <row r="12" spans="1:60" s="3" customFormat="1" ht="16.5" thickBot="1">
      <c r="A12" s="62"/>
    </row>
    <row r="13" spans="1:60" s="3" customFormat="1" ht="21" thickBot="1">
      <c r="A13" s="62"/>
      <c r="C13" s="1790" t="s">
        <v>73</v>
      </c>
      <c r="D13" s="1784"/>
      <c r="E13" s="1784"/>
      <c r="F13" s="1784"/>
      <c r="G13" s="1784"/>
      <c r="H13" s="1784"/>
      <c r="I13" s="1784"/>
      <c r="J13" s="1784"/>
      <c r="K13" s="1785"/>
    </row>
    <row r="14" spans="1:60" s="3" customFormat="1" ht="15.75">
      <c r="A14" s="62"/>
      <c r="C14" s="39" t="s">
        <v>3</v>
      </c>
      <c r="D14" s="39"/>
      <c r="E14" s="39"/>
      <c r="F14" s="39"/>
      <c r="G14" s="39"/>
      <c r="H14" s="39"/>
      <c r="I14" s="39"/>
      <c r="J14" s="39"/>
      <c r="K14" s="39"/>
    </row>
    <row r="15" spans="1:60" ht="15.75">
      <c r="A15" s="62"/>
    </row>
    <row r="16" spans="1:60"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6">
    <mergeCell ref="C13:K13"/>
    <mergeCell ref="AQ3:BF3"/>
    <mergeCell ref="B3:J3"/>
    <mergeCell ref="K3:W3"/>
    <mergeCell ref="Y3:AE3"/>
    <mergeCell ref="AG3:AO3"/>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385" r:id="rId4" name="Hide">
          <controlPr defaultSize="0" autoLine="0" r:id="rId5">
            <anchor moveWithCells="1">
              <from>
                <xdr:col>0</xdr:col>
                <xdr:colOff>0</xdr:colOff>
                <xdr:row>2</xdr:row>
                <xdr:rowOff>0</xdr:rowOff>
              </from>
              <to>
                <xdr:col>2</xdr:col>
                <xdr:colOff>228600</xdr:colOff>
                <xdr:row>3</xdr:row>
                <xdr:rowOff>57150</xdr:rowOff>
              </to>
            </anchor>
          </controlPr>
        </control>
      </mc:Choice>
      <mc:Fallback>
        <control shapeId="16385" r:id="rId4" name="Hide"/>
      </mc:Fallback>
    </mc:AlternateContent>
    <mc:AlternateContent xmlns:mc="http://schemas.openxmlformats.org/markup-compatibility/2006">
      <mc:Choice Requires="x14">
        <control shapeId="16386" r:id="rId6" name="Specs">
          <controlPr defaultSize="0" autoLine="0" r:id="rId7">
            <anchor moveWithCells="1">
              <from>
                <xdr:col>0</xdr:col>
                <xdr:colOff>0</xdr:colOff>
                <xdr:row>3</xdr:row>
                <xdr:rowOff>133350</xdr:rowOff>
              </from>
              <to>
                <xdr:col>3</xdr:col>
                <xdr:colOff>457200</xdr:colOff>
                <xdr:row>3</xdr:row>
                <xdr:rowOff>447675</xdr:rowOff>
              </to>
            </anchor>
          </controlPr>
        </control>
      </mc:Choice>
      <mc:Fallback>
        <control shapeId="16386" r:id="rId6" name="Specs"/>
      </mc:Fallback>
    </mc:AlternateContent>
    <mc:AlternateContent xmlns:mc="http://schemas.openxmlformats.org/markup-compatibility/2006">
      <mc:Choice Requires="x14">
        <control shapeId="16387" r:id="rId8" name="Technical">
          <controlPr defaultSize="0" autoLine="0" r:id="rId9">
            <anchor moveWithCells="1">
              <from>
                <xdr:col>0</xdr:col>
                <xdr:colOff>0</xdr:colOff>
                <xdr:row>3</xdr:row>
                <xdr:rowOff>133350</xdr:rowOff>
              </from>
              <to>
                <xdr:col>3</xdr:col>
                <xdr:colOff>457200</xdr:colOff>
                <xdr:row>3</xdr:row>
                <xdr:rowOff>447675</xdr:rowOff>
              </to>
            </anchor>
          </controlPr>
        </control>
      </mc:Choice>
      <mc:Fallback>
        <control shapeId="16387" r:id="rId8" name="Technical"/>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D8_PSU"/>
  <dimension ref="A1:AZ56"/>
  <sheetViews>
    <sheetView zoomScale="80" zoomScaleNormal="80" workbookViewId="0">
      <pane xSplit="1" topLeftCell="B1" activePane="topRight" state="frozen"/>
      <selection pane="topRight" activeCell="T24" sqref="T23:T24"/>
    </sheetView>
  </sheetViews>
  <sheetFormatPr defaultColWidth="9.140625" defaultRowHeight="15"/>
  <cols>
    <col min="1" max="1" width="55.7109375" style="1" hidden="1" customWidth="1"/>
    <col min="2" max="2" width="4.28515625" style="1" customWidth="1"/>
    <col min="3" max="3" width="11.85546875" style="1" customWidth="1"/>
    <col min="4" max="4" width="23" style="1" customWidth="1"/>
    <col min="5" max="6" width="22.140625" style="1" customWidth="1"/>
    <col min="7" max="7" width="9.7109375" style="1" customWidth="1"/>
    <col min="8" max="9" width="22.85546875" style="1" customWidth="1"/>
    <col min="10" max="10" width="9.140625" style="1" customWidth="1"/>
    <col min="11" max="11" width="12.5703125" style="1" customWidth="1"/>
    <col min="12" max="12" width="12.28515625" style="1" customWidth="1"/>
    <col min="13" max="13" width="9.140625" style="1"/>
    <col min="14" max="14" width="3.5703125" style="1" customWidth="1"/>
    <col min="15" max="15" width="9.140625" style="1"/>
    <col min="16" max="16" width="13.85546875" style="1" customWidth="1"/>
    <col min="17" max="20" width="9.140625" style="1"/>
    <col min="21" max="21" width="16.28515625" style="1" customWidth="1"/>
    <col min="22" max="42" width="9.140625" style="1"/>
    <col min="43" max="43" width="12.42578125" style="1" customWidth="1"/>
    <col min="44" max="44" width="13.85546875" style="1" bestFit="1" customWidth="1"/>
    <col min="45" max="45" width="13.5703125" style="1" customWidth="1"/>
    <col min="46" max="46" width="13.140625" style="1" customWidth="1"/>
    <col min="47" max="47" width="13.42578125" style="1" bestFit="1" customWidth="1"/>
    <col min="48" max="16384" width="9.140625" style="1"/>
  </cols>
  <sheetData>
    <row r="1" spans="1:52" ht="15.75" hidden="1" customHeight="1" thickBot="1">
      <c r="A1" s="159" t="s">
        <v>394</v>
      </c>
      <c r="B1" s="160">
        <v>0</v>
      </c>
      <c r="C1" s="160">
        <v>4</v>
      </c>
      <c r="D1" s="160">
        <v>3</v>
      </c>
      <c r="E1" s="160">
        <v>2</v>
      </c>
      <c r="F1" s="160">
        <v>1</v>
      </c>
      <c r="G1" s="160">
        <v>5</v>
      </c>
      <c r="H1" s="160">
        <v>6</v>
      </c>
      <c r="I1" s="160">
        <v>0</v>
      </c>
      <c r="J1" s="160">
        <v>7</v>
      </c>
      <c r="K1" s="160">
        <v>8</v>
      </c>
      <c r="L1" s="160">
        <v>9</v>
      </c>
      <c r="M1" s="160">
        <v>10</v>
      </c>
      <c r="N1" s="160">
        <v>0</v>
      </c>
      <c r="O1" s="160">
        <v>0</v>
      </c>
      <c r="P1" s="160">
        <v>0</v>
      </c>
      <c r="Q1" s="160">
        <v>0</v>
      </c>
      <c r="R1" s="160">
        <v>0</v>
      </c>
      <c r="S1" s="160">
        <v>0</v>
      </c>
      <c r="T1" s="160">
        <v>0</v>
      </c>
      <c r="U1" s="160">
        <v>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row>
    <row r="2" spans="1:52" ht="14.25" hidden="1" customHeight="1" thickBot="1">
      <c r="A2" s="62"/>
      <c r="B2" s="1">
        <v>0</v>
      </c>
      <c r="C2" s="1" t="s">
        <v>427</v>
      </c>
      <c r="D2" s="1" t="s">
        <v>428</v>
      </c>
      <c r="E2" s="1" t="s">
        <v>426</v>
      </c>
      <c r="F2" s="1" t="s">
        <v>2098</v>
      </c>
      <c r="G2" s="1" t="s">
        <v>2104</v>
      </c>
      <c r="H2" s="1">
        <v>0</v>
      </c>
      <c r="I2" s="1">
        <v>0</v>
      </c>
      <c r="J2" s="1">
        <v>0</v>
      </c>
      <c r="K2" s="1" t="s">
        <v>2561</v>
      </c>
      <c r="L2" s="1">
        <v>0</v>
      </c>
      <c r="M2" s="1">
        <v>0</v>
      </c>
      <c r="N2" s="1">
        <v>0</v>
      </c>
      <c r="O2" s="1">
        <v>0</v>
      </c>
      <c r="P2" s="1">
        <v>0</v>
      </c>
      <c r="Q2" s="1">
        <v>0</v>
      </c>
      <c r="R2" s="1">
        <v>0</v>
      </c>
      <c r="S2" s="1" t="s">
        <v>2102</v>
      </c>
      <c r="T2" s="1" t="s">
        <v>2100</v>
      </c>
      <c r="U2" s="1" t="s">
        <v>2101</v>
      </c>
      <c r="V2" s="1">
        <v>0</v>
      </c>
      <c r="W2" s="1">
        <v>0</v>
      </c>
      <c r="X2" s="1">
        <v>0</v>
      </c>
      <c r="Y2" s="1">
        <v>0</v>
      </c>
      <c r="Z2" s="1" t="s">
        <v>39</v>
      </c>
      <c r="AA2" s="1" t="s">
        <v>40</v>
      </c>
      <c r="AB2" s="1" t="s">
        <v>38</v>
      </c>
      <c r="AC2" s="1" t="s">
        <v>645</v>
      </c>
      <c r="AD2" s="1" t="s">
        <v>1005</v>
      </c>
      <c r="AE2" s="1" t="s">
        <v>41</v>
      </c>
      <c r="AF2" s="1">
        <v>0</v>
      </c>
      <c r="AG2" s="1">
        <v>0</v>
      </c>
      <c r="AH2" s="1">
        <v>0</v>
      </c>
      <c r="AI2" s="1">
        <v>0</v>
      </c>
      <c r="AJ2" s="1" t="s">
        <v>619</v>
      </c>
      <c r="AK2" s="1" t="s">
        <v>613</v>
      </c>
      <c r="AL2" s="1" t="s">
        <v>615</v>
      </c>
      <c r="AM2" s="1" t="s">
        <v>614</v>
      </c>
      <c r="AN2" s="1" t="s">
        <v>616</v>
      </c>
      <c r="AO2" s="1" t="s">
        <v>617</v>
      </c>
      <c r="AP2" s="1" t="s">
        <v>618</v>
      </c>
      <c r="AQ2" s="1" t="s">
        <v>2122</v>
      </c>
      <c r="AR2" s="1" t="s">
        <v>2123</v>
      </c>
      <c r="AS2" s="1" t="s">
        <v>2120</v>
      </c>
      <c r="AT2" s="1" t="s">
        <v>2126</v>
      </c>
      <c r="AU2" s="1" t="s">
        <v>2128</v>
      </c>
      <c r="AV2" s="1" t="s">
        <v>1343</v>
      </c>
      <c r="AW2" s="1">
        <v>0</v>
      </c>
      <c r="AX2" s="1">
        <v>0</v>
      </c>
      <c r="AY2" s="1">
        <v>0</v>
      </c>
      <c r="AZ2" s="1">
        <v>0</v>
      </c>
    </row>
    <row r="3" spans="1:52" s="7" customFormat="1" ht="19.5" customHeight="1" thickTop="1" thickBot="1">
      <c r="A3" s="60" t="s">
        <v>80</v>
      </c>
      <c r="B3" s="1813" t="s">
        <v>21</v>
      </c>
      <c r="C3" s="1814"/>
      <c r="D3" s="1814"/>
      <c r="E3" s="1814"/>
      <c r="F3" s="1814"/>
      <c r="G3" s="1816"/>
      <c r="H3" s="1817" t="s">
        <v>17</v>
      </c>
      <c r="I3" s="1818"/>
      <c r="J3" s="1818"/>
      <c r="K3" s="1818"/>
      <c r="L3" s="1818"/>
      <c r="M3" s="1819"/>
      <c r="N3" s="68"/>
      <c r="O3" s="1810" t="s">
        <v>24</v>
      </c>
      <c r="P3" s="1811"/>
      <c r="Q3" s="1811"/>
      <c r="R3" s="1811"/>
      <c r="S3" s="1811"/>
      <c r="T3" s="1811"/>
      <c r="U3" s="1812"/>
      <c r="W3" s="1780" t="s">
        <v>42</v>
      </c>
      <c r="X3" s="1781"/>
      <c r="Y3" s="1781"/>
      <c r="Z3" s="1781"/>
      <c r="AA3" s="1781"/>
      <c r="AB3" s="1781"/>
      <c r="AC3" s="1781"/>
      <c r="AD3" s="1781"/>
      <c r="AE3" s="1782"/>
      <c r="AG3" s="1829" t="s">
        <v>2131</v>
      </c>
      <c r="AH3" s="1830"/>
      <c r="AI3" s="1830"/>
      <c r="AJ3" s="1830"/>
      <c r="AK3" s="1830"/>
      <c r="AL3" s="1830"/>
      <c r="AM3" s="1830"/>
      <c r="AN3" s="1830"/>
      <c r="AO3" s="1830"/>
      <c r="AP3" s="1830"/>
      <c r="AQ3" s="1830"/>
      <c r="AR3" s="1830"/>
      <c r="AS3" s="1830"/>
      <c r="AT3" s="1830"/>
      <c r="AU3" s="1830"/>
      <c r="AV3" s="1831"/>
    </row>
    <row r="4" spans="1:52" s="7" customFormat="1" ht="50.25" thickTop="1">
      <c r="A4" s="64"/>
      <c r="B4" s="90" t="s">
        <v>2</v>
      </c>
      <c r="C4" s="79" t="s">
        <v>3</v>
      </c>
      <c r="D4" s="79" t="s">
        <v>0</v>
      </c>
      <c r="E4" s="79" t="s">
        <v>81</v>
      </c>
      <c r="F4" s="79" t="s">
        <v>87</v>
      </c>
      <c r="G4" s="80" t="s">
        <v>14</v>
      </c>
      <c r="H4" s="81" t="s">
        <v>22</v>
      </c>
      <c r="I4" s="81" t="s">
        <v>86</v>
      </c>
      <c r="J4" s="82" t="s">
        <v>18</v>
      </c>
      <c r="K4" s="82" t="s">
        <v>9</v>
      </c>
      <c r="L4" s="83" t="s">
        <v>19</v>
      </c>
      <c r="M4" s="91" t="s">
        <v>20</v>
      </c>
      <c r="N4" s="69"/>
      <c r="O4" s="84" t="s">
        <v>74</v>
      </c>
      <c r="P4" s="86" t="s">
        <v>78</v>
      </c>
      <c r="Q4" s="87" t="s">
        <v>26</v>
      </c>
      <c r="R4" s="88" t="s">
        <v>75</v>
      </c>
      <c r="S4" s="88" t="s">
        <v>2490</v>
      </c>
      <c r="T4" s="88" t="s">
        <v>5</v>
      </c>
      <c r="U4" s="89" t="s">
        <v>2491</v>
      </c>
      <c r="W4" s="48" t="str">
        <f t="shared" ref="W4:Y9" si="0">B4</f>
        <v>No.</v>
      </c>
      <c r="X4" s="49" t="str">
        <f t="shared" si="0"/>
        <v>Ref.</v>
      </c>
      <c r="Y4" s="49" t="str">
        <f t="shared" si="0"/>
        <v>Model</v>
      </c>
      <c r="Z4" s="49" t="s">
        <v>39</v>
      </c>
      <c r="AA4" s="50" t="s">
        <v>40</v>
      </c>
      <c r="AB4" s="50" t="s">
        <v>38</v>
      </c>
      <c r="AC4" s="243" t="s">
        <v>645</v>
      </c>
      <c r="AD4" s="243" t="s">
        <v>1005</v>
      </c>
      <c r="AE4" s="51" t="s">
        <v>41</v>
      </c>
      <c r="AG4" s="48" t="str">
        <f t="shared" ref="AG4:AI5" si="1">W4</f>
        <v>No.</v>
      </c>
      <c r="AH4" s="49" t="str">
        <f t="shared" si="1"/>
        <v>Ref.</v>
      </c>
      <c r="AI4" s="49" t="str">
        <f t="shared" si="1"/>
        <v>Model</v>
      </c>
      <c r="AJ4" s="762" t="s">
        <v>621</v>
      </c>
      <c r="AK4" s="762" t="s">
        <v>580</v>
      </c>
      <c r="AL4" s="49" t="s">
        <v>1329</v>
      </c>
      <c r="AM4" s="762" t="s">
        <v>581</v>
      </c>
      <c r="AN4" s="49" t="s">
        <v>1330</v>
      </c>
      <c r="AO4" s="762" t="s">
        <v>620</v>
      </c>
      <c r="AP4" s="49" t="s">
        <v>5</v>
      </c>
      <c r="AQ4" s="762" t="s">
        <v>2130</v>
      </c>
      <c r="AR4" s="762" t="s">
        <v>2129</v>
      </c>
      <c r="AS4" s="79" t="s">
        <v>2121</v>
      </c>
      <c r="AT4" s="762" t="s">
        <v>2125</v>
      </c>
      <c r="AU4" s="762" t="s">
        <v>2127</v>
      </c>
      <c r="AV4" s="51" t="s">
        <v>1328</v>
      </c>
    </row>
    <row r="5" spans="1:52" s="7" customFormat="1" ht="16.5">
      <c r="A5" s="65"/>
      <c r="B5" s="24">
        <v>1</v>
      </c>
      <c r="C5" s="25" t="s">
        <v>2840</v>
      </c>
      <c r="D5" s="22" t="s">
        <v>2840</v>
      </c>
      <c r="E5" s="22" t="s">
        <v>2840</v>
      </c>
      <c r="F5" s="22"/>
      <c r="G5" s="107"/>
      <c r="H5" s="26"/>
      <c r="I5" s="26">
        <f>H5*3412</f>
        <v>0</v>
      </c>
      <c r="J5" s="8"/>
      <c r="K5" s="8"/>
      <c r="L5" s="8"/>
      <c r="M5" s="13"/>
      <c r="N5" s="69"/>
      <c r="O5" s="20"/>
      <c r="P5" s="9"/>
      <c r="Q5" s="9">
        <f>SUM(O5:P5)</f>
        <v>0</v>
      </c>
      <c r="R5" s="22">
        <f>Q5*1</f>
        <v>0</v>
      </c>
      <c r="S5" s="22">
        <f>CEILING(R5,5)</f>
        <v>0</v>
      </c>
      <c r="T5" s="22">
        <v>1</v>
      </c>
      <c r="U5" s="23">
        <f>T5*S5</f>
        <v>0</v>
      </c>
      <c r="W5" s="12">
        <f t="shared" si="0"/>
        <v>1</v>
      </c>
      <c r="X5" s="8" t="str">
        <f t="shared" si="0"/>
        <v>XX</v>
      </c>
      <c r="Y5" s="8" t="str">
        <f t="shared" si="0"/>
        <v>XX</v>
      </c>
      <c r="Z5" s="8"/>
      <c r="AA5" s="9"/>
      <c r="AB5" s="9"/>
      <c r="AC5" s="170"/>
      <c r="AD5" s="170"/>
      <c r="AE5" s="13"/>
      <c r="AG5" s="12">
        <f t="shared" si="1"/>
        <v>1</v>
      </c>
      <c r="AH5" s="8" t="str">
        <f t="shared" si="1"/>
        <v>XX</v>
      </c>
      <c r="AI5" s="8" t="str">
        <f t="shared" si="1"/>
        <v>XX</v>
      </c>
      <c r="AJ5" s="742"/>
      <c r="AK5" s="749"/>
      <c r="AL5" s="752"/>
      <c r="AM5" s="223"/>
      <c r="AN5" s="210"/>
      <c r="AO5" s="745"/>
      <c r="AP5" s="745"/>
      <c r="AQ5" s="742"/>
      <c r="AR5" s="742"/>
      <c r="AS5" s="742"/>
      <c r="AT5" s="742"/>
      <c r="AU5" s="742"/>
      <c r="AV5" s="758"/>
    </row>
    <row r="6" spans="1:52" s="7" customFormat="1" ht="16.5">
      <c r="A6" s="65"/>
      <c r="B6" s="12">
        <v>2</v>
      </c>
      <c r="C6" s="6"/>
      <c r="D6" s="9"/>
      <c r="E6" s="9"/>
      <c r="F6" s="9"/>
      <c r="G6" s="108"/>
      <c r="H6" s="26"/>
      <c r="I6" s="26">
        <f>H6*3412</f>
        <v>0</v>
      </c>
      <c r="J6" s="8"/>
      <c r="K6" s="8"/>
      <c r="L6" s="8"/>
      <c r="M6" s="13"/>
      <c r="N6" s="69"/>
      <c r="O6" s="20"/>
      <c r="P6" s="9"/>
      <c r="Q6" s="9">
        <f>SUM(O6:P6)</f>
        <v>0</v>
      </c>
      <c r="R6" s="22">
        <f>Q6*1</f>
        <v>0</v>
      </c>
      <c r="S6" s="9">
        <f>CEILING(R6,5)</f>
        <v>0</v>
      </c>
      <c r="T6" s="9"/>
      <c r="U6" s="10">
        <f>T6*S6</f>
        <v>0</v>
      </c>
      <c r="W6" s="12">
        <f t="shared" si="0"/>
        <v>2</v>
      </c>
      <c r="X6" s="8">
        <f t="shared" si="0"/>
        <v>0</v>
      </c>
      <c r="Y6" s="8">
        <f t="shared" si="0"/>
        <v>0</v>
      </c>
      <c r="Z6" s="8"/>
      <c r="AA6" s="9"/>
      <c r="AB6" s="9"/>
      <c r="AC6" s="170"/>
      <c r="AD6" s="170"/>
      <c r="AE6" s="13"/>
      <c r="AG6" s="12">
        <f t="shared" ref="AG6:AI9" si="2">W6</f>
        <v>2</v>
      </c>
      <c r="AH6" s="8">
        <f t="shared" si="2"/>
        <v>0</v>
      </c>
      <c r="AI6" s="8">
        <f t="shared" si="2"/>
        <v>0</v>
      </c>
      <c r="AJ6" s="742"/>
      <c r="AK6" s="749"/>
      <c r="AL6" s="752"/>
      <c r="AM6" s="223"/>
      <c r="AN6" s="210"/>
      <c r="AO6" s="745"/>
      <c r="AP6" s="745"/>
      <c r="AQ6" s="742"/>
      <c r="AR6" s="742"/>
      <c r="AS6" s="742"/>
      <c r="AT6" s="742"/>
      <c r="AU6" s="742"/>
      <c r="AV6" s="758"/>
    </row>
    <row r="7" spans="1:52" s="7" customFormat="1" ht="16.5">
      <c r="A7" s="65"/>
      <c r="B7" s="12">
        <v>3</v>
      </c>
      <c r="C7" s="6"/>
      <c r="D7" s="9"/>
      <c r="E7" s="9"/>
      <c r="F7" s="9"/>
      <c r="G7" s="108"/>
      <c r="H7" s="26"/>
      <c r="I7" s="26">
        <f>H7*3412</f>
        <v>0</v>
      </c>
      <c r="J7" s="8"/>
      <c r="K7" s="8"/>
      <c r="L7" s="8"/>
      <c r="M7" s="13"/>
      <c r="N7" s="69"/>
      <c r="O7" s="20"/>
      <c r="P7" s="9"/>
      <c r="Q7" s="9">
        <f>SUM(O7:P7)</f>
        <v>0</v>
      </c>
      <c r="R7" s="22">
        <f>Q7*1</f>
        <v>0</v>
      </c>
      <c r="S7" s="9">
        <f>CEILING(R7,5)</f>
        <v>0</v>
      </c>
      <c r="T7" s="9"/>
      <c r="U7" s="10">
        <f>T7*S7</f>
        <v>0</v>
      </c>
      <c r="W7" s="12">
        <f t="shared" si="0"/>
        <v>3</v>
      </c>
      <c r="X7" s="8">
        <f t="shared" si="0"/>
        <v>0</v>
      </c>
      <c r="Y7" s="8">
        <f t="shared" si="0"/>
        <v>0</v>
      </c>
      <c r="Z7" s="8"/>
      <c r="AA7" s="9"/>
      <c r="AB7" s="9"/>
      <c r="AC7" s="170"/>
      <c r="AD7" s="170"/>
      <c r="AE7" s="13"/>
      <c r="AG7" s="12">
        <f t="shared" si="2"/>
        <v>3</v>
      </c>
      <c r="AH7" s="8">
        <f t="shared" si="2"/>
        <v>0</v>
      </c>
      <c r="AI7" s="8">
        <f t="shared" si="2"/>
        <v>0</v>
      </c>
      <c r="AJ7" s="742"/>
      <c r="AK7" s="749"/>
      <c r="AL7" s="752"/>
      <c r="AM7" s="223"/>
      <c r="AN7" s="210"/>
      <c r="AO7" s="745"/>
      <c r="AP7" s="745"/>
      <c r="AQ7" s="742"/>
      <c r="AR7" s="742"/>
      <c r="AS7" s="742"/>
      <c r="AT7" s="742"/>
      <c r="AU7" s="742"/>
      <c r="AV7" s="758"/>
    </row>
    <row r="8" spans="1:52" s="7" customFormat="1" ht="16.5">
      <c r="A8" s="65"/>
      <c r="B8" s="12">
        <v>4</v>
      </c>
      <c r="C8" s="6"/>
      <c r="D8" s="9"/>
      <c r="E8" s="9"/>
      <c r="F8" s="9"/>
      <c r="G8" s="108"/>
      <c r="H8" s="26"/>
      <c r="I8" s="26">
        <f>H8*3412</f>
        <v>0</v>
      </c>
      <c r="J8" s="8"/>
      <c r="K8" s="8"/>
      <c r="L8" s="8"/>
      <c r="M8" s="13"/>
      <c r="N8" s="69"/>
      <c r="O8" s="20"/>
      <c r="P8" s="9"/>
      <c r="Q8" s="9">
        <f>SUM(O8:P8)</f>
        <v>0</v>
      </c>
      <c r="R8" s="22">
        <f>Q8*1</f>
        <v>0</v>
      </c>
      <c r="S8" s="9">
        <f>CEILING(R8,5)</f>
        <v>0</v>
      </c>
      <c r="T8" s="9"/>
      <c r="U8" s="10">
        <f>T8*S8</f>
        <v>0</v>
      </c>
      <c r="W8" s="12">
        <f t="shared" si="0"/>
        <v>4</v>
      </c>
      <c r="X8" s="8">
        <f t="shared" si="0"/>
        <v>0</v>
      </c>
      <c r="Y8" s="8">
        <f t="shared" si="0"/>
        <v>0</v>
      </c>
      <c r="Z8" s="8"/>
      <c r="AA8" s="9"/>
      <c r="AB8" s="9"/>
      <c r="AC8" s="170"/>
      <c r="AD8" s="170"/>
      <c r="AE8" s="13"/>
      <c r="AG8" s="12">
        <f t="shared" si="2"/>
        <v>4</v>
      </c>
      <c r="AH8" s="8">
        <f t="shared" si="2"/>
        <v>0</v>
      </c>
      <c r="AI8" s="8">
        <f t="shared" si="2"/>
        <v>0</v>
      </c>
      <c r="AJ8" s="742"/>
      <c r="AK8" s="749"/>
      <c r="AL8" s="752"/>
      <c r="AM8" s="223"/>
      <c r="AN8" s="210"/>
      <c r="AO8" s="745"/>
      <c r="AP8" s="745"/>
      <c r="AQ8" s="742"/>
      <c r="AR8" s="742"/>
      <c r="AS8" s="742"/>
      <c r="AT8" s="742"/>
      <c r="AU8" s="742"/>
      <c r="AV8" s="758"/>
    </row>
    <row r="9" spans="1:52" s="7" customFormat="1" ht="15.75" customHeight="1" thickBot="1">
      <c r="A9" s="65"/>
      <c r="B9" s="38">
        <v>5</v>
      </c>
      <c r="C9" s="17"/>
      <c r="D9" s="18"/>
      <c r="E9" s="18"/>
      <c r="F9" s="18"/>
      <c r="G9" s="109"/>
      <c r="H9" s="27"/>
      <c r="I9" s="15">
        <f>H9*3412</f>
        <v>0</v>
      </c>
      <c r="J9" s="15"/>
      <c r="K9" s="15"/>
      <c r="L9" s="15"/>
      <c r="M9" s="16"/>
      <c r="N9" s="70"/>
      <c r="O9" s="21"/>
      <c r="P9" s="18"/>
      <c r="Q9" s="18">
        <f>SUM(O9:P9)</f>
        <v>0</v>
      </c>
      <c r="R9" s="18">
        <f>Q9*1</f>
        <v>0</v>
      </c>
      <c r="S9" s="18">
        <f>CEILING(R9,5)</f>
        <v>0</v>
      </c>
      <c r="T9" s="18"/>
      <c r="U9" s="19">
        <f>T9*S9</f>
        <v>0</v>
      </c>
      <c r="W9" s="14">
        <f t="shared" si="0"/>
        <v>5</v>
      </c>
      <c r="X9" s="15">
        <f t="shared" si="0"/>
        <v>0</v>
      </c>
      <c r="Y9" s="15">
        <f t="shared" si="0"/>
        <v>0</v>
      </c>
      <c r="Z9" s="15"/>
      <c r="AA9" s="18"/>
      <c r="AB9" s="18"/>
      <c r="AC9" s="171"/>
      <c r="AD9" s="171"/>
      <c r="AE9" s="16"/>
      <c r="AG9" s="14">
        <f t="shared" si="2"/>
        <v>5</v>
      </c>
      <c r="AH9" s="15">
        <f t="shared" si="2"/>
        <v>0</v>
      </c>
      <c r="AI9" s="15">
        <f t="shared" si="2"/>
        <v>0</v>
      </c>
      <c r="AJ9" s="743"/>
      <c r="AK9" s="750"/>
      <c r="AL9" s="753"/>
      <c r="AM9" s="224"/>
      <c r="AN9" s="211"/>
      <c r="AO9" s="746"/>
      <c r="AP9" s="746"/>
      <c r="AQ9" s="743"/>
      <c r="AR9" s="743"/>
      <c r="AS9" s="743"/>
      <c r="AT9" s="743"/>
      <c r="AU9" s="743"/>
      <c r="AV9" s="759"/>
    </row>
    <row r="10" spans="1:52" s="7" customFormat="1" ht="17.25" thickBot="1">
      <c r="A10" s="65"/>
      <c r="F10" s="11"/>
      <c r="G10" s="11"/>
      <c r="Q10" s="11"/>
      <c r="R10" s="11"/>
      <c r="S10" s="11"/>
      <c r="T10" s="172">
        <f>SUM(T5:T9)</f>
        <v>1</v>
      </c>
      <c r="U10" s="173">
        <f>SUM(U5:U9)</f>
        <v>0</v>
      </c>
    </row>
    <row r="11" spans="1:52" s="3" customFormat="1" ht="15.75">
      <c r="A11" s="65"/>
    </row>
    <row r="12" spans="1:52" s="3" customFormat="1" ht="16.5" thickBot="1">
      <c r="A12" s="65"/>
    </row>
    <row r="13" spans="1:52" s="3" customFormat="1" ht="21" thickBot="1">
      <c r="A13" s="65"/>
      <c r="C13" s="1790" t="s">
        <v>77</v>
      </c>
      <c r="D13" s="1784"/>
      <c r="E13" s="1784"/>
      <c r="F13" s="1784"/>
      <c r="G13" s="1784"/>
      <c r="H13" s="1785"/>
    </row>
    <row r="14" spans="1:52" s="3" customFormat="1" ht="15.75">
      <c r="A14" s="65"/>
      <c r="C14" s="39" t="s">
        <v>3</v>
      </c>
      <c r="D14" s="39"/>
      <c r="E14" s="39"/>
      <c r="F14" s="39"/>
      <c r="G14" s="39"/>
      <c r="H14" s="39"/>
    </row>
    <row r="15" spans="1:52" ht="15.75">
      <c r="A15" s="65"/>
    </row>
    <row r="16" spans="1:52" ht="15.75">
      <c r="A16" s="65"/>
    </row>
    <row r="17" spans="1:1" ht="15.75">
      <c r="A17" s="65"/>
    </row>
    <row r="18" spans="1:1" ht="15.75">
      <c r="A18" s="65"/>
    </row>
    <row r="19" spans="1:1" ht="15.75">
      <c r="A19" s="65"/>
    </row>
    <row r="20" spans="1:1" ht="15.75">
      <c r="A20" s="65"/>
    </row>
    <row r="21" spans="1:1" ht="15.75">
      <c r="A21" s="65"/>
    </row>
    <row r="22" spans="1:1" ht="15.75">
      <c r="A22" s="65"/>
    </row>
    <row r="23" spans="1:1" ht="15.75">
      <c r="A23" s="65"/>
    </row>
    <row r="24" spans="1:1" ht="15.75">
      <c r="A24" s="65"/>
    </row>
    <row r="25" spans="1:1" ht="15.75">
      <c r="A25" s="65"/>
    </row>
    <row r="26" spans="1:1" ht="15.75">
      <c r="A26" s="65"/>
    </row>
    <row r="27" spans="1:1" ht="15.75">
      <c r="A27" s="65"/>
    </row>
    <row r="28" spans="1:1" ht="15.75">
      <c r="A28" s="65"/>
    </row>
    <row r="29" spans="1:1" ht="15.75">
      <c r="A29" s="65"/>
    </row>
    <row r="30" spans="1:1" ht="15.75">
      <c r="A30" s="65"/>
    </row>
    <row r="31" spans="1:1" ht="15.75">
      <c r="A31" s="65"/>
    </row>
    <row r="32" spans="1:1" ht="15.75">
      <c r="A32" s="65"/>
    </row>
    <row r="33" spans="1:1" ht="15.75">
      <c r="A33" s="65"/>
    </row>
    <row r="34" spans="1:1" ht="15.75">
      <c r="A34" s="65"/>
    </row>
    <row r="35" spans="1:1" ht="15.75">
      <c r="A35" s="65"/>
    </row>
    <row r="36" spans="1:1" ht="15.75">
      <c r="A36" s="65"/>
    </row>
    <row r="37" spans="1:1" ht="15.75">
      <c r="A37" s="65"/>
    </row>
    <row r="38" spans="1:1" ht="15.75">
      <c r="A38" s="65"/>
    </row>
    <row r="39" spans="1:1" ht="15.75">
      <c r="A39" s="65"/>
    </row>
    <row r="40" spans="1:1" ht="15.75">
      <c r="A40" s="65"/>
    </row>
    <row r="41" spans="1:1" ht="15.75">
      <c r="A41" s="65"/>
    </row>
    <row r="42" spans="1:1" ht="15.75">
      <c r="A42" s="65"/>
    </row>
    <row r="43" spans="1:1" ht="15.75">
      <c r="A43" s="65"/>
    </row>
    <row r="44" spans="1:1" ht="15.75">
      <c r="A44" s="65"/>
    </row>
    <row r="45" spans="1:1" ht="15.75">
      <c r="A45" s="65"/>
    </row>
    <row r="46" spans="1:1" ht="15.75">
      <c r="A46" s="65"/>
    </row>
    <row r="47" spans="1:1" ht="15.75">
      <c r="A47" s="65"/>
    </row>
    <row r="48" spans="1:1" ht="15.75">
      <c r="A48" s="65"/>
    </row>
    <row r="49" spans="1:1" ht="15.75">
      <c r="A49" s="65"/>
    </row>
    <row r="50" spans="1:1" ht="15.75">
      <c r="A50" s="65"/>
    </row>
    <row r="51" spans="1:1" ht="15.75">
      <c r="A51" s="65"/>
    </row>
    <row r="52" spans="1:1" ht="15.75">
      <c r="A52" s="65"/>
    </row>
    <row r="53" spans="1:1" ht="15.75">
      <c r="A53" s="65"/>
    </row>
    <row r="54" spans="1:1" ht="15.75">
      <c r="A54" s="65"/>
    </row>
    <row r="55" spans="1:1" ht="16.5" thickBot="1">
      <c r="A55" s="66"/>
    </row>
    <row r="56" spans="1:1" ht="15.75" thickTop="1"/>
  </sheetData>
  <mergeCells count="6">
    <mergeCell ref="C13:H13"/>
    <mergeCell ref="AG3:AV3"/>
    <mergeCell ref="B3:G3"/>
    <mergeCell ref="H3:M3"/>
    <mergeCell ref="O3:U3"/>
    <mergeCell ref="W3:AE3"/>
  </mergeCells>
  <pageMargins left="0.7" right="0.7" top="0.75" bottom="0.75" header="0.3" footer="0.3"/>
  <drawing r:id="rId1"/>
  <legacyDrawing r:id="rId2"/>
  <controls>
    <mc:AlternateContent xmlns:mc="http://schemas.openxmlformats.org/markup-compatibility/2006">
      <mc:Choice Requires="x14">
        <control shapeId="17409" r:id="rId3" name="Hide">
          <controlPr defaultSize="0" autoLine="0" r:id="rId4">
            <anchor moveWithCells="1">
              <from>
                <xdr:col>0</xdr:col>
                <xdr:colOff>0</xdr:colOff>
                <xdr:row>2</xdr:row>
                <xdr:rowOff>0</xdr:rowOff>
              </from>
              <to>
                <xdr:col>2</xdr:col>
                <xdr:colOff>219075</xdr:colOff>
                <xdr:row>3</xdr:row>
                <xdr:rowOff>57150</xdr:rowOff>
              </to>
            </anchor>
          </controlPr>
        </control>
      </mc:Choice>
      <mc:Fallback>
        <control shapeId="17409" r:id="rId3" name="Hide"/>
      </mc:Fallback>
    </mc:AlternateContent>
    <mc:AlternateContent xmlns:mc="http://schemas.openxmlformats.org/markup-compatibility/2006">
      <mc:Choice Requires="x14">
        <control shapeId="17410" r:id="rId5" name="Specs">
          <controlPr defaultSize="0" autoLine="0" r:id="rId6">
            <anchor moveWithCells="1">
              <from>
                <xdr:col>0</xdr:col>
                <xdr:colOff>0</xdr:colOff>
                <xdr:row>3</xdr:row>
                <xdr:rowOff>133350</xdr:rowOff>
              </from>
              <to>
                <xdr:col>3</xdr:col>
                <xdr:colOff>447675</xdr:colOff>
                <xdr:row>3</xdr:row>
                <xdr:rowOff>447675</xdr:rowOff>
              </to>
            </anchor>
          </controlPr>
        </control>
      </mc:Choice>
      <mc:Fallback>
        <control shapeId="17410" r:id="rId5" name="Specs"/>
      </mc:Fallback>
    </mc:AlternateContent>
    <mc:AlternateContent xmlns:mc="http://schemas.openxmlformats.org/markup-compatibility/2006">
      <mc:Choice Requires="x14">
        <control shapeId="17411" r:id="rId7" name="Technical">
          <controlPr defaultSize="0" autoLine="0" r:id="rId8">
            <anchor moveWithCells="1">
              <from>
                <xdr:col>0</xdr:col>
                <xdr:colOff>0</xdr:colOff>
                <xdr:row>3</xdr:row>
                <xdr:rowOff>133350</xdr:rowOff>
              </from>
              <to>
                <xdr:col>3</xdr:col>
                <xdr:colOff>447675</xdr:colOff>
                <xdr:row>3</xdr:row>
                <xdr:rowOff>447675</xdr:rowOff>
              </to>
            </anchor>
          </controlPr>
        </control>
      </mc:Choice>
      <mc:Fallback>
        <control shapeId="17411" r:id="rId7" name="Technical"/>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E1_Sheet_1"/>
  <dimension ref="A1:BD56"/>
  <sheetViews>
    <sheetView zoomScale="80" zoomScaleNormal="80" workbookViewId="0">
      <pane xSplit="1" topLeftCell="B1" activePane="topRight" state="frozen"/>
      <selection pane="topRight" activeCell="AE4" sqref="AE4:AG4"/>
    </sheetView>
  </sheetViews>
  <sheetFormatPr defaultColWidth="9.140625" defaultRowHeight="15"/>
  <cols>
    <col min="1" max="1" width="55.7109375" style="1" hidden="1" customWidth="1"/>
    <col min="2" max="2" width="4.42578125" style="1" bestFit="1" customWidth="1"/>
    <col min="3" max="3" width="16.7109375" style="1" customWidth="1"/>
    <col min="4" max="4" width="17" style="1" customWidth="1"/>
    <col min="5" max="5" width="15.28515625" style="1" customWidth="1"/>
    <col min="6" max="6" width="11.5703125" style="1" customWidth="1"/>
    <col min="7" max="7" width="10.85546875" style="1" customWidth="1"/>
    <col min="8" max="9" width="20" style="1" customWidth="1"/>
    <col min="10" max="10" width="10.85546875" style="1" customWidth="1"/>
    <col min="11" max="11" width="21" style="1" customWidth="1"/>
    <col min="12" max="12" width="10.140625" style="1" customWidth="1"/>
    <col min="13" max="13" width="14.7109375" style="1" customWidth="1"/>
    <col min="14" max="14" width="9.140625" style="1"/>
    <col min="15" max="22" width="10.7109375" style="1" customWidth="1"/>
    <col min="23" max="23" width="3.42578125" style="1" customWidth="1"/>
    <col min="24" max="24" width="11.7109375" style="1" customWidth="1"/>
    <col min="25" max="28" width="9.140625" style="1"/>
    <col min="29" max="29" width="13.85546875" style="1" customWidth="1"/>
    <col min="30" max="32" width="9.140625" style="1"/>
    <col min="33" max="33" width="13.85546875" style="1" customWidth="1"/>
    <col min="34" max="34" width="9.140625" style="1"/>
    <col min="35" max="35" width="4.42578125" style="1" bestFit="1" customWidth="1"/>
    <col min="36" max="36" width="5" style="1" bestFit="1" customWidth="1"/>
    <col min="37" max="37" width="7" style="1" bestFit="1" customWidth="1"/>
    <col min="38" max="38" width="22.140625" style="1" bestFit="1" customWidth="1"/>
    <col min="39" max="39" width="8.5703125" style="1" bestFit="1" customWidth="1"/>
    <col min="40" max="16384" width="9.140625" style="1"/>
  </cols>
  <sheetData>
    <row r="1" spans="1:56" ht="15.75" hidden="1" customHeight="1" thickBot="1">
      <c r="A1" s="159" t="s">
        <v>394</v>
      </c>
      <c r="B1" s="160">
        <v>0</v>
      </c>
      <c r="C1" s="160">
        <v>1</v>
      </c>
      <c r="D1" s="160">
        <v>2</v>
      </c>
      <c r="E1" s="160">
        <v>3</v>
      </c>
      <c r="F1" s="160">
        <v>4</v>
      </c>
      <c r="G1" s="160">
        <v>5</v>
      </c>
      <c r="H1" s="160">
        <v>0</v>
      </c>
      <c r="I1" s="160">
        <v>0</v>
      </c>
      <c r="J1" s="160">
        <v>6</v>
      </c>
      <c r="K1" s="160">
        <v>0</v>
      </c>
      <c r="L1" s="160">
        <v>7</v>
      </c>
      <c r="M1" s="160">
        <v>8</v>
      </c>
      <c r="N1" s="160">
        <v>9</v>
      </c>
      <c r="O1" s="160">
        <v>10</v>
      </c>
      <c r="P1" s="160">
        <v>11</v>
      </c>
      <c r="Q1" s="160">
        <v>0</v>
      </c>
      <c r="R1" s="160">
        <v>0</v>
      </c>
      <c r="S1" s="160">
        <v>12</v>
      </c>
      <c r="T1" s="160">
        <v>13</v>
      </c>
      <c r="U1" s="160">
        <v>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row>
    <row r="2" spans="1:56" ht="14.25" hidden="1" customHeight="1" thickBot="1">
      <c r="A2" s="62"/>
    </row>
    <row r="3" spans="1:56" s="7" customFormat="1" ht="19.5" customHeight="1" thickTop="1" thickBot="1">
      <c r="A3" s="60" t="s">
        <v>80</v>
      </c>
      <c r="B3" s="1791" t="s">
        <v>21</v>
      </c>
      <c r="C3" s="1776"/>
      <c r="D3" s="1776"/>
      <c r="E3" s="1776"/>
      <c r="F3" s="1776"/>
      <c r="G3" s="1776"/>
      <c r="H3" s="1786" t="s">
        <v>17</v>
      </c>
      <c r="I3" s="1787"/>
      <c r="J3" s="1788"/>
      <c r="K3" s="1788"/>
      <c r="L3" s="1788"/>
      <c r="M3" s="1788"/>
      <c r="N3" s="1788"/>
      <c r="O3" s="1788"/>
      <c r="P3" s="1788"/>
      <c r="Q3" s="1788"/>
      <c r="R3" s="1788"/>
      <c r="S3" s="1788"/>
      <c r="T3" s="1788"/>
      <c r="U3" s="1788"/>
      <c r="V3" s="1789"/>
      <c r="W3" s="96"/>
      <c r="X3" s="1777" t="s">
        <v>24</v>
      </c>
      <c r="Y3" s="1778"/>
      <c r="Z3" s="1778"/>
      <c r="AA3" s="1778"/>
      <c r="AB3" s="1778"/>
      <c r="AC3" s="1778"/>
      <c r="AD3" s="1778"/>
      <c r="AE3" s="1778"/>
      <c r="AF3" s="1778"/>
      <c r="AG3" s="1779"/>
      <c r="AI3" s="1792" t="s">
        <v>43</v>
      </c>
      <c r="AJ3" s="1793"/>
      <c r="AK3" s="1793"/>
      <c r="AL3" s="1793"/>
      <c r="AM3" s="1793"/>
      <c r="AN3" s="1793"/>
      <c r="AO3" s="1793"/>
      <c r="AP3" s="1793"/>
      <c r="AQ3" s="1793"/>
      <c r="AR3" s="1793"/>
      <c r="AS3" s="1793"/>
      <c r="AT3" s="1793"/>
      <c r="AU3" s="1793"/>
      <c r="AV3" s="1794"/>
      <c r="AX3" s="1780" t="s">
        <v>42</v>
      </c>
      <c r="AY3" s="1781"/>
      <c r="AZ3" s="1781"/>
      <c r="BA3" s="1781"/>
      <c r="BB3" s="1781"/>
      <c r="BC3" s="1781"/>
      <c r="BD3" s="1782"/>
    </row>
    <row r="4" spans="1:56" s="7" customFormat="1" ht="50.25" thickTop="1">
      <c r="A4" s="61"/>
      <c r="B4" s="90" t="s">
        <v>2</v>
      </c>
      <c r="C4" s="79" t="s">
        <v>3</v>
      </c>
      <c r="D4" s="79" t="s">
        <v>0</v>
      </c>
      <c r="E4" s="79" t="s">
        <v>81</v>
      </c>
      <c r="F4" s="79" t="s">
        <v>87</v>
      </c>
      <c r="G4" s="92" t="s">
        <v>14</v>
      </c>
      <c r="H4" s="97" t="s">
        <v>22</v>
      </c>
      <c r="I4" s="83" t="s">
        <v>86</v>
      </c>
      <c r="J4" s="83" t="s">
        <v>18</v>
      </c>
      <c r="K4" s="83" t="s">
        <v>6</v>
      </c>
      <c r="L4" s="83" t="s">
        <v>23</v>
      </c>
      <c r="M4" s="83" t="s">
        <v>35</v>
      </c>
      <c r="N4" s="83" t="s">
        <v>28</v>
      </c>
      <c r="O4" s="83" t="s">
        <v>62</v>
      </c>
      <c r="P4" s="83" t="s">
        <v>63</v>
      </c>
      <c r="Q4" s="83" t="s">
        <v>82</v>
      </c>
      <c r="R4" s="83" t="s">
        <v>83</v>
      </c>
      <c r="S4" s="83" t="s">
        <v>19</v>
      </c>
      <c r="T4" s="83" t="s">
        <v>20</v>
      </c>
      <c r="U4" s="83" t="s">
        <v>84</v>
      </c>
      <c r="V4" s="91" t="s">
        <v>85</v>
      </c>
      <c r="W4" s="94"/>
      <c r="X4" s="84" t="s">
        <v>405</v>
      </c>
      <c r="Y4" s="86" t="s">
        <v>4</v>
      </c>
      <c r="Z4" s="86" t="s">
        <v>16</v>
      </c>
      <c r="AA4" s="86" t="s">
        <v>53</v>
      </c>
      <c r="AB4" s="87" t="s">
        <v>26</v>
      </c>
      <c r="AC4" s="88" t="s">
        <v>11</v>
      </c>
      <c r="AD4" s="88" t="s">
        <v>15</v>
      </c>
      <c r="AE4" s="88" t="s">
        <v>2490</v>
      </c>
      <c r="AF4" s="88" t="s">
        <v>5</v>
      </c>
      <c r="AG4" s="89" t="s">
        <v>2491</v>
      </c>
      <c r="AI4" s="33" t="str">
        <f t="shared" ref="AI4:AL9" si="0">B4</f>
        <v>No.</v>
      </c>
      <c r="AJ4" s="34" t="str">
        <f t="shared" si="0"/>
        <v>Ref.</v>
      </c>
      <c r="AK4" s="34" t="str">
        <f t="shared" si="0"/>
        <v>Model</v>
      </c>
      <c r="AL4" s="34" t="str">
        <f t="shared" si="0"/>
        <v>Supply Flow Rate
 CFM</v>
      </c>
      <c r="AM4" s="35" t="str">
        <f t="shared" ref="AM4:AM9" si="1">N4</f>
        <v>ESP
 Pa</v>
      </c>
      <c r="AN4" s="35" t="s">
        <v>31</v>
      </c>
      <c r="AO4" s="35" t="s">
        <v>29</v>
      </c>
      <c r="AP4" s="34" t="s">
        <v>30</v>
      </c>
      <c r="AQ4" s="34" t="s">
        <v>32</v>
      </c>
      <c r="AR4" s="34" t="s">
        <v>33</v>
      </c>
      <c r="AS4" s="34" t="s">
        <v>34</v>
      </c>
      <c r="AT4" s="34" t="s">
        <v>8</v>
      </c>
      <c r="AU4" s="34" t="s">
        <v>36</v>
      </c>
      <c r="AV4" s="36" t="s">
        <v>37</v>
      </c>
      <c r="AX4" s="28" t="str">
        <f t="shared" ref="AX4:AZ9" si="2">B4</f>
        <v>No.</v>
      </c>
      <c r="AY4" s="29" t="str">
        <f t="shared" si="2"/>
        <v>Ref.</v>
      </c>
      <c r="AZ4" s="29" t="str">
        <f t="shared" si="2"/>
        <v>Model</v>
      </c>
      <c r="BA4" s="29" t="s">
        <v>39</v>
      </c>
      <c r="BB4" s="37" t="s">
        <v>40</v>
      </c>
      <c r="BC4" s="37" t="s">
        <v>38</v>
      </c>
      <c r="BD4" s="30" t="s">
        <v>41</v>
      </c>
    </row>
    <row r="5" spans="1:56" s="7" customFormat="1" ht="16.5">
      <c r="A5" s="62"/>
      <c r="B5" s="24">
        <v>1</v>
      </c>
      <c r="C5" s="25"/>
      <c r="D5" s="22"/>
      <c r="E5" s="22">
        <f>J5*2.1191</f>
        <v>0</v>
      </c>
      <c r="F5" s="22"/>
      <c r="G5" s="104"/>
      <c r="H5" s="12"/>
      <c r="I5" s="26">
        <f>H5*3412</f>
        <v>0</v>
      </c>
      <c r="J5" s="8"/>
      <c r="K5" s="8"/>
      <c r="L5" s="8"/>
      <c r="M5" s="8"/>
      <c r="N5" s="8"/>
      <c r="O5" s="8"/>
      <c r="P5" s="8"/>
      <c r="Q5" s="8">
        <f>O5*1.8+32</f>
        <v>32</v>
      </c>
      <c r="R5" s="8">
        <f>P5*1.8+32</f>
        <v>32</v>
      </c>
      <c r="S5" s="8"/>
      <c r="T5" s="8"/>
      <c r="U5" s="8">
        <f>S5*1.8+32</f>
        <v>32</v>
      </c>
      <c r="V5" s="13">
        <f>T5*1.8+32</f>
        <v>32</v>
      </c>
      <c r="W5" s="94"/>
      <c r="X5" s="20"/>
      <c r="Y5" s="9"/>
      <c r="Z5" s="9"/>
      <c r="AA5" s="9"/>
      <c r="AB5" s="9">
        <f>SUM(X5:AA5)</f>
        <v>0</v>
      </c>
      <c r="AC5" s="22">
        <f>AB5*3.75</f>
        <v>0</v>
      </c>
      <c r="AD5" s="22">
        <f>AC5*1.25</f>
        <v>0</v>
      </c>
      <c r="AE5" s="22">
        <f>CEILING(AD5,5)</f>
        <v>0</v>
      </c>
      <c r="AF5" s="22"/>
      <c r="AG5" s="23">
        <f>AF5*AE5</f>
        <v>0</v>
      </c>
      <c r="AI5" s="12">
        <f t="shared" si="0"/>
        <v>1</v>
      </c>
      <c r="AJ5" s="8">
        <f t="shared" si="0"/>
        <v>0</v>
      </c>
      <c r="AK5" s="8">
        <f t="shared" si="0"/>
        <v>0</v>
      </c>
      <c r="AL5" s="8">
        <f t="shared" si="0"/>
        <v>0</v>
      </c>
      <c r="AM5" s="118">
        <f t="shared" si="1"/>
        <v>0</v>
      </c>
      <c r="AN5" s="118"/>
      <c r="AO5" s="119"/>
      <c r="AP5" s="119"/>
      <c r="AQ5" s="119"/>
      <c r="AR5" s="119"/>
      <c r="AS5" s="119"/>
      <c r="AT5" s="119">
        <f>SUM(AN5:AS5)</f>
        <v>0</v>
      </c>
      <c r="AU5" s="8"/>
      <c r="AV5" s="13"/>
      <c r="AX5" s="12">
        <f t="shared" si="2"/>
        <v>1</v>
      </c>
      <c r="AY5" s="8">
        <f t="shared" si="2"/>
        <v>0</v>
      </c>
      <c r="AZ5" s="8">
        <f t="shared" si="2"/>
        <v>0</v>
      </c>
      <c r="BA5" s="8"/>
      <c r="BB5" s="9"/>
      <c r="BC5" s="9"/>
      <c r="BD5" s="13"/>
    </row>
    <row r="6" spans="1:56" s="7" customFormat="1" ht="16.5">
      <c r="A6" s="62"/>
      <c r="B6" s="12">
        <v>2</v>
      </c>
      <c r="C6" s="6"/>
      <c r="D6" s="9"/>
      <c r="E6" s="22">
        <f>J6*2.1191</f>
        <v>0</v>
      </c>
      <c r="F6" s="9"/>
      <c r="G6" s="105"/>
      <c r="H6" s="12"/>
      <c r="I6" s="26">
        <f>H6*3412</f>
        <v>0</v>
      </c>
      <c r="J6" s="8"/>
      <c r="K6" s="8"/>
      <c r="L6" s="8"/>
      <c r="M6" s="8"/>
      <c r="N6" s="8"/>
      <c r="O6" s="8"/>
      <c r="P6" s="8"/>
      <c r="Q6" s="8">
        <f t="shared" ref="Q6:R9" si="3">O6*1.8+32</f>
        <v>32</v>
      </c>
      <c r="R6" s="8">
        <f t="shared" si="3"/>
        <v>32</v>
      </c>
      <c r="S6" s="8"/>
      <c r="T6" s="8"/>
      <c r="U6" s="8">
        <f t="shared" ref="U6:V9" si="4">S6*1.8+32</f>
        <v>32</v>
      </c>
      <c r="V6" s="13">
        <f t="shared" si="4"/>
        <v>32</v>
      </c>
      <c r="W6" s="94"/>
      <c r="X6" s="20"/>
      <c r="Y6" s="9"/>
      <c r="Z6" s="9"/>
      <c r="AA6" s="9"/>
      <c r="AB6" s="9">
        <f>SUM(X6:AA6)</f>
        <v>0</v>
      </c>
      <c r="AC6" s="9">
        <f>AB6*3.75</f>
        <v>0</v>
      </c>
      <c r="AD6" s="9">
        <f>AC6*1.25</f>
        <v>0</v>
      </c>
      <c r="AE6" s="9">
        <f>CEILING(AD6,5)</f>
        <v>0</v>
      </c>
      <c r="AF6" s="9"/>
      <c r="AG6" s="10">
        <f>AF6*AE6</f>
        <v>0</v>
      </c>
      <c r="AI6" s="12">
        <f t="shared" si="0"/>
        <v>2</v>
      </c>
      <c r="AJ6" s="8">
        <f t="shared" si="0"/>
        <v>0</v>
      </c>
      <c r="AK6" s="8">
        <f t="shared" si="0"/>
        <v>0</v>
      </c>
      <c r="AL6" s="8">
        <f t="shared" si="0"/>
        <v>0</v>
      </c>
      <c r="AM6" s="118">
        <f t="shared" si="1"/>
        <v>0</v>
      </c>
      <c r="AN6" s="118"/>
      <c r="AO6" s="119"/>
      <c r="AP6" s="119"/>
      <c r="AQ6" s="119"/>
      <c r="AR6" s="119"/>
      <c r="AS6" s="119"/>
      <c r="AT6" s="119">
        <f>SUM(AN6:AS6)</f>
        <v>0</v>
      </c>
      <c r="AU6" s="8"/>
      <c r="AV6" s="13"/>
      <c r="AX6" s="12">
        <f t="shared" si="2"/>
        <v>2</v>
      </c>
      <c r="AY6" s="8">
        <f t="shared" si="2"/>
        <v>0</v>
      </c>
      <c r="AZ6" s="8">
        <f t="shared" si="2"/>
        <v>0</v>
      </c>
      <c r="BA6" s="8"/>
      <c r="BB6" s="9"/>
      <c r="BC6" s="9"/>
      <c r="BD6" s="13"/>
    </row>
    <row r="7" spans="1:56" s="7" customFormat="1" ht="16.5">
      <c r="A7" s="62"/>
      <c r="B7" s="12">
        <v>3</v>
      </c>
      <c r="C7" s="6"/>
      <c r="D7" s="9"/>
      <c r="E7" s="22">
        <f>J7*2.1191</f>
        <v>0</v>
      </c>
      <c r="F7" s="9"/>
      <c r="G7" s="105"/>
      <c r="H7" s="12"/>
      <c r="I7" s="26">
        <f>H7*3412</f>
        <v>0</v>
      </c>
      <c r="J7" s="8"/>
      <c r="K7" s="8"/>
      <c r="L7" s="8"/>
      <c r="M7" s="8"/>
      <c r="N7" s="8"/>
      <c r="O7" s="8"/>
      <c r="P7" s="8"/>
      <c r="Q7" s="8">
        <f t="shared" si="3"/>
        <v>32</v>
      </c>
      <c r="R7" s="8">
        <f t="shared" si="3"/>
        <v>32</v>
      </c>
      <c r="S7" s="8"/>
      <c r="T7" s="8"/>
      <c r="U7" s="8">
        <f t="shared" si="4"/>
        <v>32</v>
      </c>
      <c r="V7" s="13">
        <f t="shared" si="4"/>
        <v>32</v>
      </c>
      <c r="W7" s="94"/>
      <c r="X7" s="20"/>
      <c r="Y7" s="9"/>
      <c r="Z7" s="9"/>
      <c r="AA7" s="9"/>
      <c r="AB7" s="9">
        <f>SUM(X7:AA7)</f>
        <v>0</v>
      </c>
      <c r="AC7" s="9">
        <f>AB7*3.75</f>
        <v>0</v>
      </c>
      <c r="AD7" s="9">
        <f>AC7*1.25</f>
        <v>0</v>
      </c>
      <c r="AE7" s="9">
        <f>CEILING(AD7,5)</f>
        <v>0</v>
      </c>
      <c r="AF7" s="9"/>
      <c r="AG7" s="10">
        <f>AF7*AE7</f>
        <v>0</v>
      </c>
      <c r="AI7" s="12">
        <f t="shared" si="0"/>
        <v>3</v>
      </c>
      <c r="AJ7" s="8">
        <f t="shared" si="0"/>
        <v>0</v>
      </c>
      <c r="AK7" s="8">
        <f t="shared" si="0"/>
        <v>0</v>
      </c>
      <c r="AL7" s="8">
        <f t="shared" si="0"/>
        <v>0</v>
      </c>
      <c r="AM7" s="118">
        <f t="shared" si="1"/>
        <v>0</v>
      </c>
      <c r="AN7" s="118"/>
      <c r="AO7" s="119"/>
      <c r="AP7" s="119"/>
      <c r="AQ7" s="119"/>
      <c r="AR7" s="119"/>
      <c r="AS7" s="119"/>
      <c r="AT7" s="119">
        <f>SUM(AN7:AS7)</f>
        <v>0</v>
      </c>
      <c r="AU7" s="8"/>
      <c r="AV7" s="13"/>
      <c r="AX7" s="12">
        <f t="shared" si="2"/>
        <v>3</v>
      </c>
      <c r="AY7" s="8">
        <f t="shared" si="2"/>
        <v>0</v>
      </c>
      <c r="AZ7" s="8">
        <f t="shared" si="2"/>
        <v>0</v>
      </c>
      <c r="BA7" s="8"/>
      <c r="BB7" s="9"/>
      <c r="BC7" s="9"/>
      <c r="BD7" s="13"/>
    </row>
    <row r="8" spans="1:56" s="7" customFormat="1" ht="16.5">
      <c r="A8" s="62"/>
      <c r="B8" s="12">
        <v>4</v>
      </c>
      <c r="C8" s="6"/>
      <c r="D8" s="9"/>
      <c r="E8" s="22">
        <f>J8*2.1191</f>
        <v>0</v>
      </c>
      <c r="F8" s="9"/>
      <c r="G8" s="105"/>
      <c r="H8" s="12"/>
      <c r="I8" s="26">
        <f>H8*3412</f>
        <v>0</v>
      </c>
      <c r="J8" s="8"/>
      <c r="K8" s="8"/>
      <c r="L8" s="8"/>
      <c r="M8" s="8"/>
      <c r="N8" s="8"/>
      <c r="O8" s="8"/>
      <c r="P8" s="8"/>
      <c r="Q8" s="8">
        <f t="shared" si="3"/>
        <v>32</v>
      </c>
      <c r="R8" s="8">
        <f t="shared" si="3"/>
        <v>32</v>
      </c>
      <c r="S8" s="8"/>
      <c r="T8" s="8"/>
      <c r="U8" s="8">
        <f t="shared" si="4"/>
        <v>32</v>
      </c>
      <c r="V8" s="13">
        <f t="shared" si="4"/>
        <v>32</v>
      </c>
      <c r="W8" s="94"/>
      <c r="X8" s="20"/>
      <c r="Y8" s="9"/>
      <c r="Z8" s="9"/>
      <c r="AA8" s="9"/>
      <c r="AB8" s="9">
        <f>SUM(X8:AA8)</f>
        <v>0</v>
      </c>
      <c r="AC8" s="9">
        <f>AB8*3.75</f>
        <v>0</v>
      </c>
      <c r="AD8" s="9">
        <f>AC8*1.25</f>
        <v>0</v>
      </c>
      <c r="AE8" s="9">
        <f>CEILING(AD8,5)</f>
        <v>0</v>
      </c>
      <c r="AF8" s="9"/>
      <c r="AG8" s="10">
        <f>AF8*AE8</f>
        <v>0</v>
      </c>
      <c r="AI8" s="12">
        <f t="shared" si="0"/>
        <v>4</v>
      </c>
      <c r="AJ8" s="8">
        <f t="shared" si="0"/>
        <v>0</v>
      </c>
      <c r="AK8" s="8">
        <f t="shared" si="0"/>
        <v>0</v>
      </c>
      <c r="AL8" s="8">
        <f t="shared" si="0"/>
        <v>0</v>
      </c>
      <c r="AM8" s="118">
        <f t="shared" si="1"/>
        <v>0</v>
      </c>
      <c r="AN8" s="118"/>
      <c r="AO8" s="119"/>
      <c r="AP8" s="119"/>
      <c r="AQ8" s="119"/>
      <c r="AR8" s="119"/>
      <c r="AS8" s="119"/>
      <c r="AT8" s="119">
        <f>SUM(AN8:AS8)</f>
        <v>0</v>
      </c>
      <c r="AU8" s="8"/>
      <c r="AV8" s="13"/>
      <c r="AX8" s="12">
        <f t="shared" si="2"/>
        <v>4</v>
      </c>
      <c r="AY8" s="8">
        <f t="shared" si="2"/>
        <v>0</v>
      </c>
      <c r="AZ8" s="8">
        <f t="shared" si="2"/>
        <v>0</v>
      </c>
      <c r="BA8" s="8"/>
      <c r="BB8" s="9"/>
      <c r="BC8" s="9"/>
      <c r="BD8" s="13"/>
    </row>
    <row r="9" spans="1:56" s="7" customFormat="1" ht="15.75" customHeight="1" thickBot="1">
      <c r="A9" s="62"/>
      <c r="B9" s="38">
        <v>5</v>
      </c>
      <c r="C9" s="17"/>
      <c r="D9" s="18"/>
      <c r="E9" s="18">
        <f>J9*2.1191</f>
        <v>0</v>
      </c>
      <c r="F9" s="18"/>
      <c r="G9" s="106"/>
      <c r="H9" s="14"/>
      <c r="I9" s="15">
        <f>H9*3412</f>
        <v>0</v>
      </c>
      <c r="J9" s="15"/>
      <c r="K9" s="15"/>
      <c r="L9" s="15"/>
      <c r="M9" s="15"/>
      <c r="N9" s="15"/>
      <c r="O9" s="15"/>
      <c r="P9" s="15"/>
      <c r="Q9" s="15">
        <f t="shared" si="3"/>
        <v>32</v>
      </c>
      <c r="R9" s="15">
        <f t="shared" si="3"/>
        <v>32</v>
      </c>
      <c r="S9" s="15"/>
      <c r="T9" s="15"/>
      <c r="U9" s="15">
        <f t="shared" si="4"/>
        <v>32</v>
      </c>
      <c r="V9" s="16">
        <f t="shared" si="4"/>
        <v>32</v>
      </c>
      <c r="W9" s="95"/>
      <c r="X9" s="21"/>
      <c r="Y9" s="18"/>
      <c r="Z9" s="18"/>
      <c r="AA9" s="18"/>
      <c r="AB9" s="18">
        <f>SUM(X9:AA9)</f>
        <v>0</v>
      </c>
      <c r="AC9" s="18">
        <f>AB9*3.75</f>
        <v>0</v>
      </c>
      <c r="AD9" s="18">
        <f>AC9*1.25</f>
        <v>0</v>
      </c>
      <c r="AE9" s="18">
        <f>CEILING(AD9,5)</f>
        <v>0</v>
      </c>
      <c r="AF9" s="18"/>
      <c r="AG9" s="19">
        <f>AF9*AE9</f>
        <v>0</v>
      </c>
      <c r="AI9" s="14">
        <f t="shared" si="0"/>
        <v>5</v>
      </c>
      <c r="AJ9" s="15">
        <f t="shared" si="0"/>
        <v>0</v>
      </c>
      <c r="AK9" s="15">
        <f t="shared" si="0"/>
        <v>0</v>
      </c>
      <c r="AL9" s="15">
        <f t="shared" si="0"/>
        <v>0</v>
      </c>
      <c r="AM9" s="120">
        <f t="shared" si="1"/>
        <v>0</v>
      </c>
      <c r="AN9" s="120"/>
      <c r="AO9" s="121"/>
      <c r="AP9" s="121"/>
      <c r="AQ9" s="121"/>
      <c r="AR9" s="121"/>
      <c r="AS9" s="121"/>
      <c r="AT9" s="121">
        <f>SUM(AN9:AS9)</f>
        <v>0</v>
      </c>
      <c r="AU9" s="15"/>
      <c r="AV9" s="16"/>
      <c r="AX9" s="14">
        <f t="shared" si="2"/>
        <v>5</v>
      </c>
      <c r="AY9" s="15">
        <f t="shared" si="2"/>
        <v>0</v>
      </c>
      <c r="AZ9" s="15">
        <f t="shared" si="2"/>
        <v>0</v>
      </c>
      <c r="BA9" s="15"/>
      <c r="BB9" s="18"/>
      <c r="BC9" s="18"/>
      <c r="BD9" s="16"/>
    </row>
    <row r="10" spans="1:56" s="7" customFormat="1" ht="17.25" thickBot="1">
      <c r="A10" s="62"/>
      <c r="F10" s="11"/>
      <c r="G10" s="11"/>
      <c r="AB10" s="11"/>
      <c r="AC10" s="11"/>
      <c r="AD10" s="11"/>
      <c r="AE10" s="11"/>
      <c r="AF10" s="172">
        <f>SUM(AF5:AF9)</f>
        <v>0</v>
      </c>
      <c r="AG10" s="173">
        <f>SUM(AG5:AG9)</f>
        <v>0</v>
      </c>
    </row>
    <row r="11" spans="1:56" ht="16.5" thickBot="1">
      <c r="A11" s="62"/>
    </row>
    <row r="12" spans="1:56" ht="21" thickBot="1">
      <c r="A12" s="62"/>
      <c r="B12" s="1790" t="s">
        <v>406</v>
      </c>
      <c r="C12" s="1784"/>
      <c r="D12" s="1784"/>
      <c r="E12" s="1784"/>
      <c r="F12" s="1784"/>
      <c r="G12" s="1785"/>
    </row>
    <row r="13" spans="1:56" ht="15.75">
      <c r="A13" s="62"/>
      <c r="B13" s="39" t="s">
        <v>3</v>
      </c>
      <c r="C13" s="39"/>
      <c r="D13" s="39"/>
      <c r="E13" s="39"/>
      <c r="F13" s="39"/>
      <c r="G13" s="39"/>
    </row>
    <row r="14" spans="1:56" ht="15.75">
      <c r="A14" s="62"/>
    </row>
    <row r="15" spans="1:56" ht="15.75">
      <c r="A15" s="62"/>
    </row>
    <row r="16" spans="1:56"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6">
    <mergeCell ref="AX3:BD3"/>
    <mergeCell ref="B12:G12"/>
    <mergeCell ref="B3:G3"/>
    <mergeCell ref="H3:V3"/>
    <mergeCell ref="X3:AG3"/>
    <mergeCell ref="AI3:AV3"/>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7" r:id="rId4" name="Hide">
          <controlPr defaultSize="0" autoLine="0" r:id="rId5">
            <anchor moveWithCells="1">
              <from>
                <xdr:col>0</xdr:col>
                <xdr:colOff>0</xdr:colOff>
                <xdr:row>2</xdr:row>
                <xdr:rowOff>0</xdr:rowOff>
              </from>
              <to>
                <xdr:col>2</xdr:col>
                <xdr:colOff>200025</xdr:colOff>
                <xdr:row>3</xdr:row>
                <xdr:rowOff>95250</xdr:rowOff>
              </to>
            </anchor>
          </controlPr>
        </control>
      </mc:Choice>
      <mc:Fallback>
        <control shapeId="34817" r:id="rId4" name="Hide"/>
      </mc:Fallback>
    </mc:AlternateContent>
    <mc:AlternateContent xmlns:mc="http://schemas.openxmlformats.org/markup-compatibility/2006">
      <mc:Choice Requires="x14">
        <control shapeId="34818" r:id="rId6" name="Specs">
          <controlPr defaultSize="0" autoLine="0" r:id="rId7">
            <anchor moveWithCells="1">
              <from>
                <xdr:col>0</xdr:col>
                <xdr:colOff>0</xdr:colOff>
                <xdr:row>3</xdr:row>
                <xdr:rowOff>133350</xdr:rowOff>
              </from>
              <to>
                <xdr:col>3</xdr:col>
                <xdr:colOff>114300</xdr:colOff>
                <xdr:row>3</xdr:row>
                <xdr:rowOff>447675</xdr:rowOff>
              </to>
            </anchor>
          </controlPr>
        </control>
      </mc:Choice>
      <mc:Fallback>
        <control shapeId="34818" r:id="rId6" name="Specs"/>
      </mc:Fallback>
    </mc:AlternateContent>
    <mc:AlternateContent xmlns:mc="http://schemas.openxmlformats.org/markup-compatibility/2006">
      <mc:Choice Requires="x14">
        <control shapeId="34819" r:id="rId8" name="Technical">
          <controlPr defaultSize="0" autoLine="0" r:id="rId9">
            <anchor moveWithCells="1">
              <from>
                <xdr:col>0</xdr:col>
                <xdr:colOff>0</xdr:colOff>
                <xdr:row>3</xdr:row>
                <xdr:rowOff>133350</xdr:rowOff>
              </from>
              <to>
                <xdr:col>3</xdr:col>
                <xdr:colOff>114300</xdr:colOff>
                <xdr:row>3</xdr:row>
                <xdr:rowOff>447675</xdr:rowOff>
              </to>
            </anchor>
          </controlPr>
        </control>
      </mc:Choice>
      <mc:Fallback>
        <control shapeId="34819" r:id="rId8" name="Technical"/>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E2_Sheet_2"/>
  <dimension ref="A1:BD56"/>
  <sheetViews>
    <sheetView zoomScale="80" zoomScaleNormal="80" workbookViewId="0">
      <pane xSplit="1" topLeftCell="P1" activePane="topRight" state="frozen"/>
      <selection activeCell="D40" sqref="D40"/>
      <selection pane="topRight" activeCell="AE4" sqref="AE4:AG4"/>
    </sheetView>
  </sheetViews>
  <sheetFormatPr defaultColWidth="9.140625" defaultRowHeight="15"/>
  <cols>
    <col min="1" max="1" width="55.7109375" style="1" hidden="1" customWidth="1"/>
    <col min="2" max="2" width="4.42578125" style="1" bestFit="1" customWidth="1"/>
    <col min="3" max="3" width="16.7109375" style="1" customWidth="1"/>
    <col min="4" max="4" width="17" style="1" customWidth="1"/>
    <col min="5" max="5" width="15.28515625" style="1" customWidth="1"/>
    <col min="6" max="6" width="11.5703125" style="1" customWidth="1"/>
    <col min="7" max="7" width="10.85546875" style="1" customWidth="1"/>
    <col min="8" max="9" width="20" style="1" customWidth="1"/>
    <col min="10" max="10" width="10.85546875" style="1" customWidth="1"/>
    <col min="11" max="11" width="21" style="1" customWidth="1"/>
    <col min="12" max="12" width="10.140625" style="1" customWidth="1"/>
    <col min="13" max="13" width="14.7109375" style="1" customWidth="1"/>
    <col min="14" max="14" width="9.140625" style="1"/>
    <col min="15" max="22" width="10.7109375" style="1" customWidth="1"/>
    <col min="23" max="23" width="3.42578125" style="1" customWidth="1"/>
    <col min="24" max="24" width="11.7109375" style="1" customWidth="1"/>
    <col min="25" max="28" width="9.140625" style="1"/>
    <col min="29" max="29" width="13.85546875" style="1" customWidth="1"/>
    <col min="30" max="32" width="9.140625" style="1"/>
    <col min="33" max="33" width="13.42578125" style="1" customWidth="1"/>
    <col min="34" max="34" width="9.140625" style="1"/>
    <col min="35" max="35" width="4.42578125" style="1" bestFit="1" customWidth="1"/>
    <col min="36" max="36" width="5" style="1" bestFit="1" customWidth="1"/>
    <col min="37" max="37" width="7" style="1" bestFit="1" customWidth="1"/>
    <col min="38" max="38" width="22.140625" style="1" bestFit="1" customWidth="1"/>
    <col min="39" max="39" width="8.5703125" style="1" bestFit="1" customWidth="1"/>
    <col min="40" max="16384" width="9.140625" style="1"/>
  </cols>
  <sheetData>
    <row r="1" spans="1:56" ht="15.75" hidden="1" customHeight="1" thickBot="1">
      <c r="A1" s="159" t="s">
        <v>394</v>
      </c>
      <c r="B1" s="160">
        <v>0</v>
      </c>
      <c r="C1" s="160">
        <v>1</v>
      </c>
      <c r="D1" s="160">
        <v>2</v>
      </c>
      <c r="E1" s="160">
        <v>3</v>
      </c>
      <c r="F1" s="160">
        <v>4</v>
      </c>
      <c r="G1" s="160">
        <v>5</v>
      </c>
      <c r="H1" s="160">
        <v>0</v>
      </c>
      <c r="I1" s="160">
        <v>0</v>
      </c>
      <c r="J1" s="160">
        <v>6</v>
      </c>
      <c r="K1" s="160">
        <v>0</v>
      </c>
      <c r="L1" s="160">
        <v>7</v>
      </c>
      <c r="M1" s="160">
        <v>8</v>
      </c>
      <c r="N1" s="160">
        <v>9</v>
      </c>
      <c r="O1" s="160">
        <v>10</v>
      </c>
      <c r="P1" s="160">
        <v>11</v>
      </c>
      <c r="Q1" s="160">
        <v>0</v>
      </c>
      <c r="R1" s="160">
        <v>0</v>
      </c>
      <c r="S1" s="160">
        <v>12</v>
      </c>
      <c r="T1" s="160">
        <v>13</v>
      </c>
      <c r="U1" s="160">
        <v>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row>
    <row r="2" spans="1:56" ht="14.25" hidden="1" customHeight="1" thickBot="1">
      <c r="A2" s="62"/>
    </row>
    <row r="3" spans="1:56" s="7" customFormat="1" ht="19.5" customHeight="1" thickTop="1" thickBot="1">
      <c r="A3" s="60" t="s">
        <v>80</v>
      </c>
      <c r="B3" s="1791" t="s">
        <v>21</v>
      </c>
      <c r="C3" s="1776"/>
      <c r="D3" s="1776"/>
      <c r="E3" s="1776"/>
      <c r="F3" s="1776"/>
      <c r="G3" s="1776"/>
      <c r="H3" s="1786" t="s">
        <v>17</v>
      </c>
      <c r="I3" s="1787"/>
      <c r="J3" s="1788"/>
      <c r="K3" s="1788"/>
      <c r="L3" s="1788"/>
      <c r="M3" s="1788"/>
      <c r="N3" s="1788"/>
      <c r="O3" s="1788"/>
      <c r="P3" s="1788"/>
      <c r="Q3" s="1788"/>
      <c r="R3" s="1788"/>
      <c r="S3" s="1788"/>
      <c r="T3" s="1788"/>
      <c r="U3" s="1788"/>
      <c r="V3" s="1789"/>
      <c r="W3" s="96"/>
      <c r="X3" s="1777" t="s">
        <v>24</v>
      </c>
      <c r="Y3" s="1778"/>
      <c r="Z3" s="1778"/>
      <c r="AA3" s="1778"/>
      <c r="AB3" s="1778"/>
      <c r="AC3" s="1778"/>
      <c r="AD3" s="1778"/>
      <c r="AE3" s="1778"/>
      <c r="AF3" s="1778"/>
      <c r="AG3" s="1779"/>
      <c r="AI3" s="1792" t="s">
        <v>43</v>
      </c>
      <c r="AJ3" s="1793"/>
      <c r="AK3" s="1793"/>
      <c r="AL3" s="1793"/>
      <c r="AM3" s="1793"/>
      <c r="AN3" s="1793"/>
      <c r="AO3" s="1793"/>
      <c r="AP3" s="1793"/>
      <c r="AQ3" s="1793"/>
      <c r="AR3" s="1793"/>
      <c r="AS3" s="1793"/>
      <c r="AT3" s="1793"/>
      <c r="AU3" s="1793"/>
      <c r="AV3" s="1794"/>
      <c r="AX3" s="1780" t="s">
        <v>42</v>
      </c>
      <c r="AY3" s="1781"/>
      <c r="AZ3" s="1781"/>
      <c r="BA3" s="1781"/>
      <c r="BB3" s="1781"/>
      <c r="BC3" s="1781"/>
      <c r="BD3" s="1782"/>
    </row>
    <row r="4" spans="1:56" s="7" customFormat="1" ht="50.25" thickTop="1">
      <c r="A4" s="61"/>
      <c r="B4" s="90" t="s">
        <v>2</v>
      </c>
      <c r="C4" s="79" t="s">
        <v>3</v>
      </c>
      <c r="D4" s="79" t="s">
        <v>0</v>
      </c>
      <c r="E4" s="79" t="s">
        <v>81</v>
      </c>
      <c r="F4" s="79" t="s">
        <v>87</v>
      </c>
      <c r="G4" s="92" t="s">
        <v>14</v>
      </c>
      <c r="H4" s="97" t="s">
        <v>22</v>
      </c>
      <c r="I4" s="83" t="s">
        <v>86</v>
      </c>
      <c r="J4" s="83" t="s">
        <v>18</v>
      </c>
      <c r="K4" s="83" t="s">
        <v>6</v>
      </c>
      <c r="L4" s="83" t="s">
        <v>23</v>
      </c>
      <c r="M4" s="83" t="s">
        <v>35</v>
      </c>
      <c r="N4" s="83" t="s">
        <v>28</v>
      </c>
      <c r="O4" s="83" t="s">
        <v>62</v>
      </c>
      <c r="P4" s="83" t="s">
        <v>63</v>
      </c>
      <c r="Q4" s="83" t="s">
        <v>82</v>
      </c>
      <c r="R4" s="83" t="s">
        <v>83</v>
      </c>
      <c r="S4" s="83" t="s">
        <v>19</v>
      </c>
      <c r="T4" s="83" t="s">
        <v>20</v>
      </c>
      <c r="U4" s="83" t="s">
        <v>84</v>
      </c>
      <c r="V4" s="91" t="s">
        <v>85</v>
      </c>
      <c r="W4" s="94"/>
      <c r="X4" s="84" t="s">
        <v>405</v>
      </c>
      <c r="Y4" s="86" t="s">
        <v>4</v>
      </c>
      <c r="Z4" s="86" t="s">
        <v>16</v>
      </c>
      <c r="AA4" s="86" t="s">
        <v>53</v>
      </c>
      <c r="AB4" s="87" t="s">
        <v>26</v>
      </c>
      <c r="AC4" s="88" t="s">
        <v>11</v>
      </c>
      <c r="AD4" s="88" t="s">
        <v>15</v>
      </c>
      <c r="AE4" s="88" t="s">
        <v>2490</v>
      </c>
      <c r="AF4" s="88" t="s">
        <v>5</v>
      </c>
      <c r="AG4" s="89" t="s">
        <v>2491</v>
      </c>
      <c r="AI4" s="33" t="str">
        <f t="shared" ref="AI4:AL9" si="0">B4</f>
        <v>No.</v>
      </c>
      <c r="AJ4" s="34" t="str">
        <f t="shared" si="0"/>
        <v>Ref.</v>
      </c>
      <c r="AK4" s="34" t="str">
        <f t="shared" si="0"/>
        <v>Model</v>
      </c>
      <c r="AL4" s="34" t="str">
        <f t="shared" si="0"/>
        <v>Supply Flow Rate
 CFM</v>
      </c>
      <c r="AM4" s="35" t="str">
        <f t="shared" ref="AM4:AM9" si="1">N4</f>
        <v>ESP
 Pa</v>
      </c>
      <c r="AN4" s="35" t="s">
        <v>31</v>
      </c>
      <c r="AO4" s="35" t="s">
        <v>29</v>
      </c>
      <c r="AP4" s="34" t="s">
        <v>30</v>
      </c>
      <c r="AQ4" s="34" t="s">
        <v>32</v>
      </c>
      <c r="AR4" s="34" t="s">
        <v>33</v>
      </c>
      <c r="AS4" s="34" t="s">
        <v>34</v>
      </c>
      <c r="AT4" s="34" t="s">
        <v>8</v>
      </c>
      <c r="AU4" s="34" t="s">
        <v>36</v>
      </c>
      <c r="AV4" s="36" t="s">
        <v>37</v>
      </c>
      <c r="AX4" s="28" t="str">
        <f t="shared" ref="AX4:AZ9" si="2">B4</f>
        <v>No.</v>
      </c>
      <c r="AY4" s="29" t="str">
        <f t="shared" si="2"/>
        <v>Ref.</v>
      </c>
      <c r="AZ4" s="29" t="str">
        <f t="shared" si="2"/>
        <v>Model</v>
      </c>
      <c r="BA4" s="29" t="s">
        <v>39</v>
      </c>
      <c r="BB4" s="37" t="s">
        <v>40</v>
      </c>
      <c r="BC4" s="37" t="s">
        <v>38</v>
      </c>
      <c r="BD4" s="30" t="s">
        <v>41</v>
      </c>
    </row>
    <row r="5" spans="1:56" s="7" customFormat="1" ht="16.5">
      <c r="A5" s="62"/>
      <c r="B5" s="24">
        <v>1</v>
      </c>
      <c r="C5" s="25"/>
      <c r="D5" s="22"/>
      <c r="E5" s="22">
        <f>J5*2.1191</f>
        <v>0</v>
      </c>
      <c r="F5" s="22"/>
      <c r="G5" s="104"/>
      <c r="H5" s="12"/>
      <c r="I5" s="26">
        <f>H5*3412</f>
        <v>0</v>
      </c>
      <c r="J5" s="8"/>
      <c r="K5" s="8"/>
      <c r="L5" s="8"/>
      <c r="M5" s="8"/>
      <c r="N5" s="8"/>
      <c r="O5" s="8"/>
      <c r="P5" s="8"/>
      <c r="Q5" s="8">
        <f>O5*1.8+32</f>
        <v>32</v>
      </c>
      <c r="R5" s="8">
        <f>P5*1.8+32</f>
        <v>32</v>
      </c>
      <c r="S5" s="8"/>
      <c r="T5" s="8"/>
      <c r="U5" s="8">
        <f>S5*1.8+32</f>
        <v>32</v>
      </c>
      <c r="V5" s="13">
        <f>T5*1.8+32</f>
        <v>32</v>
      </c>
      <c r="W5" s="94"/>
      <c r="X5" s="20"/>
      <c r="Y5" s="9"/>
      <c r="Z5" s="9"/>
      <c r="AA5" s="9"/>
      <c r="AB5" s="9">
        <f>SUM(X5:AA5)</f>
        <v>0</v>
      </c>
      <c r="AC5" s="22">
        <f>AB5*3.75</f>
        <v>0</v>
      </c>
      <c r="AD5" s="22">
        <f>AC5*1.25</f>
        <v>0</v>
      </c>
      <c r="AE5" s="22">
        <f>CEILING(AD5,5)</f>
        <v>0</v>
      </c>
      <c r="AF5" s="22"/>
      <c r="AG5" s="23">
        <f>AF5*AE5</f>
        <v>0</v>
      </c>
      <c r="AI5" s="12">
        <f t="shared" si="0"/>
        <v>1</v>
      </c>
      <c r="AJ5" s="8">
        <f t="shared" si="0"/>
        <v>0</v>
      </c>
      <c r="AK5" s="8">
        <f t="shared" si="0"/>
        <v>0</v>
      </c>
      <c r="AL5" s="8">
        <f t="shared" si="0"/>
        <v>0</v>
      </c>
      <c r="AM5" s="118">
        <f t="shared" si="1"/>
        <v>0</v>
      </c>
      <c r="AN5" s="118"/>
      <c r="AO5" s="119"/>
      <c r="AP5" s="119"/>
      <c r="AQ5" s="119"/>
      <c r="AR5" s="119"/>
      <c r="AS5" s="119"/>
      <c r="AT5" s="119">
        <f>SUM(AN5:AS5)</f>
        <v>0</v>
      </c>
      <c r="AU5" s="8"/>
      <c r="AV5" s="13"/>
      <c r="AX5" s="12">
        <f t="shared" si="2"/>
        <v>1</v>
      </c>
      <c r="AY5" s="8">
        <f t="shared" si="2"/>
        <v>0</v>
      </c>
      <c r="AZ5" s="8">
        <f t="shared" si="2"/>
        <v>0</v>
      </c>
      <c r="BA5" s="8"/>
      <c r="BB5" s="9"/>
      <c r="BC5" s="9"/>
      <c r="BD5" s="13"/>
    </row>
    <row r="6" spans="1:56" s="7" customFormat="1" ht="16.5">
      <c r="A6" s="62"/>
      <c r="B6" s="12">
        <v>2</v>
      </c>
      <c r="C6" s="6"/>
      <c r="D6" s="9"/>
      <c r="E6" s="22">
        <f>J6*2.1191</f>
        <v>0</v>
      </c>
      <c r="F6" s="9"/>
      <c r="G6" s="105"/>
      <c r="H6" s="12"/>
      <c r="I6" s="26">
        <f>H6*3412</f>
        <v>0</v>
      </c>
      <c r="J6" s="8"/>
      <c r="K6" s="8"/>
      <c r="L6" s="8"/>
      <c r="M6" s="8"/>
      <c r="N6" s="8"/>
      <c r="O6" s="8"/>
      <c r="P6" s="8"/>
      <c r="Q6" s="8">
        <f t="shared" ref="Q6:R9" si="3">O6*1.8+32</f>
        <v>32</v>
      </c>
      <c r="R6" s="8">
        <f t="shared" si="3"/>
        <v>32</v>
      </c>
      <c r="S6" s="8"/>
      <c r="T6" s="8"/>
      <c r="U6" s="8">
        <f t="shared" ref="U6:V9" si="4">S6*1.8+32</f>
        <v>32</v>
      </c>
      <c r="V6" s="13">
        <f t="shared" si="4"/>
        <v>32</v>
      </c>
      <c r="W6" s="94"/>
      <c r="X6" s="20"/>
      <c r="Y6" s="9"/>
      <c r="Z6" s="9"/>
      <c r="AA6" s="9"/>
      <c r="AB6" s="9">
        <f>SUM(X6:AA6)</f>
        <v>0</v>
      </c>
      <c r="AC6" s="9">
        <f>AB6*3.75</f>
        <v>0</v>
      </c>
      <c r="AD6" s="9">
        <f>AC6*1.25</f>
        <v>0</v>
      </c>
      <c r="AE6" s="9">
        <f>CEILING(AD6,5)</f>
        <v>0</v>
      </c>
      <c r="AF6" s="9"/>
      <c r="AG6" s="10">
        <f>AF6*AE6</f>
        <v>0</v>
      </c>
      <c r="AI6" s="12">
        <f t="shared" si="0"/>
        <v>2</v>
      </c>
      <c r="AJ6" s="8">
        <f t="shared" si="0"/>
        <v>0</v>
      </c>
      <c r="AK6" s="8">
        <f t="shared" si="0"/>
        <v>0</v>
      </c>
      <c r="AL6" s="8">
        <f t="shared" si="0"/>
        <v>0</v>
      </c>
      <c r="AM6" s="118">
        <f t="shared" si="1"/>
        <v>0</v>
      </c>
      <c r="AN6" s="118"/>
      <c r="AO6" s="119"/>
      <c r="AP6" s="119"/>
      <c r="AQ6" s="119"/>
      <c r="AR6" s="119"/>
      <c r="AS6" s="119"/>
      <c r="AT6" s="119">
        <f>SUM(AN6:AS6)</f>
        <v>0</v>
      </c>
      <c r="AU6" s="8"/>
      <c r="AV6" s="13"/>
      <c r="AX6" s="12">
        <f t="shared" si="2"/>
        <v>2</v>
      </c>
      <c r="AY6" s="8">
        <f t="shared" si="2"/>
        <v>0</v>
      </c>
      <c r="AZ6" s="8">
        <f t="shared" si="2"/>
        <v>0</v>
      </c>
      <c r="BA6" s="8"/>
      <c r="BB6" s="9"/>
      <c r="BC6" s="9"/>
      <c r="BD6" s="13"/>
    </row>
    <row r="7" spans="1:56" s="7" customFormat="1" ht="16.5">
      <c r="A7" s="62"/>
      <c r="B7" s="12">
        <v>3</v>
      </c>
      <c r="C7" s="6"/>
      <c r="D7" s="9"/>
      <c r="E7" s="22">
        <f>J7*2.1191</f>
        <v>0</v>
      </c>
      <c r="F7" s="9"/>
      <c r="G7" s="105"/>
      <c r="H7" s="12"/>
      <c r="I7" s="26">
        <f>H7*3412</f>
        <v>0</v>
      </c>
      <c r="J7" s="8"/>
      <c r="K7" s="8"/>
      <c r="L7" s="8"/>
      <c r="M7" s="8"/>
      <c r="N7" s="8"/>
      <c r="O7" s="8"/>
      <c r="P7" s="8"/>
      <c r="Q7" s="8">
        <f t="shared" si="3"/>
        <v>32</v>
      </c>
      <c r="R7" s="8">
        <f t="shared" si="3"/>
        <v>32</v>
      </c>
      <c r="S7" s="8"/>
      <c r="T7" s="8"/>
      <c r="U7" s="8">
        <f t="shared" si="4"/>
        <v>32</v>
      </c>
      <c r="V7" s="13">
        <f t="shared" si="4"/>
        <v>32</v>
      </c>
      <c r="W7" s="94"/>
      <c r="X7" s="20"/>
      <c r="Y7" s="9"/>
      <c r="Z7" s="9"/>
      <c r="AA7" s="9"/>
      <c r="AB7" s="9">
        <f>SUM(X7:AA7)</f>
        <v>0</v>
      </c>
      <c r="AC7" s="9">
        <f>AB7*3.75</f>
        <v>0</v>
      </c>
      <c r="AD7" s="9">
        <f>AC7*1.25</f>
        <v>0</v>
      </c>
      <c r="AE7" s="9">
        <f>CEILING(AD7,5)</f>
        <v>0</v>
      </c>
      <c r="AF7" s="9"/>
      <c r="AG7" s="10">
        <f>AF7*AE7</f>
        <v>0</v>
      </c>
      <c r="AI7" s="12">
        <f t="shared" si="0"/>
        <v>3</v>
      </c>
      <c r="AJ7" s="8">
        <f t="shared" si="0"/>
        <v>0</v>
      </c>
      <c r="AK7" s="8">
        <f t="shared" si="0"/>
        <v>0</v>
      </c>
      <c r="AL7" s="8">
        <f t="shared" si="0"/>
        <v>0</v>
      </c>
      <c r="AM7" s="118">
        <f t="shared" si="1"/>
        <v>0</v>
      </c>
      <c r="AN7" s="118"/>
      <c r="AO7" s="119"/>
      <c r="AP7" s="119"/>
      <c r="AQ7" s="119"/>
      <c r="AR7" s="119"/>
      <c r="AS7" s="119"/>
      <c r="AT7" s="119">
        <f>SUM(AN7:AS7)</f>
        <v>0</v>
      </c>
      <c r="AU7" s="8"/>
      <c r="AV7" s="13"/>
      <c r="AX7" s="12">
        <f t="shared" si="2"/>
        <v>3</v>
      </c>
      <c r="AY7" s="8">
        <f t="shared" si="2"/>
        <v>0</v>
      </c>
      <c r="AZ7" s="8">
        <f t="shared" si="2"/>
        <v>0</v>
      </c>
      <c r="BA7" s="8"/>
      <c r="BB7" s="9"/>
      <c r="BC7" s="9"/>
      <c r="BD7" s="13"/>
    </row>
    <row r="8" spans="1:56" s="7" customFormat="1" ht="16.5">
      <c r="A8" s="62"/>
      <c r="B8" s="12">
        <v>4</v>
      </c>
      <c r="C8" s="6"/>
      <c r="D8" s="9"/>
      <c r="E8" s="22">
        <f>J8*2.1191</f>
        <v>0</v>
      </c>
      <c r="F8" s="9"/>
      <c r="G8" s="105"/>
      <c r="H8" s="12"/>
      <c r="I8" s="26">
        <f>H8*3412</f>
        <v>0</v>
      </c>
      <c r="J8" s="8"/>
      <c r="K8" s="8"/>
      <c r="L8" s="8"/>
      <c r="M8" s="8"/>
      <c r="N8" s="8"/>
      <c r="O8" s="8"/>
      <c r="P8" s="8"/>
      <c r="Q8" s="8">
        <f t="shared" si="3"/>
        <v>32</v>
      </c>
      <c r="R8" s="8">
        <f t="shared" si="3"/>
        <v>32</v>
      </c>
      <c r="S8" s="8"/>
      <c r="T8" s="8"/>
      <c r="U8" s="8">
        <f t="shared" si="4"/>
        <v>32</v>
      </c>
      <c r="V8" s="13">
        <f t="shared" si="4"/>
        <v>32</v>
      </c>
      <c r="W8" s="94"/>
      <c r="X8" s="20"/>
      <c r="Y8" s="9"/>
      <c r="Z8" s="9"/>
      <c r="AA8" s="9"/>
      <c r="AB8" s="9">
        <f>SUM(X8:AA8)</f>
        <v>0</v>
      </c>
      <c r="AC8" s="9">
        <f>AB8*3.75</f>
        <v>0</v>
      </c>
      <c r="AD8" s="9">
        <f>AC8*1.25</f>
        <v>0</v>
      </c>
      <c r="AE8" s="9">
        <f>CEILING(AD8,5)</f>
        <v>0</v>
      </c>
      <c r="AF8" s="9"/>
      <c r="AG8" s="10">
        <f>AF8*AE8</f>
        <v>0</v>
      </c>
      <c r="AI8" s="12">
        <f t="shared" si="0"/>
        <v>4</v>
      </c>
      <c r="AJ8" s="8">
        <f t="shared" si="0"/>
        <v>0</v>
      </c>
      <c r="AK8" s="8">
        <f t="shared" si="0"/>
        <v>0</v>
      </c>
      <c r="AL8" s="8">
        <f t="shared" si="0"/>
        <v>0</v>
      </c>
      <c r="AM8" s="118">
        <f t="shared" si="1"/>
        <v>0</v>
      </c>
      <c r="AN8" s="118"/>
      <c r="AO8" s="119"/>
      <c r="AP8" s="119"/>
      <c r="AQ8" s="119"/>
      <c r="AR8" s="119"/>
      <c r="AS8" s="119"/>
      <c r="AT8" s="119">
        <f>SUM(AN8:AS8)</f>
        <v>0</v>
      </c>
      <c r="AU8" s="8"/>
      <c r="AV8" s="13"/>
      <c r="AX8" s="12">
        <f t="shared" si="2"/>
        <v>4</v>
      </c>
      <c r="AY8" s="8">
        <f t="shared" si="2"/>
        <v>0</v>
      </c>
      <c r="AZ8" s="8">
        <f t="shared" si="2"/>
        <v>0</v>
      </c>
      <c r="BA8" s="8"/>
      <c r="BB8" s="9"/>
      <c r="BC8" s="9"/>
      <c r="BD8" s="13"/>
    </row>
    <row r="9" spans="1:56" s="7" customFormat="1" ht="15.75" customHeight="1" thickBot="1">
      <c r="A9" s="62"/>
      <c r="B9" s="38">
        <v>5</v>
      </c>
      <c r="C9" s="17"/>
      <c r="D9" s="18"/>
      <c r="E9" s="18">
        <f>J9*2.1191</f>
        <v>0</v>
      </c>
      <c r="F9" s="18"/>
      <c r="G9" s="106"/>
      <c r="H9" s="14"/>
      <c r="I9" s="15">
        <f>H9*3412</f>
        <v>0</v>
      </c>
      <c r="J9" s="15"/>
      <c r="K9" s="15"/>
      <c r="L9" s="15"/>
      <c r="M9" s="15"/>
      <c r="N9" s="15"/>
      <c r="O9" s="15"/>
      <c r="P9" s="15"/>
      <c r="Q9" s="15">
        <f t="shared" si="3"/>
        <v>32</v>
      </c>
      <c r="R9" s="15">
        <f t="shared" si="3"/>
        <v>32</v>
      </c>
      <c r="S9" s="15"/>
      <c r="T9" s="15"/>
      <c r="U9" s="15">
        <f t="shared" si="4"/>
        <v>32</v>
      </c>
      <c r="V9" s="16">
        <f t="shared" si="4"/>
        <v>32</v>
      </c>
      <c r="W9" s="95"/>
      <c r="X9" s="21"/>
      <c r="Y9" s="18"/>
      <c r="Z9" s="18"/>
      <c r="AA9" s="18"/>
      <c r="AB9" s="18">
        <f>SUM(X9:AA9)</f>
        <v>0</v>
      </c>
      <c r="AC9" s="18">
        <f>AB9*3.75</f>
        <v>0</v>
      </c>
      <c r="AD9" s="18">
        <f>AC9*1.25</f>
        <v>0</v>
      </c>
      <c r="AE9" s="18">
        <f>CEILING(AD9,5)</f>
        <v>0</v>
      </c>
      <c r="AF9" s="18"/>
      <c r="AG9" s="19">
        <f>AF9*AE9</f>
        <v>0</v>
      </c>
      <c r="AI9" s="14">
        <f t="shared" si="0"/>
        <v>5</v>
      </c>
      <c r="AJ9" s="15">
        <f t="shared" si="0"/>
        <v>0</v>
      </c>
      <c r="AK9" s="15">
        <f t="shared" si="0"/>
        <v>0</v>
      </c>
      <c r="AL9" s="15">
        <f t="shared" si="0"/>
        <v>0</v>
      </c>
      <c r="AM9" s="120">
        <f t="shared" si="1"/>
        <v>0</v>
      </c>
      <c r="AN9" s="120"/>
      <c r="AO9" s="121"/>
      <c r="AP9" s="121"/>
      <c r="AQ9" s="121"/>
      <c r="AR9" s="121"/>
      <c r="AS9" s="121"/>
      <c r="AT9" s="121">
        <f>SUM(AN9:AS9)</f>
        <v>0</v>
      </c>
      <c r="AU9" s="15"/>
      <c r="AV9" s="16"/>
      <c r="AX9" s="14">
        <f t="shared" si="2"/>
        <v>5</v>
      </c>
      <c r="AY9" s="15">
        <f t="shared" si="2"/>
        <v>0</v>
      </c>
      <c r="AZ9" s="15">
        <f t="shared" si="2"/>
        <v>0</v>
      </c>
      <c r="BA9" s="15"/>
      <c r="BB9" s="18"/>
      <c r="BC9" s="18"/>
      <c r="BD9" s="16"/>
    </row>
    <row r="10" spans="1:56" s="7" customFormat="1" ht="17.25" thickBot="1">
      <c r="A10" s="62"/>
      <c r="F10" s="11"/>
      <c r="G10" s="11"/>
      <c r="AB10" s="11"/>
      <c r="AC10" s="11"/>
      <c r="AD10" s="11"/>
      <c r="AE10" s="11"/>
      <c r="AF10" s="172">
        <f>SUM(AF5:AF9)</f>
        <v>0</v>
      </c>
      <c r="AG10" s="173">
        <f>SUM(AG5:AG9)</f>
        <v>0</v>
      </c>
    </row>
    <row r="11" spans="1:56" ht="16.5" thickBot="1">
      <c r="A11" s="62"/>
    </row>
    <row r="12" spans="1:56" ht="21" thickBot="1">
      <c r="A12" s="62"/>
      <c r="B12" s="1790" t="s">
        <v>406</v>
      </c>
      <c r="C12" s="1784"/>
      <c r="D12" s="1784"/>
      <c r="E12" s="1784"/>
      <c r="F12" s="1784"/>
      <c r="G12" s="1785"/>
    </row>
    <row r="13" spans="1:56" ht="15.75">
      <c r="A13" s="62"/>
      <c r="B13" s="39" t="s">
        <v>3</v>
      </c>
      <c r="C13" s="39"/>
      <c r="D13" s="39"/>
      <c r="E13" s="39"/>
      <c r="F13" s="39"/>
      <c r="G13" s="39"/>
    </row>
    <row r="14" spans="1:56" ht="15.75">
      <c r="A14" s="62"/>
    </row>
    <row r="15" spans="1:56" ht="15.75">
      <c r="A15" s="62"/>
    </row>
    <row r="16" spans="1:56"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6">
    <mergeCell ref="AX3:BD3"/>
    <mergeCell ref="B12:G12"/>
    <mergeCell ref="B3:G3"/>
    <mergeCell ref="H3:V3"/>
    <mergeCell ref="X3:AG3"/>
    <mergeCell ref="AI3:AV3"/>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5841" r:id="rId4" name="Hide">
          <controlPr defaultSize="0" autoLine="0" r:id="rId5">
            <anchor moveWithCells="1">
              <from>
                <xdr:col>0</xdr:col>
                <xdr:colOff>0</xdr:colOff>
                <xdr:row>2</xdr:row>
                <xdr:rowOff>0</xdr:rowOff>
              </from>
              <to>
                <xdr:col>2</xdr:col>
                <xdr:colOff>200025</xdr:colOff>
                <xdr:row>3</xdr:row>
                <xdr:rowOff>95250</xdr:rowOff>
              </to>
            </anchor>
          </controlPr>
        </control>
      </mc:Choice>
      <mc:Fallback>
        <control shapeId="35841" r:id="rId4" name="Hide"/>
      </mc:Fallback>
    </mc:AlternateContent>
    <mc:AlternateContent xmlns:mc="http://schemas.openxmlformats.org/markup-compatibility/2006">
      <mc:Choice Requires="x14">
        <control shapeId="35842" r:id="rId6" name="Specs">
          <controlPr defaultSize="0" autoLine="0" r:id="rId7">
            <anchor moveWithCells="1">
              <from>
                <xdr:col>0</xdr:col>
                <xdr:colOff>0</xdr:colOff>
                <xdr:row>3</xdr:row>
                <xdr:rowOff>133350</xdr:rowOff>
              </from>
              <to>
                <xdr:col>3</xdr:col>
                <xdr:colOff>114300</xdr:colOff>
                <xdr:row>3</xdr:row>
                <xdr:rowOff>447675</xdr:rowOff>
              </to>
            </anchor>
          </controlPr>
        </control>
      </mc:Choice>
      <mc:Fallback>
        <control shapeId="35842" r:id="rId6" name="Specs"/>
      </mc:Fallback>
    </mc:AlternateContent>
    <mc:AlternateContent xmlns:mc="http://schemas.openxmlformats.org/markup-compatibility/2006">
      <mc:Choice Requires="x14">
        <control shapeId="35843" r:id="rId8" name="Technical">
          <controlPr defaultSize="0" autoLine="0" r:id="rId9">
            <anchor moveWithCells="1">
              <from>
                <xdr:col>0</xdr:col>
                <xdr:colOff>0</xdr:colOff>
                <xdr:row>3</xdr:row>
                <xdr:rowOff>133350</xdr:rowOff>
              </from>
              <to>
                <xdr:col>3</xdr:col>
                <xdr:colOff>114300</xdr:colOff>
                <xdr:row>3</xdr:row>
                <xdr:rowOff>447675</xdr:rowOff>
              </to>
            </anchor>
          </controlPr>
        </control>
      </mc:Choice>
      <mc:Fallback>
        <control shapeId="35843" r:id="rId8" name="Technical"/>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E3_Sheet_3"/>
  <dimension ref="A1:BD56"/>
  <sheetViews>
    <sheetView zoomScale="80" zoomScaleNormal="80" workbookViewId="0">
      <pane xSplit="1" topLeftCell="R1" activePane="topRight" state="frozen"/>
      <selection activeCell="D40" sqref="D40"/>
      <selection pane="topRight" activeCell="AE4" sqref="AE4:AG4"/>
    </sheetView>
  </sheetViews>
  <sheetFormatPr defaultColWidth="9.140625" defaultRowHeight="15"/>
  <cols>
    <col min="1" max="1" width="55.7109375" style="1" hidden="1" customWidth="1"/>
    <col min="2" max="2" width="4.42578125" style="1" bestFit="1" customWidth="1"/>
    <col min="3" max="3" width="16.7109375" style="1" customWidth="1"/>
    <col min="4" max="4" width="17" style="1" customWidth="1"/>
    <col min="5" max="5" width="15.28515625" style="1" customWidth="1"/>
    <col min="6" max="6" width="11.5703125" style="1" customWidth="1"/>
    <col min="7" max="7" width="10.85546875" style="1" customWidth="1"/>
    <col min="8" max="9" width="20" style="1" customWidth="1"/>
    <col min="10" max="10" width="10.85546875" style="1" customWidth="1"/>
    <col min="11" max="11" width="21" style="1" customWidth="1"/>
    <col min="12" max="12" width="10.140625" style="1" customWidth="1"/>
    <col min="13" max="13" width="14.7109375" style="1" customWidth="1"/>
    <col min="14" max="14" width="9.140625" style="1"/>
    <col min="15" max="22" width="10.7109375" style="1" customWidth="1"/>
    <col min="23" max="23" width="3.42578125" style="1" customWidth="1"/>
    <col min="24" max="24" width="11.7109375" style="1" customWidth="1"/>
    <col min="25" max="28" width="9.140625" style="1"/>
    <col min="29" max="29" width="13.85546875" style="1" customWidth="1"/>
    <col min="30" max="32" width="9.140625" style="1"/>
    <col min="33" max="33" width="16.28515625" style="1" customWidth="1"/>
    <col min="34" max="34" width="9.140625" style="1"/>
    <col min="35" max="35" width="4.42578125" style="1" bestFit="1" customWidth="1"/>
    <col min="36" max="36" width="5" style="1" bestFit="1" customWidth="1"/>
    <col min="37" max="37" width="7" style="1" bestFit="1" customWidth="1"/>
    <col min="38" max="38" width="22.140625" style="1" bestFit="1" customWidth="1"/>
    <col min="39" max="39" width="8.5703125" style="1" bestFit="1" customWidth="1"/>
    <col min="40" max="16384" width="9.140625" style="1"/>
  </cols>
  <sheetData>
    <row r="1" spans="1:56" ht="15.75" hidden="1" customHeight="1" thickBot="1">
      <c r="A1" s="159" t="s">
        <v>394</v>
      </c>
      <c r="B1" s="160">
        <v>0</v>
      </c>
      <c r="C1" s="160">
        <v>1</v>
      </c>
      <c r="D1" s="160">
        <v>2</v>
      </c>
      <c r="E1" s="160">
        <v>3</v>
      </c>
      <c r="F1" s="160">
        <v>4</v>
      </c>
      <c r="G1" s="160">
        <v>5</v>
      </c>
      <c r="H1" s="160">
        <v>0</v>
      </c>
      <c r="I1" s="160">
        <v>0</v>
      </c>
      <c r="J1" s="160">
        <v>6</v>
      </c>
      <c r="K1" s="160">
        <v>0</v>
      </c>
      <c r="L1" s="160">
        <v>7</v>
      </c>
      <c r="M1" s="160">
        <v>8</v>
      </c>
      <c r="N1" s="160">
        <v>9</v>
      </c>
      <c r="O1" s="160">
        <v>10</v>
      </c>
      <c r="P1" s="160">
        <v>11</v>
      </c>
      <c r="Q1" s="160">
        <v>0</v>
      </c>
      <c r="R1" s="160">
        <v>0</v>
      </c>
      <c r="S1" s="160">
        <v>12</v>
      </c>
      <c r="T1" s="160">
        <v>13</v>
      </c>
      <c r="U1" s="160">
        <v>0</v>
      </c>
      <c r="V1" s="160">
        <v>0</v>
      </c>
      <c r="W1" s="160">
        <v>0</v>
      </c>
      <c r="X1" s="160">
        <v>0</v>
      </c>
      <c r="Y1" s="160">
        <v>0</v>
      </c>
      <c r="Z1" s="160">
        <v>0</v>
      </c>
      <c r="AA1" s="160">
        <v>0</v>
      </c>
      <c r="AB1" s="160">
        <v>0</v>
      </c>
      <c r="AC1" s="160">
        <v>0</v>
      </c>
      <c r="AD1" s="160">
        <v>0</v>
      </c>
      <c r="AE1" s="160">
        <v>0</v>
      </c>
      <c r="AF1" s="160">
        <v>0</v>
      </c>
      <c r="AG1" s="160">
        <v>0</v>
      </c>
      <c r="AH1" s="160">
        <v>0</v>
      </c>
      <c r="AI1" s="160">
        <v>0</v>
      </c>
      <c r="AJ1" s="160">
        <v>0</v>
      </c>
      <c r="AK1" s="160">
        <v>0</v>
      </c>
      <c r="AL1" s="160">
        <v>0</v>
      </c>
      <c r="AM1" s="160">
        <v>0</v>
      </c>
      <c r="AN1" s="160">
        <v>0</v>
      </c>
      <c r="AO1" s="160">
        <v>0</v>
      </c>
      <c r="AP1" s="160">
        <v>0</v>
      </c>
      <c r="AQ1" s="160">
        <v>0</v>
      </c>
      <c r="AR1" s="160">
        <v>0</v>
      </c>
      <c r="AS1" s="160">
        <v>0</v>
      </c>
      <c r="AT1" s="160">
        <v>0</v>
      </c>
      <c r="AU1" s="160">
        <v>0</v>
      </c>
      <c r="AV1" s="160">
        <v>0</v>
      </c>
      <c r="AW1" s="160">
        <v>0</v>
      </c>
      <c r="AX1" s="160">
        <v>0</v>
      </c>
      <c r="AY1" s="160">
        <v>0</v>
      </c>
      <c r="AZ1" s="160">
        <v>0</v>
      </c>
      <c r="BA1" s="160">
        <v>0</v>
      </c>
      <c r="BB1" s="160">
        <v>0</v>
      </c>
      <c r="BC1" s="160">
        <v>0</v>
      </c>
      <c r="BD1" s="160">
        <v>0</v>
      </c>
    </row>
    <row r="2" spans="1:56" ht="14.25" hidden="1" customHeight="1" thickBot="1">
      <c r="A2" s="62"/>
    </row>
    <row r="3" spans="1:56" s="7" customFormat="1" ht="19.5" customHeight="1" thickTop="1" thickBot="1">
      <c r="A3" s="60" t="s">
        <v>80</v>
      </c>
      <c r="B3" s="1791" t="s">
        <v>21</v>
      </c>
      <c r="C3" s="1776"/>
      <c r="D3" s="1776"/>
      <c r="E3" s="1776"/>
      <c r="F3" s="1776"/>
      <c r="G3" s="1776"/>
      <c r="H3" s="1786" t="s">
        <v>17</v>
      </c>
      <c r="I3" s="1787"/>
      <c r="J3" s="1788"/>
      <c r="K3" s="1788"/>
      <c r="L3" s="1788"/>
      <c r="M3" s="1788"/>
      <c r="N3" s="1788"/>
      <c r="O3" s="1788"/>
      <c r="P3" s="1788"/>
      <c r="Q3" s="1788"/>
      <c r="R3" s="1788"/>
      <c r="S3" s="1788"/>
      <c r="T3" s="1788"/>
      <c r="U3" s="1788"/>
      <c r="V3" s="1789"/>
      <c r="W3" s="96"/>
      <c r="X3" s="1777" t="s">
        <v>24</v>
      </c>
      <c r="Y3" s="1778"/>
      <c r="Z3" s="1778"/>
      <c r="AA3" s="1778"/>
      <c r="AB3" s="1778"/>
      <c r="AC3" s="1778"/>
      <c r="AD3" s="1778"/>
      <c r="AE3" s="1778"/>
      <c r="AF3" s="1778"/>
      <c r="AG3" s="1779"/>
      <c r="AI3" s="1792" t="s">
        <v>43</v>
      </c>
      <c r="AJ3" s="1793"/>
      <c r="AK3" s="1793"/>
      <c r="AL3" s="1793"/>
      <c r="AM3" s="1793"/>
      <c r="AN3" s="1793"/>
      <c r="AO3" s="1793"/>
      <c r="AP3" s="1793"/>
      <c r="AQ3" s="1793"/>
      <c r="AR3" s="1793"/>
      <c r="AS3" s="1793"/>
      <c r="AT3" s="1793"/>
      <c r="AU3" s="1793"/>
      <c r="AV3" s="1794"/>
      <c r="AX3" s="1780" t="s">
        <v>42</v>
      </c>
      <c r="AY3" s="1781"/>
      <c r="AZ3" s="1781"/>
      <c r="BA3" s="1781"/>
      <c r="BB3" s="1781"/>
      <c r="BC3" s="1781"/>
      <c r="BD3" s="1782"/>
    </row>
    <row r="4" spans="1:56" s="7" customFormat="1" ht="50.25" thickTop="1">
      <c r="A4" s="61"/>
      <c r="B4" s="90" t="s">
        <v>2</v>
      </c>
      <c r="C4" s="79" t="s">
        <v>3</v>
      </c>
      <c r="D4" s="79" t="s">
        <v>0</v>
      </c>
      <c r="E4" s="79" t="s">
        <v>81</v>
      </c>
      <c r="F4" s="79" t="s">
        <v>87</v>
      </c>
      <c r="G4" s="92" t="s">
        <v>14</v>
      </c>
      <c r="H4" s="97" t="s">
        <v>22</v>
      </c>
      <c r="I4" s="83" t="s">
        <v>86</v>
      </c>
      <c r="J4" s="83" t="s">
        <v>18</v>
      </c>
      <c r="K4" s="83" t="s">
        <v>6</v>
      </c>
      <c r="L4" s="83" t="s">
        <v>23</v>
      </c>
      <c r="M4" s="83" t="s">
        <v>35</v>
      </c>
      <c r="N4" s="83" t="s">
        <v>28</v>
      </c>
      <c r="O4" s="83" t="s">
        <v>62</v>
      </c>
      <c r="P4" s="83" t="s">
        <v>63</v>
      </c>
      <c r="Q4" s="83" t="s">
        <v>82</v>
      </c>
      <c r="R4" s="83" t="s">
        <v>83</v>
      </c>
      <c r="S4" s="83" t="s">
        <v>19</v>
      </c>
      <c r="T4" s="83" t="s">
        <v>20</v>
      </c>
      <c r="U4" s="83" t="s">
        <v>84</v>
      </c>
      <c r="V4" s="91" t="s">
        <v>85</v>
      </c>
      <c r="W4" s="94"/>
      <c r="X4" s="84" t="s">
        <v>405</v>
      </c>
      <c r="Y4" s="86" t="s">
        <v>4</v>
      </c>
      <c r="Z4" s="86" t="s">
        <v>16</v>
      </c>
      <c r="AA4" s="86" t="s">
        <v>53</v>
      </c>
      <c r="AB4" s="87" t="s">
        <v>26</v>
      </c>
      <c r="AC4" s="88" t="s">
        <v>11</v>
      </c>
      <c r="AD4" s="88" t="s">
        <v>15</v>
      </c>
      <c r="AE4" s="88" t="s">
        <v>2490</v>
      </c>
      <c r="AF4" s="88" t="s">
        <v>5</v>
      </c>
      <c r="AG4" s="89" t="s">
        <v>2491</v>
      </c>
      <c r="AI4" s="33" t="str">
        <f t="shared" ref="AI4:AL9" si="0">B4</f>
        <v>No.</v>
      </c>
      <c r="AJ4" s="34" t="str">
        <f t="shared" si="0"/>
        <v>Ref.</v>
      </c>
      <c r="AK4" s="34" t="str">
        <f t="shared" si="0"/>
        <v>Model</v>
      </c>
      <c r="AL4" s="34" t="str">
        <f t="shared" si="0"/>
        <v>Supply Flow Rate
 CFM</v>
      </c>
      <c r="AM4" s="35" t="str">
        <f t="shared" ref="AM4:AM9" si="1">N4</f>
        <v>ESP
 Pa</v>
      </c>
      <c r="AN4" s="35" t="s">
        <v>31</v>
      </c>
      <c r="AO4" s="35" t="s">
        <v>29</v>
      </c>
      <c r="AP4" s="34" t="s">
        <v>30</v>
      </c>
      <c r="AQ4" s="34" t="s">
        <v>32</v>
      </c>
      <c r="AR4" s="34" t="s">
        <v>33</v>
      </c>
      <c r="AS4" s="34" t="s">
        <v>34</v>
      </c>
      <c r="AT4" s="34" t="s">
        <v>8</v>
      </c>
      <c r="AU4" s="34" t="s">
        <v>36</v>
      </c>
      <c r="AV4" s="36" t="s">
        <v>37</v>
      </c>
      <c r="AX4" s="28" t="str">
        <f t="shared" ref="AX4:AZ9" si="2">B4</f>
        <v>No.</v>
      </c>
      <c r="AY4" s="29" t="str">
        <f t="shared" si="2"/>
        <v>Ref.</v>
      </c>
      <c r="AZ4" s="29" t="str">
        <f t="shared" si="2"/>
        <v>Model</v>
      </c>
      <c r="BA4" s="29" t="s">
        <v>39</v>
      </c>
      <c r="BB4" s="37" t="s">
        <v>40</v>
      </c>
      <c r="BC4" s="37" t="s">
        <v>38</v>
      </c>
      <c r="BD4" s="30" t="s">
        <v>41</v>
      </c>
    </row>
    <row r="5" spans="1:56" s="7" customFormat="1" ht="16.5">
      <c r="A5" s="62"/>
      <c r="B5" s="24">
        <v>1</v>
      </c>
      <c r="C5" s="25">
        <v>1</v>
      </c>
      <c r="D5" s="22"/>
      <c r="E5" s="22">
        <f>J5*2.1191</f>
        <v>0</v>
      </c>
      <c r="F5" s="22"/>
      <c r="G5" s="104"/>
      <c r="H5" s="12"/>
      <c r="I5" s="26">
        <f>H5*3412</f>
        <v>0</v>
      </c>
      <c r="J5" s="8"/>
      <c r="K5" s="8"/>
      <c r="L5" s="8"/>
      <c r="M5" s="8"/>
      <c r="N5" s="8"/>
      <c r="O5" s="8"/>
      <c r="P5" s="8"/>
      <c r="Q5" s="8">
        <f>O5*1.8+32</f>
        <v>32</v>
      </c>
      <c r="R5" s="8">
        <f>P5*1.8+32</f>
        <v>32</v>
      </c>
      <c r="S5" s="8"/>
      <c r="T5" s="8"/>
      <c r="U5" s="8">
        <f>S5*1.8+32</f>
        <v>32</v>
      </c>
      <c r="V5" s="13">
        <f>T5*1.8+32</f>
        <v>32</v>
      </c>
      <c r="W5" s="94"/>
      <c r="X5" s="20"/>
      <c r="Y5" s="9"/>
      <c r="Z5" s="9"/>
      <c r="AA5" s="9"/>
      <c r="AB5" s="9">
        <f>SUM(X5:AA5)</f>
        <v>0</v>
      </c>
      <c r="AC5" s="22">
        <f>AB5*3.75</f>
        <v>0</v>
      </c>
      <c r="AD5" s="22">
        <f>AC5*1.25</f>
        <v>0</v>
      </c>
      <c r="AE5" s="22">
        <f>CEILING(AD5,5)</f>
        <v>0</v>
      </c>
      <c r="AF5" s="22"/>
      <c r="AG5" s="23">
        <f>AF5*AE5</f>
        <v>0</v>
      </c>
      <c r="AI5" s="12">
        <f t="shared" si="0"/>
        <v>1</v>
      </c>
      <c r="AJ5" s="8">
        <f t="shared" si="0"/>
        <v>1</v>
      </c>
      <c r="AK5" s="8">
        <f t="shared" si="0"/>
        <v>0</v>
      </c>
      <c r="AL5" s="8">
        <f t="shared" si="0"/>
        <v>0</v>
      </c>
      <c r="AM5" s="118">
        <f t="shared" si="1"/>
        <v>0</v>
      </c>
      <c r="AN5" s="118"/>
      <c r="AO5" s="119"/>
      <c r="AP5" s="119"/>
      <c r="AQ5" s="119"/>
      <c r="AR5" s="119"/>
      <c r="AS5" s="119"/>
      <c r="AT5" s="119">
        <f>SUM(AN5:AS5)</f>
        <v>0</v>
      </c>
      <c r="AU5" s="8"/>
      <c r="AV5" s="13"/>
      <c r="AX5" s="12">
        <f t="shared" si="2"/>
        <v>1</v>
      </c>
      <c r="AY5" s="8">
        <f t="shared" si="2"/>
        <v>1</v>
      </c>
      <c r="AZ5" s="8">
        <f t="shared" si="2"/>
        <v>0</v>
      </c>
      <c r="BA5" s="8"/>
      <c r="BB5" s="9"/>
      <c r="BC5" s="9"/>
      <c r="BD5" s="13"/>
    </row>
    <row r="6" spans="1:56" s="7" customFormat="1" ht="16.5">
      <c r="A6" s="62"/>
      <c r="B6" s="12">
        <v>2</v>
      </c>
      <c r="C6" s="6"/>
      <c r="D6" s="9"/>
      <c r="E6" s="22">
        <f>J6*2.1191</f>
        <v>0</v>
      </c>
      <c r="F6" s="9"/>
      <c r="G6" s="105"/>
      <c r="H6" s="12"/>
      <c r="I6" s="26">
        <f>H6*3412</f>
        <v>0</v>
      </c>
      <c r="J6" s="8"/>
      <c r="K6" s="8"/>
      <c r="L6" s="8"/>
      <c r="M6" s="8"/>
      <c r="N6" s="8"/>
      <c r="O6" s="8"/>
      <c r="P6" s="8"/>
      <c r="Q6" s="8">
        <f t="shared" ref="Q6:R9" si="3">O6*1.8+32</f>
        <v>32</v>
      </c>
      <c r="R6" s="8">
        <f t="shared" si="3"/>
        <v>32</v>
      </c>
      <c r="S6" s="8"/>
      <c r="T6" s="8"/>
      <c r="U6" s="8">
        <f t="shared" ref="U6:V9" si="4">S6*1.8+32</f>
        <v>32</v>
      </c>
      <c r="V6" s="13">
        <f t="shared" si="4"/>
        <v>32</v>
      </c>
      <c r="W6" s="94"/>
      <c r="X6" s="20"/>
      <c r="Y6" s="9"/>
      <c r="Z6" s="9"/>
      <c r="AA6" s="9"/>
      <c r="AB6" s="9">
        <f>SUM(X6:AA6)</f>
        <v>0</v>
      </c>
      <c r="AC6" s="9">
        <f>AB6*3.75</f>
        <v>0</v>
      </c>
      <c r="AD6" s="9">
        <f>AC6*1.25</f>
        <v>0</v>
      </c>
      <c r="AE6" s="9">
        <f>CEILING(AD6,5)</f>
        <v>0</v>
      </c>
      <c r="AF6" s="9"/>
      <c r="AG6" s="10">
        <f>AF6*AE6</f>
        <v>0</v>
      </c>
      <c r="AI6" s="12">
        <f t="shared" si="0"/>
        <v>2</v>
      </c>
      <c r="AJ6" s="8">
        <f t="shared" si="0"/>
        <v>0</v>
      </c>
      <c r="AK6" s="8">
        <f t="shared" si="0"/>
        <v>0</v>
      </c>
      <c r="AL6" s="8">
        <f t="shared" si="0"/>
        <v>0</v>
      </c>
      <c r="AM6" s="118">
        <f t="shared" si="1"/>
        <v>0</v>
      </c>
      <c r="AN6" s="118"/>
      <c r="AO6" s="119"/>
      <c r="AP6" s="119"/>
      <c r="AQ6" s="119"/>
      <c r="AR6" s="119"/>
      <c r="AS6" s="119"/>
      <c r="AT6" s="119">
        <f>SUM(AN6:AS6)</f>
        <v>0</v>
      </c>
      <c r="AU6" s="8"/>
      <c r="AV6" s="13"/>
      <c r="AX6" s="12">
        <f t="shared" si="2"/>
        <v>2</v>
      </c>
      <c r="AY6" s="8">
        <f t="shared" si="2"/>
        <v>0</v>
      </c>
      <c r="AZ6" s="8">
        <f t="shared" si="2"/>
        <v>0</v>
      </c>
      <c r="BA6" s="8"/>
      <c r="BB6" s="9"/>
      <c r="BC6" s="9"/>
      <c r="BD6" s="13"/>
    </row>
    <row r="7" spans="1:56" s="7" customFormat="1" ht="16.5">
      <c r="A7" s="62"/>
      <c r="B7" s="12">
        <v>3</v>
      </c>
      <c r="C7" s="6"/>
      <c r="D7" s="9"/>
      <c r="E7" s="22">
        <f>J7*2.1191</f>
        <v>0</v>
      </c>
      <c r="F7" s="9"/>
      <c r="G7" s="105"/>
      <c r="H7" s="12"/>
      <c r="I7" s="26">
        <f>H7*3412</f>
        <v>0</v>
      </c>
      <c r="J7" s="8"/>
      <c r="K7" s="8"/>
      <c r="L7" s="8"/>
      <c r="M7" s="8"/>
      <c r="N7" s="8"/>
      <c r="O7" s="8"/>
      <c r="P7" s="8"/>
      <c r="Q7" s="8">
        <f t="shared" si="3"/>
        <v>32</v>
      </c>
      <c r="R7" s="8">
        <f t="shared" si="3"/>
        <v>32</v>
      </c>
      <c r="S7" s="8"/>
      <c r="T7" s="8"/>
      <c r="U7" s="8">
        <f t="shared" si="4"/>
        <v>32</v>
      </c>
      <c r="V7" s="13">
        <f t="shared" si="4"/>
        <v>32</v>
      </c>
      <c r="W7" s="94"/>
      <c r="X7" s="20"/>
      <c r="Y7" s="9"/>
      <c r="Z7" s="9"/>
      <c r="AA7" s="9"/>
      <c r="AB7" s="9">
        <f>SUM(X7:AA7)</f>
        <v>0</v>
      </c>
      <c r="AC7" s="9">
        <f>AB7*3.75</f>
        <v>0</v>
      </c>
      <c r="AD7" s="9">
        <f>AC7*1.25</f>
        <v>0</v>
      </c>
      <c r="AE7" s="9">
        <f>CEILING(AD7,5)</f>
        <v>0</v>
      </c>
      <c r="AF7" s="9"/>
      <c r="AG7" s="10">
        <f>AF7*AE7</f>
        <v>0</v>
      </c>
      <c r="AI7" s="12">
        <f t="shared" si="0"/>
        <v>3</v>
      </c>
      <c r="AJ7" s="8">
        <f t="shared" si="0"/>
        <v>0</v>
      </c>
      <c r="AK7" s="8">
        <f t="shared" si="0"/>
        <v>0</v>
      </c>
      <c r="AL7" s="8">
        <f t="shared" si="0"/>
        <v>0</v>
      </c>
      <c r="AM7" s="118">
        <f t="shared" si="1"/>
        <v>0</v>
      </c>
      <c r="AN7" s="118"/>
      <c r="AO7" s="119"/>
      <c r="AP7" s="119"/>
      <c r="AQ7" s="119"/>
      <c r="AR7" s="119"/>
      <c r="AS7" s="119"/>
      <c r="AT7" s="119">
        <f>SUM(AN7:AS7)</f>
        <v>0</v>
      </c>
      <c r="AU7" s="8"/>
      <c r="AV7" s="13"/>
      <c r="AX7" s="12">
        <f t="shared" si="2"/>
        <v>3</v>
      </c>
      <c r="AY7" s="8">
        <f t="shared" si="2"/>
        <v>0</v>
      </c>
      <c r="AZ7" s="8">
        <f t="shared" si="2"/>
        <v>0</v>
      </c>
      <c r="BA7" s="8"/>
      <c r="BB7" s="9"/>
      <c r="BC7" s="9"/>
      <c r="BD7" s="13"/>
    </row>
    <row r="8" spans="1:56" s="7" customFormat="1" ht="16.5">
      <c r="A8" s="62"/>
      <c r="B8" s="12">
        <v>4</v>
      </c>
      <c r="C8" s="6"/>
      <c r="D8" s="9"/>
      <c r="E8" s="22">
        <f>J8*2.1191</f>
        <v>0</v>
      </c>
      <c r="F8" s="9"/>
      <c r="G8" s="105"/>
      <c r="H8" s="12"/>
      <c r="I8" s="26">
        <f>H8*3412</f>
        <v>0</v>
      </c>
      <c r="J8" s="8"/>
      <c r="K8" s="8"/>
      <c r="L8" s="8"/>
      <c r="M8" s="8"/>
      <c r="N8" s="8"/>
      <c r="O8" s="8"/>
      <c r="P8" s="8"/>
      <c r="Q8" s="8">
        <f t="shared" si="3"/>
        <v>32</v>
      </c>
      <c r="R8" s="8">
        <f t="shared" si="3"/>
        <v>32</v>
      </c>
      <c r="S8" s="8"/>
      <c r="T8" s="8"/>
      <c r="U8" s="8">
        <f t="shared" si="4"/>
        <v>32</v>
      </c>
      <c r="V8" s="13">
        <f t="shared" si="4"/>
        <v>32</v>
      </c>
      <c r="W8" s="94"/>
      <c r="X8" s="20"/>
      <c r="Y8" s="9"/>
      <c r="Z8" s="9"/>
      <c r="AA8" s="9"/>
      <c r="AB8" s="9">
        <f>SUM(X8:AA8)</f>
        <v>0</v>
      </c>
      <c r="AC8" s="9">
        <f>AB8*3.75</f>
        <v>0</v>
      </c>
      <c r="AD8" s="9">
        <f>AC8*1.25</f>
        <v>0</v>
      </c>
      <c r="AE8" s="9">
        <f>CEILING(AD8,5)</f>
        <v>0</v>
      </c>
      <c r="AF8" s="9"/>
      <c r="AG8" s="10">
        <f>AF8*AE8</f>
        <v>0</v>
      </c>
      <c r="AI8" s="12">
        <f t="shared" si="0"/>
        <v>4</v>
      </c>
      <c r="AJ8" s="8">
        <f t="shared" si="0"/>
        <v>0</v>
      </c>
      <c r="AK8" s="8">
        <f t="shared" si="0"/>
        <v>0</v>
      </c>
      <c r="AL8" s="8">
        <f t="shared" si="0"/>
        <v>0</v>
      </c>
      <c r="AM8" s="118">
        <f t="shared" si="1"/>
        <v>0</v>
      </c>
      <c r="AN8" s="118"/>
      <c r="AO8" s="119"/>
      <c r="AP8" s="119"/>
      <c r="AQ8" s="119"/>
      <c r="AR8" s="119"/>
      <c r="AS8" s="119"/>
      <c r="AT8" s="119">
        <f>SUM(AN8:AS8)</f>
        <v>0</v>
      </c>
      <c r="AU8" s="8"/>
      <c r="AV8" s="13"/>
      <c r="AX8" s="12">
        <f t="shared" si="2"/>
        <v>4</v>
      </c>
      <c r="AY8" s="8">
        <f t="shared" si="2"/>
        <v>0</v>
      </c>
      <c r="AZ8" s="8">
        <f t="shared" si="2"/>
        <v>0</v>
      </c>
      <c r="BA8" s="8"/>
      <c r="BB8" s="9"/>
      <c r="BC8" s="9"/>
      <c r="BD8" s="13"/>
    </row>
    <row r="9" spans="1:56" s="7" customFormat="1" ht="15.75" customHeight="1" thickBot="1">
      <c r="A9" s="62"/>
      <c r="B9" s="38">
        <v>5</v>
      </c>
      <c r="C9" s="17"/>
      <c r="D9" s="18"/>
      <c r="E9" s="18">
        <f>J9*2.1191</f>
        <v>0</v>
      </c>
      <c r="F9" s="18"/>
      <c r="G9" s="106"/>
      <c r="H9" s="14"/>
      <c r="I9" s="15">
        <f>H9*3412</f>
        <v>0</v>
      </c>
      <c r="J9" s="15"/>
      <c r="K9" s="15"/>
      <c r="L9" s="15"/>
      <c r="M9" s="15"/>
      <c r="N9" s="15"/>
      <c r="O9" s="15"/>
      <c r="P9" s="15"/>
      <c r="Q9" s="15">
        <f t="shared" si="3"/>
        <v>32</v>
      </c>
      <c r="R9" s="15">
        <f t="shared" si="3"/>
        <v>32</v>
      </c>
      <c r="S9" s="15"/>
      <c r="T9" s="15"/>
      <c r="U9" s="15">
        <f t="shared" si="4"/>
        <v>32</v>
      </c>
      <c r="V9" s="16">
        <f t="shared" si="4"/>
        <v>32</v>
      </c>
      <c r="W9" s="95"/>
      <c r="X9" s="21"/>
      <c r="Y9" s="18"/>
      <c r="Z9" s="18"/>
      <c r="AA9" s="18"/>
      <c r="AB9" s="18">
        <f>SUM(X9:AA9)</f>
        <v>0</v>
      </c>
      <c r="AC9" s="18">
        <f>AB9*3.75</f>
        <v>0</v>
      </c>
      <c r="AD9" s="18">
        <f>AC9*1.25</f>
        <v>0</v>
      </c>
      <c r="AE9" s="18">
        <f>CEILING(AD9,5)</f>
        <v>0</v>
      </c>
      <c r="AF9" s="18"/>
      <c r="AG9" s="19">
        <f>AF9*AE9</f>
        <v>0</v>
      </c>
      <c r="AI9" s="14">
        <f t="shared" si="0"/>
        <v>5</v>
      </c>
      <c r="AJ9" s="15">
        <f t="shared" si="0"/>
        <v>0</v>
      </c>
      <c r="AK9" s="15">
        <f t="shared" si="0"/>
        <v>0</v>
      </c>
      <c r="AL9" s="15">
        <f t="shared" si="0"/>
        <v>0</v>
      </c>
      <c r="AM9" s="120">
        <f t="shared" si="1"/>
        <v>0</v>
      </c>
      <c r="AN9" s="120"/>
      <c r="AO9" s="121"/>
      <c r="AP9" s="121"/>
      <c r="AQ9" s="121"/>
      <c r="AR9" s="121"/>
      <c r="AS9" s="121"/>
      <c r="AT9" s="121">
        <f>SUM(AN9:AS9)</f>
        <v>0</v>
      </c>
      <c r="AU9" s="15"/>
      <c r="AV9" s="16"/>
      <c r="AX9" s="14">
        <f t="shared" si="2"/>
        <v>5</v>
      </c>
      <c r="AY9" s="15">
        <f t="shared" si="2"/>
        <v>0</v>
      </c>
      <c r="AZ9" s="15">
        <f t="shared" si="2"/>
        <v>0</v>
      </c>
      <c r="BA9" s="15"/>
      <c r="BB9" s="18"/>
      <c r="BC9" s="18"/>
      <c r="BD9" s="16"/>
    </row>
    <row r="10" spans="1:56" s="7" customFormat="1" ht="17.25" thickBot="1">
      <c r="A10" s="62"/>
      <c r="F10" s="11"/>
      <c r="G10" s="11"/>
      <c r="AB10" s="11"/>
      <c r="AC10" s="11"/>
      <c r="AD10" s="11"/>
      <c r="AE10" s="11"/>
      <c r="AF10" s="172">
        <f>SUM(AF5:AF9)</f>
        <v>0</v>
      </c>
      <c r="AG10" s="173">
        <f>SUM(AG5:AG9)</f>
        <v>0</v>
      </c>
    </row>
    <row r="11" spans="1:56" ht="16.5" thickBot="1">
      <c r="A11" s="62"/>
    </row>
    <row r="12" spans="1:56" ht="21" thickBot="1">
      <c r="A12" s="62"/>
      <c r="B12" s="1790" t="s">
        <v>406</v>
      </c>
      <c r="C12" s="1784"/>
      <c r="D12" s="1784"/>
      <c r="E12" s="1784"/>
      <c r="F12" s="1784"/>
      <c r="G12" s="1785"/>
    </row>
    <row r="13" spans="1:56" ht="15.75">
      <c r="A13" s="62"/>
      <c r="B13" s="39" t="s">
        <v>3</v>
      </c>
      <c r="C13" s="39"/>
      <c r="D13" s="39"/>
      <c r="E13" s="39"/>
      <c r="F13" s="39"/>
      <c r="G13" s="39"/>
    </row>
    <row r="14" spans="1:56" ht="15.75">
      <c r="A14" s="62"/>
    </row>
    <row r="15" spans="1:56" ht="15.75">
      <c r="A15" s="62"/>
    </row>
    <row r="16" spans="1:56" ht="15.75">
      <c r="A16" s="62"/>
    </row>
    <row r="17" spans="1:1" ht="15.75">
      <c r="A17" s="62"/>
    </row>
    <row r="18" spans="1:1" ht="15.75">
      <c r="A18" s="62"/>
    </row>
    <row r="19" spans="1:1" ht="15.75">
      <c r="A19" s="62"/>
    </row>
    <row r="20" spans="1:1" ht="15.75">
      <c r="A20" s="62"/>
    </row>
    <row r="21" spans="1:1" ht="15.75">
      <c r="A21" s="62"/>
    </row>
    <row r="22" spans="1:1" ht="15.75">
      <c r="A22" s="62"/>
    </row>
    <row r="23" spans="1:1" ht="15.75">
      <c r="A23" s="62"/>
    </row>
    <row r="24" spans="1:1" ht="15.75">
      <c r="A24" s="62"/>
    </row>
    <row r="25" spans="1:1" ht="15.75">
      <c r="A25" s="62"/>
    </row>
    <row r="26" spans="1:1" ht="15.75">
      <c r="A26" s="62"/>
    </row>
    <row r="27" spans="1:1" ht="15.75">
      <c r="A27" s="62"/>
    </row>
    <row r="28" spans="1:1" ht="15.75">
      <c r="A28" s="62"/>
    </row>
    <row r="29" spans="1:1" ht="15.75">
      <c r="A29" s="62"/>
    </row>
    <row r="30" spans="1:1" ht="15.75">
      <c r="A30" s="62"/>
    </row>
    <row r="31" spans="1:1" ht="15.75">
      <c r="A31" s="62"/>
    </row>
    <row r="32" spans="1:1" ht="15.75">
      <c r="A32" s="62"/>
    </row>
    <row r="33" spans="1:1" ht="15.75">
      <c r="A33" s="62"/>
    </row>
    <row r="34" spans="1:1" ht="15.75">
      <c r="A34" s="62"/>
    </row>
    <row r="35" spans="1:1" ht="15.75">
      <c r="A35" s="62"/>
    </row>
    <row r="36" spans="1:1" ht="15.75">
      <c r="A36" s="62"/>
    </row>
    <row r="37" spans="1:1" ht="15.75">
      <c r="A37" s="62"/>
    </row>
    <row r="38" spans="1:1" ht="15.75">
      <c r="A38" s="62"/>
    </row>
    <row r="39" spans="1:1" ht="15.75">
      <c r="A39" s="62"/>
    </row>
    <row r="40" spans="1:1" ht="15.75">
      <c r="A40" s="62"/>
    </row>
    <row r="41" spans="1:1" ht="15.75">
      <c r="A41" s="62"/>
    </row>
    <row r="42" spans="1:1" ht="15.75">
      <c r="A42" s="62"/>
    </row>
    <row r="43" spans="1:1" ht="15.75">
      <c r="A43" s="62"/>
    </row>
    <row r="44" spans="1:1" ht="15.75">
      <c r="A44" s="62"/>
    </row>
    <row r="45" spans="1:1" ht="15.75">
      <c r="A45" s="62"/>
    </row>
    <row r="46" spans="1:1" ht="15.75">
      <c r="A46" s="62"/>
    </row>
    <row r="47" spans="1:1" ht="15.75">
      <c r="A47" s="62"/>
    </row>
    <row r="48" spans="1:1" ht="15.75">
      <c r="A48" s="62"/>
    </row>
    <row r="49" spans="1:1" ht="15.75">
      <c r="A49" s="62"/>
    </row>
    <row r="50" spans="1:1" ht="15.75">
      <c r="A50" s="62"/>
    </row>
    <row r="51" spans="1:1" ht="15.75">
      <c r="A51" s="62"/>
    </row>
    <row r="52" spans="1:1" ht="15.75">
      <c r="A52" s="62"/>
    </row>
    <row r="53" spans="1:1" ht="15.75">
      <c r="A53" s="62"/>
    </row>
    <row r="54" spans="1:1" ht="15.75">
      <c r="A54" s="62"/>
    </row>
    <row r="55" spans="1:1" ht="16.5" thickBot="1">
      <c r="A55" s="63"/>
    </row>
    <row r="56" spans="1:1" ht="15.75" thickTop="1"/>
  </sheetData>
  <mergeCells count="6">
    <mergeCell ref="AX3:BD3"/>
    <mergeCell ref="B12:G12"/>
    <mergeCell ref="B3:G3"/>
    <mergeCell ref="H3:V3"/>
    <mergeCell ref="X3:AG3"/>
    <mergeCell ref="AI3:AV3"/>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6865" r:id="rId4" name="Hide">
          <controlPr defaultSize="0" autoLine="0" r:id="rId5">
            <anchor moveWithCells="1">
              <from>
                <xdr:col>0</xdr:col>
                <xdr:colOff>0</xdr:colOff>
                <xdr:row>2</xdr:row>
                <xdr:rowOff>0</xdr:rowOff>
              </from>
              <to>
                <xdr:col>2</xdr:col>
                <xdr:colOff>200025</xdr:colOff>
                <xdr:row>3</xdr:row>
                <xdr:rowOff>95250</xdr:rowOff>
              </to>
            </anchor>
          </controlPr>
        </control>
      </mc:Choice>
      <mc:Fallback>
        <control shapeId="36865" r:id="rId4" name="Hide"/>
      </mc:Fallback>
    </mc:AlternateContent>
    <mc:AlternateContent xmlns:mc="http://schemas.openxmlformats.org/markup-compatibility/2006">
      <mc:Choice Requires="x14">
        <control shapeId="36866" r:id="rId6" name="Specs">
          <controlPr defaultSize="0" autoLine="0" r:id="rId7">
            <anchor moveWithCells="1">
              <from>
                <xdr:col>0</xdr:col>
                <xdr:colOff>0</xdr:colOff>
                <xdr:row>3</xdr:row>
                <xdr:rowOff>133350</xdr:rowOff>
              </from>
              <to>
                <xdr:col>3</xdr:col>
                <xdr:colOff>114300</xdr:colOff>
                <xdr:row>3</xdr:row>
                <xdr:rowOff>447675</xdr:rowOff>
              </to>
            </anchor>
          </controlPr>
        </control>
      </mc:Choice>
      <mc:Fallback>
        <control shapeId="36866" r:id="rId6" name="Specs"/>
      </mc:Fallback>
    </mc:AlternateContent>
    <mc:AlternateContent xmlns:mc="http://schemas.openxmlformats.org/markup-compatibility/2006">
      <mc:Choice Requires="x14">
        <control shapeId="36867" r:id="rId8" name="Technical">
          <controlPr defaultSize="0" autoLine="0" r:id="rId9">
            <anchor moveWithCells="1">
              <from>
                <xdr:col>0</xdr:col>
                <xdr:colOff>0</xdr:colOff>
                <xdr:row>3</xdr:row>
                <xdr:rowOff>133350</xdr:rowOff>
              </from>
              <to>
                <xdr:col>3</xdr:col>
                <xdr:colOff>114300</xdr:colOff>
                <xdr:row>3</xdr:row>
                <xdr:rowOff>447675</xdr:rowOff>
              </to>
            </anchor>
          </controlPr>
        </control>
      </mc:Choice>
      <mc:Fallback>
        <control shapeId="36867" r:id="rId8" name="Technical"/>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I1_Template"/>
  <dimension ref="A1:D8"/>
  <sheetViews>
    <sheetView workbookViewId="0">
      <selection activeCell="F6" sqref="F6"/>
    </sheetView>
  </sheetViews>
  <sheetFormatPr defaultColWidth="9" defaultRowHeight="16.5"/>
  <cols>
    <col min="1" max="1" width="11.28515625" style="176" customWidth="1"/>
    <col min="2" max="2" width="23.140625" style="176" customWidth="1"/>
    <col min="3" max="3" width="40.7109375" style="176" customWidth="1"/>
    <col min="4" max="4" width="17.5703125" style="176" customWidth="1"/>
    <col min="5" max="16384" width="9" style="176"/>
  </cols>
  <sheetData>
    <row r="1" spans="1:4" ht="37.5" customHeight="1">
      <c r="A1" s="198" t="s">
        <v>552</v>
      </c>
      <c r="B1" s="198" t="s">
        <v>556</v>
      </c>
      <c r="C1" s="198" t="s">
        <v>557</v>
      </c>
      <c r="D1" s="198" t="s">
        <v>553</v>
      </c>
    </row>
    <row r="2" spans="1:4" ht="66.75" customHeight="1">
      <c r="A2" s="197">
        <v>1</v>
      </c>
      <c r="B2" s="6" t="s">
        <v>2111</v>
      </c>
      <c r="C2" s="6" t="s">
        <v>2111</v>
      </c>
      <c r="D2" s="6"/>
    </row>
    <row r="3" spans="1:4" ht="66.75" customHeight="1">
      <c r="A3" s="197">
        <v>2</v>
      </c>
      <c r="B3" s="6" t="s">
        <v>2597</v>
      </c>
      <c r="C3" s="6" t="s">
        <v>555</v>
      </c>
      <c r="D3" s="6"/>
    </row>
    <row r="4" spans="1:4" ht="66.75" customHeight="1">
      <c r="A4" s="197">
        <v>3</v>
      </c>
      <c r="B4" s="6" t="s">
        <v>2598</v>
      </c>
      <c r="C4" s="6" t="s">
        <v>2596</v>
      </c>
      <c r="D4" s="6"/>
    </row>
    <row r="5" spans="1:4" ht="66.75" customHeight="1">
      <c r="A5" s="197">
        <v>4</v>
      </c>
      <c r="B5" s="6" t="s">
        <v>554</v>
      </c>
      <c r="C5" s="6" t="s">
        <v>558</v>
      </c>
      <c r="D5" s="6"/>
    </row>
    <row r="6" spans="1:4" ht="66.75" customHeight="1">
      <c r="A6" s="197">
        <v>5</v>
      </c>
      <c r="B6" s="6" t="s">
        <v>2597</v>
      </c>
      <c r="C6" s="6" t="s">
        <v>659</v>
      </c>
      <c r="D6" s="6"/>
    </row>
    <row r="7" spans="1:4" ht="66.75" customHeight="1">
      <c r="A7" s="197">
        <v>6</v>
      </c>
      <c r="B7" s="6"/>
      <c r="C7" s="6"/>
      <c r="D7" s="6"/>
    </row>
    <row r="8" spans="1:4" ht="66.75" customHeight="1">
      <c r="A8" s="197">
        <v>7</v>
      </c>
      <c r="B8" s="6"/>
      <c r="C8" s="6"/>
      <c r="D8" s="6"/>
    </row>
  </sheetData>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dvAspect="DVASPECT_ICON" shapeId="53249" r:id="rId4">
          <objectPr defaultSize="0" autoPict="0" r:id="rId5">
            <anchor moveWithCells="1">
              <from>
                <xdr:col>3</xdr:col>
                <xdr:colOff>171450</xdr:colOff>
                <xdr:row>2</xdr:row>
                <xdr:rowOff>85725</xdr:rowOff>
              </from>
              <to>
                <xdr:col>3</xdr:col>
                <xdr:colOff>962025</xdr:colOff>
                <xdr:row>2</xdr:row>
                <xdr:rowOff>752475</xdr:rowOff>
              </to>
            </anchor>
          </objectPr>
        </oleObject>
      </mc:Choice>
      <mc:Fallback>
        <oleObject progId="Word.Document.12" dvAspect="DVASPECT_ICON" shapeId="53249" r:id="rId4"/>
      </mc:Fallback>
    </mc:AlternateContent>
    <mc:AlternateContent xmlns:mc="http://schemas.openxmlformats.org/markup-compatibility/2006">
      <mc:Choice Requires="x14">
        <oleObject progId="Word.Document.12" dvAspect="DVASPECT_ICON" shapeId="53250" r:id="rId6">
          <objectPr defaultSize="0" autoPict="0" r:id="rId7">
            <anchor moveWithCells="1">
              <from>
                <xdr:col>3</xdr:col>
                <xdr:colOff>190500</xdr:colOff>
                <xdr:row>4</xdr:row>
                <xdr:rowOff>123825</xdr:rowOff>
              </from>
              <to>
                <xdr:col>3</xdr:col>
                <xdr:colOff>981075</xdr:colOff>
                <xdr:row>4</xdr:row>
                <xdr:rowOff>790575</xdr:rowOff>
              </to>
            </anchor>
          </objectPr>
        </oleObject>
      </mc:Choice>
      <mc:Fallback>
        <oleObject progId="Word.Document.12" dvAspect="DVASPECT_ICON" shapeId="53250" r:id="rId6"/>
      </mc:Fallback>
    </mc:AlternateContent>
    <mc:AlternateContent xmlns:mc="http://schemas.openxmlformats.org/markup-compatibility/2006">
      <mc:Choice Requires="x14">
        <oleObject progId="Word.Document.12" dvAspect="DVASPECT_ICON" shapeId="53252" r:id="rId8">
          <objectPr defaultSize="0" autoPict="0" r:id="rId9">
            <anchor moveWithCells="1">
              <from>
                <xdr:col>3</xdr:col>
                <xdr:colOff>180975</xdr:colOff>
                <xdr:row>1</xdr:row>
                <xdr:rowOff>47625</xdr:rowOff>
              </from>
              <to>
                <xdr:col>3</xdr:col>
                <xdr:colOff>952500</xdr:colOff>
                <xdr:row>1</xdr:row>
                <xdr:rowOff>762000</xdr:rowOff>
              </to>
            </anchor>
          </objectPr>
        </oleObject>
      </mc:Choice>
      <mc:Fallback>
        <oleObject progId="Word.Document.12" dvAspect="DVASPECT_ICON" shapeId="53252" r:id="rId8"/>
      </mc:Fallback>
    </mc:AlternateContent>
    <mc:AlternateContent xmlns:mc="http://schemas.openxmlformats.org/markup-compatibility/2006">
      <mc:Choice Requires="x14">
        <oleObject progId="Word.Document.12" dvAspect="DVASPECT_ICON" shapeId="53253" r:id="rId10">
          <objectPr defaultSize="0" autoPict="0" r:id="rId11">
            <anchor moveWithCells="1">
              <from>
                <xdr:col>3</xdr:col>
                <xdr:colOff>171450</xdr:colOff>
                <xdr:row>3</xdr:row>
                <xdr:rowOff>85725</xdr:rowOff>
              </from>
              <to>
                <xdr:col>3</xdr:col>
                <xdr:colOff>962025</xdr:colOff>
                <xdr:row>3</xdr:row>
                <xdr:rowOff>752475</xdr:rowOff>
              </to>
            </anchor>
          </objectPr>
        </oleObject>
      </mc:Choice>
      <mc:Fallback>
        <oleObject progId="Word.Document.12" dvAspect="DVASPECT_ICON" shapeId="53253" r:id="rId10"/>
      </mc:Fallback>
    </mc:AlternateContent>
    <mc:AlternateContent xmlns:mc="http://schemas.openxmlformats.org/markup-compatibility/2006">
      <mc:Choice Requires="x14">
        <oleObject progId="Word.Document.12" dvAspect="DVASPECT_ICON" shapeId="53254" r:id="rId12">
          <objectPr defaultSize="0" autoPict="0" r:id="rId7">
            <anchor moveWithCells="1">
              <from>
                <xdr:col>3</xdr:col>
                <xdr:colOff>190500</xdr:colOff>
                <xdr:row>5</xdr:row>
                <xdr:rowOff>142875</xdr:rowOff>
              </from>
              <to>
                <xdr:col>3</xdr:col>
                <xdr:colOff>981075</xdr:colOff>
                <xdr:row>5</xdr:row>
                <xdr:rowOff>809625</xdr:rowOff>
              </to>
            </anchor>
          </objectPr>
        </oleObject>
      </mc:Choice>
      <mc:Fallback>
        <oleObject progId="Word.Document.12" dvAspect="DVASPECT_ICON" shapeId="53254" r:id="rId12"/>
      </mc:Fallback>
    </mc:AlternateContent>
  </oleObjec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1_ED_Cal"/>
  <dimension ref="A1:BD50"/>
  <sheetViews>
    <sheetView topLeftCell="A10" zoomScale="80" zoomScaleNormal="80" workbookViewId="0">
      <selection activeCell="H26" sqref="H26"/>
    </sheetView>
  </sheetViews>
  <sheetFormatPr defaultRowHeight="15"/>
  <cols>
    <col min="1" max="1" width="50.7109375" customWidth="1"/>
    <col min="3" max="3" width="10.85546875" bestFit="1" customWidth="1"/>
    <col min="4" max="4" width="18.42578125" bestFit="1" customWidth="1"/>
    <col min="5" max="5" width="14.42578125" bestFit="1" customWidth="1"/>
    <col min="6" max="6" width="12.42578125" customWidth="1"/>
    <col min="7" max="7" width="16.5703125" customWidth="1"/>
    <col min="8" max="8" width="11.7109375" customWidth="1"/>
    <col min="9" max="24" width="14.7109375" customWidth="1"/>
    <col min="36" max="36" width="9.5703125" customWidth="1"/>
    <col min="38" max="38" width="11.140625" customWidth="1"/>
    <col min="39" max="39" width="9.85546875" customWidth="1"/>
    <col min="45" max="45" width="7.85546875" customWidth="1"/>
    <col min="46" max="46" width="8.7109375" customWidth="1"/>
    <col min="47" max="47" width="12.5703125" customWidth="1"/>
    <col min="48" max="48" width="8.5703125" customWidth="1"/>
    <col min="49" max="50" width="11.42578125" customWidth="1"/>
  </cols>
  <sheetData>
    <row r="1" spans="1:56" ht="18.75" thickBot="1">
      <c r="A1" s="199" t="s">
        <v>566</v>
      </c>
      <c r="B1" s="1830" t="s">
        <v>42</v>
      </c>
      <c r="C1" s="1830"/>
      <c r="D1" s="1830"/>
      <c r="E1" s="1830"/>
      <c r="F1" s="1830"/>
      <c r="G1" s="1830"/>
      <c r="H1" s="1830"/>
      <c r="I1" s="1830"/>
      <c r="J1" s="1830"/>
      <c r="K1" s="1830"/>
      <c r="L1" s="1830"/>
      <c r="M1" s="1830"/>
      <c r="N1" s="1830"/>
      <c r="O1" s="1830"/>
      <c r="P1" s="1830"/>
      <c r="Q1" s="1830"/>
      <c r="R1" s="1830"/>
      <c r="S1" s="1830"/>
      <c r="T1" s="1830"/>
      <c r="U1" s="1830"/>
      <c r="V1" s="1830"/>
      <c r="W1" s="1830"/>
      <c r="X1" s="1830"/>
      <c r="Y1" s="1830"/>
      <c r="Z1" s="1830"/>
      <c r="AA1" s="1830"/>
      <c r="AB1" s="1830"/>
      <c r="AC1" s="1830"/>
      <c r="AD1" s="1831"/>
      <c r="AF1" s="1834" t="s">
        <v>653</v>
      </c>
      <c r="AG1" s="1835"/>
      <c r="AH1" s="1835"/>
      <c r="AI1" s="1835"/>
      <c r="AJ1" s="1835"/>
      <c r="AK1" s="1835"/>
      <c r="AL1" s="1835"/>
      <c r="AM1" s="1835"/>
      <c r="AN1" s="1835"/>
      <c r="AO1" s="1835"/>
      <c r="AP1" s="1835"/>
      <c r="AQ1" s="1835"/>
      <c r="AR1" s="1835"/>
      <c r="AS1" s="1835"/>
      <c r="AT1" s="1835"/>
      <c r="AU1" s="1835"/>
      <c r="AV1" s="1835"/>
      <c r="AW1" s="1835"/>
      <c r="AX1" s="1835"/>
      <c r="AY1" s="1835"/>
      <c r="AZ1" s="1835"/>
      <c r="BA1" s="1835"/>
      <c r="BB1" s="1835"/>
      <c r="BC1" s="1835"/>
      <c r="BD1" s="1836"/>
    </row>
    <row r="2" spans="1:56" ht="17.25" customHeight="1" thickBot="1">
      <c r="A2" s="203"/>
      <c r="B2" s="1832" t="s">
        <v>2</v>
      </c>
      <c r="C2" s="1832" t="s">
        <v>3</v>
      </c>
      <c r="D2" s="1832" t="s">
        <v>0</v>
      </c>
      <c r="E2" s="1832" t="s">
        <v>563</v>
      </c>
      <c r="F2" s="1832" t="s">
        <v>580</v>
      </c>
      <c r="G2" s="1832" t="s">
        <v>550</v>
      </c>
      <c r="H2" s="1832" t="s">
        <v>581</v>
      </c>
      <c r="I2" s="1832" t="s">
        <v>551</v>
      </c>
      <c r="J2" s="1832" t="s">
        <v>547</v>
      </c>
      <c r="K2" s="1832" t="s">
        <v>548</v>
      </c>
      <c r="L2" s="1832" t="s">
        <v>559</v>
      </c>
      <c r="M2" s="1832" t="s">
        <v>560</v>
      </c>
      <c r="N2" s="1832" t="s">
        <v>561</v>
      </c>
      <c r="O2" s="1832" t="s">
        <v>562</v>
      </c>
      <c r="P2" s="1832" t="s">
        <v>1340</v>
      </c>
      <c r="Q2" s="1832" t="s">
        <v>1341</v>
      </c>
      <c r="R2" s="1832" t="s">
        <v>576</v>
      </c>
      <c r="S2" s="1832" t="s">
        <v>1331</v>
      </c>
      <c r="T2" s="1832" t="s">
        <v>577</v>
      </c>
      <c r="U2" s="1832" t="s">
        <v>1338</v>
      </c>
      <c r="V2" s="1832" t="s">
        <v>1336</v>
      </c>
      <c r="W2" s="1832" t="s">
        <v>1342</v>
      </c>
      <c r="X2" s="1832" t="s">
        <v>1337</v>
      </c>
      <c r="Y2" s="1838" t="s">
        <v>1339</v>
      </c>
      <c r="Z2" s="1839"/>
      <c r="AA2" s="1839"/>
      <c r="AB2" s="1839"/>
      <c r="AC2" s="1839"/>
      <c r="AD2" s="1840"/>
      <c r="AF2" s="1832" t="s">
        <v>631</v>
      </c>
      <c r="AG2" s="1832" t="s">
        <v>632</v>
      </c>
      <c r="AH2" s="1832" t="s">
        <v>633</v>
      </c>
      <c r="AI2" s="1832" t="s">
        <v>634</v>
      </c>
      <c r="AJ2" s="1832" t="s">
        <v>644</v>
      </c>
      <c r="AK2" s="1832" t="s">
        <v>635</v>
      </c>
      <c r="AL2" s="1832" t="s">
        <v>636</v>
      </c>
      <c r="AM2" s="1832" t="s">
        <v>638</v>
      </c>
      <c r="AN2" s="1832" t="s">
        <v>639</v>
      </c>
      <c r="AO2" s="1832" t="s">
        <v>640</v>
      </c>
      <c r="AP2" s="1832" t="s">
        <v>641</v>
      </c>
      <c r="AQ2" s="1832" t="s">
        <v>642</v>
      </c>
      <c r="AR2" s="1832" t="s">
        <v>643</v>
      </c>
      <c r="AS2" s="1832" t="s">
        <v>647</v>
      </c>
      <c r="AT2" s="1832" t="s">
        <v>648</v>
      </c>
      <c r="AU2" s="1838" t="s">
        <v>573</v>
      </c>
      <c r="AV2" s="1839"/>
      <c r="AW2" s="1839"/>
      <c r="AX2" s="1839"/>
      <c r="AY2" s="1840"/>
      <c r="AZ2" s="1839" t="s">
        <v>574</v>
      </c>
      <c r="BA2" s="1839"/>
      <c r="BB2" s="1839"/>
      <c r="BC2" s="1839"/>
      <c r="BD2" s="1840"/>
    </row>
    <row r="3" spans="1:56" ht="17.25" customHeight="1" thickBot="1">
      <c r="A3" s="203"/>
      <c r="B3" s="1833"/>
      <c r="C3" s="1833" t="s">
        <v>3</v>
      </c>
      <c r="D3" s="1833" t="s">
        <v>0</v>
      </c>
      <c r="E3" s="1833" t="s">
        <v>563</v>
      </c>
      <c r="F3" s="1833" t="s">
        <v>549</v>
      </c>
      <c r="G3" s="1833" t="s">
        <v>550</v>
      </c>
      <c r="H3" s="1833" t="s">
        <v>549</v>
      </c>
      <c r="I3" s="1833" t="s">
        <v>551</v>
      </c>
      <c r="J3" s="1833" t="s">
        <v>547</v>
      </c>
      <c r="K3" s="1833" t="s">
        <v>548</v>
      </c>
      <c r="L3" s="1833" t="s">
        <v>559</v>
      </c>
      <c r="M3" s="1833" t="s">
        <v>560</v>
      </c>
      <c r="N3" s="1833" t="s">
        <v>561</v>
      </c>
      <c r="O3" s="1833" t="s">
        <v>562</v>
      </c>
      <c r="P3" s="1833" t="s">
        <v>561</v>
      </c>
      <c r="Q3" s="1833" t="s">
        <v>562</v>
      </c>
      <c r="R3" s="1833"/>
      <c r="S3" s="1833"/>
      <c r="T3" s="1833"/>
      <c r="U3" s="1833"/>
      <c r="V3" s="1833"/>
      <c r="W3" s="1833"/>
      <c r="X3" s="1833"/>
      <c r="Y3" s="247" t="s">
        <v>39</v>
      </c>
      <c r="Z3" s="246" t="s">
        <v>40</v>
      </c>
      <c r="AA3" s="246" t="s">
        <v>38</v>
      </c>
      <c r="AB3" s="246" t="s">
        <v>645</v>
      </c>
      <c r="AC3" s="570" t="s">
        <v>1005</v>
      </c>
      <c r="AD3" s="248" t="s">
        <v>41</v>
      </c>
      <c r="AF3" s="1837"/>
      <c r="AG3" s="1837" t="s">
        <v>550</v>
      </c>
      <c r="AH3" s="1837" t="s">
        <v>550</v>
      </c>
      <c r="AI3" s="1837" t="s">
        <v>550</v>
      </c>
      <c r="AJ3" s="1837" t="s">
        <v>550</v>
      </c>
      <c r="AK3" s="1837" t="s">
        <v>550</v>
      </c>
      <c r="AL3" s="1837" t="s">
        <v>550</v>
      </c>
      <c r="AM3" s="1837" t="s">
        <v>550</v>
      </c>
      <c r="AN3" s="1837" t="s">
        <v>550</v>
      </c>
      <c r="AO3" s="1837" t="s">
        <v>550</v>
      </c>
      <c r="AP3" s="1837" t="s">
        <v>550</v>
      </c>
      <c r="AQ3" s="1837" t="s">
        <v>550</v>
      </c>
      <c r="AR3" s="1837"/>
      <c r="AS3" s="1837" t="s">
        <v>550</v>
      </c>
      <c r="AT3" s="1837" t="s">
        <v>550</v>
      </c>
      <c r="AU3" s="208" t="s">
        <v>39</v>
      </c>
      <c r="AV3" s="206" t="s">
        <v>40</v>
      </c>
      <c r="AW3" s="206" t="s">
        <v>38</v>
      </c>
      <c r="AX3" s="206" t="s">
        <v>645</v>
      </c>
      <c r="AY3" s="207" t="s">
        <v>41</v>
      </c>
      <c r="AZ3" s="208" t="s">
        <v>39</v>
      </c>
      <c r="BA3" s="206" t="s">
        <v>40</v>
      </c>
      <c r="BB3" s="206" t="s">
        <v>38</v>
      </c>
      <c r="BC3" s="206" t="s">
        <v>645</v>
      </c>
      <c r="BD3" s="207" t="s">
        <v>41</v>
      </c>
    </row>
    <row r="4" spans="1:56" ht="17.25" customHeight="1">
      <c r="A4" s="195"/>
      <c r="B4" s="205">
        <v>1</v>
      </c>
      <c r="C4" s="204" t="s">
        <v>94</v>
      </c>
      <c r="D4" s="204" t="s">
        <v>2724</v>
      </c>
      <c r="E4" s="204"/>
      <c r="F4" s="204"/>
      <c r="G4" s="204"/>
      <c r="H4" s="204"/>
      <c r="I4" s="204"/>
      <c r="J4" s="204"/>
      <c r="K4" s="204"/>
      <c r="L4" s="204" t="s">
        <v>2808</v>
      </c>
      <c r="M4" s="204">
        <v>1</v>
      </c>
      <c r="N4" s="204"/>
      <c r="O4" s="204"/>
      <c r="P4" s="204"/>
      <c r="Q4" s="204"/>
      <c r="R4" s="204">
        <v>3</v>
      </c>
      <c r="S4" s="204">
        <v>1</v>
      </c>
      <c r="T4" s="204">
        <v>3</v>
      </c>
      <c r="U4" s="204"/>
      <c r="V4" s="204"/>
      <c r="W4" s="204"/>
      <c r="X4" s="204" t="s">
        <v>94</v>
      </c>
      <c r="Y4" s="204"/>
      <c r="Z4" s="204"/>
      <c r="AA4" s="204"/>
      <c r="AB4" s="204"/>
      <c r="AC4" s="204"/>
      <c r="AD4" s="204"/>
    </row>
    <row r="5" spans="1:56" ht="16.5">
      <c r="A5" s="209" t="s">
        <v>575</v>
      </c>
      <c r="B5" s="1135">
        <v>2</v>
      </c>
      <c r="C5" s="197" t="s">
        <v>94</v>
      </c>
      <c r="D5" s="197" t="s">
        <v>2725</v>
      </c>
      <c r="E5" s="197"/>
      <c r="F5" s="197"/>
      <c r="G5" s="197"/>
      <c r="H5" s="197"/>
      <c r="I5" s="197"/>
      <c r="J5" s="197"/>
      <c r="K5" s="197"/>
      <c r="L5" s="197" t="s">
        <v>2808</v>
      </c>
      <c r="M5" s="197">
        <v>1</v>
      </c>
      <c r="N5" s="197"/>
      <c r="O5" s="197"/>
      <c r="P5" s="197"/>
      <c r="Q5" s="197"/>
      <c r="R5" s="197">
        <v>3</v>
      </c>
      <c r="S5" s="197">
        <v>1</v>
      </c>
      <c r="T5" s="197">
        <v>3</v>
      </c>
      <c r="U5" s="197"/>
      <c r="V5" s="197"/>
      <c r="W5" s="197"/>
      <c r="X5" s="197" t="s">
        <v>94</v>
      </c>
      <c r="Y5" s="197"/>
      <c r="Z5" s="197"/>
      <c r="AA5" s="197"/>
      <c r="AB5" s="197"/>
      <c r="AC5" s="197"/>
      <c r="AD5" s="197"/>
    </row>
    <row r="6" spans="1:56" ht="16.5">
      <c r="A6" s="209" t="s">
        <v>575</v>
      </c>
      <c r="B6" s="1135">
        <v>3</v>
      </c>
      <c r="C6" s="197" t="s">
        <v>94</v>
      </c>
      <c r="D6" s="197" t="s">
        <v>1103</v>
      </c>
      <c r="E6" s="197"/>
      <c r="F6" s="197"/>
      <c r="G6" s="197"/>
      <c r="H6" s="197"/>
      <c r="I6" s="197"/>
      <c r="J6" s="197"/>
      <c r="K6" s="197"/>
      <c r="L6" s="197" t="s">
        <v>2810</v>
      </c>
      <c r="M6" s="197">
        <v>2</v>
      </c>
      <c r="N6" s="197"/>
      <c r="O6" s="197"/>
      <c r="P6" s="197"/>
      <c r="Q6" s="197"/>
      <c r="R6" s="197">
        <v>14</v>
      </c>
      <c r="S6" s="197">
        <v>1</v>
      </c>
      <c r="T6" s="197">
        <v>23</v>
      </c>
      <c r="U6" s="197"/>
      <c r="V6" s="197"/>
      <c r="W6" s="197"/>
      <c r="X6" s="197" t="s">
        <v>94</v>
      </c>
      <c r="Y6" s="197"/>
      <c r="Z6" s="197"/>
      <c r="AA6" s="197"/>
      <c r="AB6" s="197"/>
      <c r="AC6" s="197"/>
      <c r="AD6" s="197"/>
    </row>
    <row r="7" spans="1:56" ht="16.5">
      <c r="A7" s="195"/>
      <c r="B7" s="1135">
        <v>4</v>
      </c>
      <c r="C7" s="197" t="s">
        <v>94</v>
      </c>
      <c r="D7" s="197" t="s">
        <v>2730</v>
      </c>
      <c r="E7" s="197"/>
      <c r="F7" s="197"/>
      <c r="G7" s="197"/>
      <c r="H7" s="197"/>
      <c r="I7" s="197"/>
      <c r="J7" s="197"/>
      <c r="K7" s="197"/>
      <c r="L7" s="197" t="s">
        <v>2809</v>
      </c>
      <c r="M7" s="197">
        <v>2</v>
      </c>
      <c r="N7" s="197"/>
      <c r="O7" s="197"/>
      <c r="P7" s="197"/>
      <c r="Q7" s="197"/>
      <c r="R7" s="197">
        <v>12</v>
      </c>
      <c r="S7" s="197">
        <v>1</v>
      </c>
      <c r="T7" s="197">
        <v>15</v>
      </c>
      <c r="U7" s="197"/>
      <c r="V7" s="197"/>
      <c r="W7" s="197"/>
      <c r="X7" s="197" t="s">
        <v>94</v>
      </c>
      <c r="Y7" s="197"/>
      <c r="Z7" s="197"/>
      <c r="AA7" s="197"/>
      <c r="AB7" s="197"/>
      <c r="AC7" s="197"/>
      <c r="AD7" s="197"/>
    </row>
    <row r="8" spans="1:56" ht="15.75">
      <c r="A8" s="195"/>
    </row>
    <row r="9" spans="1:56" ht="15.75">
      <c r="A9" s="195"/>
    </row>
    <row r="10" spans="1:56" ht="15.75">
      <c r="A10" s="209" t="s">
        <v>575</v>
      </c>
    </row>
    <row r="11" spans="1:56" ht="15.75">
      <c r="A11" s="195"/>
    </row>
    <row r="12" spans="1:56" ht="15.75">
      <c r="A12" s="195"/>
    </row>
    <row r="13" spans="1:56" ht="15.75">
      <c r="A13" s="209" t="s">
        <v>575</v>
      </c>
    </row>
    <row r="14" spans="1:56" ht="15.75">
      <c r="A14" s="195"/>
    </row>
    <row r="15" spans="1:56" ht="15.75">
      <c r="A15" s="195"/>
    </row>
    <row r="16" spans="1:56" ht="15.75">
      <c r="A16" s="195"/>
    </row>
    <row r="17" spans="1:1" ht="15.75">
      <c r="A17" s="195"/>
    </row>
    <row r="18" spans="1:1" ht="15.75">
      <c r="A18" s="195"/>
    </row>
    <row r="19" spans="1:1" ht="15.75">
      <c r="A19" s="195"/>
    </row>
    <row r="20" spans="1:1" ht="15.75">
      <c r="A20" s="195"/>
    </row>
    <row r="21" spans="1:1" ht="15.75">
      <c r="A21" s="195"/>
    </row>
    <row r="22" spans="1:1" ht="15.75">
      <c r="A22" s="195"/>
    </row>
    <row r="23" spans="1:1" ht="15.75">
      <c r="A23" s="195"/>
    </row>
    <row r="24" spans="1:1" ht="15.75">
      <c r="A24" s="195"/>
    </row>
    <row r="25" spans="1:1" ht="16.5" thickBot="1">
      <c r="A25" s="195"/>
    </row>
    <row r="26" spans="1:1" ht="18.75" thickBot="1">
      <c r="A26" s="199" t="s">
        <v>622</v>
      </c>
    </row>
    <row r="27" spans="1:1" ht="15.75">
      <c r="A27" s="195"/>
    </row>
    <row r="28" spans="1:1" ht="15.75">
      <c r="A28" s="195"/>
    </row>
    <row r="29" spans="1:1" ht="15.75">
      <c r="A29" s="195"/>
    </row>
    <row r="30" spans="1:1" ht="15.75">
      <c r="A30" s="195"/>
    </row>
    <row r="31" spans="1:1" ht="15.75">
      <c r="A31" s="200"/>
    </row>
    <row r="32" spans="1:1" ht="15.75">
      <c r="A32" s="200"/>
    </row>
    <row r="33" spans="1:1" ht="16.5" thickBot="1">
      <c r="A33" s="200"/>
    </row>
    <row r="34" spans="1:1" ht="18.75" thickBot="1">
      <c r="A34" s="199" t="s">
        <v>1349</v>
      </c>
    </row>
    <row r="35" spans="1:1" ht="15.75">
      <c r="A35" s="200"/>
    </row>
    <row r="36" spans="1:1" ht="15.75">
      <c r="A36" s="200"/>
    </row>
    <row r="37" spans="1:1" ht="17.25" customHeight="1">
      <c r="A37" s="195"/>
    </row>
    <row r="38" spans="1:1" ht="15.75">
      <c r="A38" s="195"/>
    </row>
    <row r="39" spans="1:1" ht="15.75">
      <c r="A39" s="195"/>
    </row>
    <row r="40" spans="1:1" ht="15.75">
      <c r="A40" s="195"/>
    </row>
    <row r="41" spans="1:1" ht="15.75">
      <c r="A41" s="195"/>
    </row>
    <row r="42" spans="1:1" ht="15.75">
      <c r="A42" s="195"/>
    </row>
    <row r="43" spans="1:1" ht="18">
      <c r="A43" s="237"/>
    </row>
    <row r="44" spans="1:1" ht="15.75">
      <c r="A44" s="195"/>
    </row>
    <row r="45" spans="1:1" ht="15.75">
      <c r="A45" s="195"/>
    </row>
    <row r="46" spans="1:1" ht="15.75">
      <c r="A46" s="195"/>
    </row>
    <row r="47" spans="1:1" ht="15.75">
      <c r="A47" s="195"/>
    </row>
    <row r="48" spans="1:1" ht="15.75">
      <c r="A48" s="195"/>
    </row>
    <row r="49" spans="1:1" ht="16.5" thickBot="1">
      <c r="A49" s="196"/>
    </row>
    <row r="50" spans="1:1" ht="16.5" thickBot="1">
      <c r="A50" s="196"/>
    </row>
  </sheetData>
  <mergeCells count="43">
    <mergeCell ref="P2:P3"/>
    <mergeCell ref="Q2:Q3"/>
    <mergeCell ref="AU2:AY2"/>
    <mergeCell ref="AZ2:BD2"/>
    <mergeCell ref="Y2:AD2"/>
    <mergeCell ref="R2:R3"/>
    <mergeCell ref="T2:T3"/>
    <mergeCell ref="V2:V3"/>
    <mergeCell ref="S2:S3"/>
    <mergeCell ref="U2:U3"/>
    <mergeCell ref="W2:W3"/>
    <mergeCell ref="AF1:BD1"/>
    <mergeCell ref="AM2:AM3"/>
    <mergeCell ref="AN2:AN3"/>
    <mergeCell ref="AO2:AO3"/>
    <mergeCell ref="AP2:AP3"/>
    <mergeCell ref="AR2:AR3"/>
    <mergeCell ref="AF2:AF3"/>
    <mergeCell ref="AG2:AG3"/>
    <mergeCell ref="AH2:AH3"/>
    <mergeCell ref="AS2:AS3"/>
    <mergeCell ref="AI2:AI3"/>
    <mergeCell ref="AJ2:AJ3"/>
    <mergeCell ref="AQ2:AQ3"/>
    <mergeCell ref="AL2:AL3"/>
    <mergeCell ref="AK2:AK3"/>
    <mergeCell ref="AT2:AT3"/>
    <mergeCell ref="B1:AD1"/>
    <mergeCell ref="B2:B3"/>
    <mergeCell ref="C2:C3"/>
    <mergeCell ref="D2:D3"/>
    <mergeCell ref="E2:E3"/>
    <mergeCell ref="F2:F3"/>
    <mergeCell ref="G2:G3"/>
    <mergeCell ref="H2:H3"/>
    <mergeCell ref="I2:I3"/>
    <mergeCell ref="J2:J3"/>
    <mergeCell ref="K2:K3"/>
    <mergeCell ref="L2:L3"/>
    <mergeCell ref="X2:X3"/>
    <mergeCell ref="M2:M3"/>
    <mergeCell ref="N2:N3"/>
    <mergeCell ref="O2:O3"/>
  </mergeCells>
  <pageMargins left="0.7" right="0.7" top="0.75" bottom="0.75" header="0.3" footer="0.3"/>
  <pageSetup orientation="portrait" r:id="rId1"/>
  <drawing r:id="rId2"/>
  <legacyDrawing r:id="rId3"/>
  <controls>
    <mc:AlternateContent xmlns:mc="http://schemas.openxmlformats.org/markup-compatibility/2006">
      <mc:Choice Requires="x14">
        <control shapeId="52258" r:id="rId4" name="HEATER">
          <controlPr defaultSize="0" autoLine="0" r:id="rId5">
            <anchor moveWithCells="1">
              <from>
                <xdr:col>0</xdr:col>
                <xdr:colOff>123825</xdr:colOff>
                <xdr:row>36</xdr:row>
                <xdr:rowOff>133350</xdr:rowOff>
              </from>
              <to>
                <xdr:col>0</xdr:col>
                <xdr:colOff>2733675</xdr:colOff>
                <xdr:row>38</xdr:row>
                <xdr:rowOff>19050</xdr:rowOff>
              </to>
            </anchor>
          </controlPr>
        </control>
      </mc:Choice>
      <mc:Fallback>
        <control shapeId="52258" r:id="rId4" name="HEATER"/>
      </mc:Fallback>
    </mc:AlternateContent>
    <mc:AlternateContent xmlns:mc="http://schemas.openxmlformats.org/markup-compatibility/2006">
      <mc:Choice Requires="x14">
        <control shapeId="52253" r:id="rId6" name="ED_Calculate">
          <controlPr defaultSize="0" autoLine="0" r:id="rId7">
            <anchor moveWithCells="1">
              <from>
                <xdr:col>0</xdr:col>
                <xdr:colOff>0</xdr:colOff>
                <xdr:row>41</xdr:row>
                <xdr:rowOff>123825</xdr:rowOff>
              </from>
              <to>
                <xdr:col>0</xdr:col>
                <xdr:colOff>3000375</xdr:colOff>
                <xdr:row>43</xdr:row>
                <xdr:rowOff>38100</xdr:rowOff>
              </to>
            </anchor>
          </controlPr>
        </control>
      </mc:Choice>
      <mc:Fallback>
        <control shapeId="52253" r:id="rId6" name="ED_Calculate"/>
      </mc:Fallback>
    </mc:AlternateContent>
    <mc:AlternateContent xmlns:mc="http://schemas.openxmlformats.org/markup-compatibility/2006">
      <mc:Choice Requires="x14">
        <control shapeId="52252" r:id="rId8" name="Get_Data">
          <controlPr defaultSize="0" autoLine="0" r:id="rId9">
            <anchor moveWithCells="1">
              <from>
                <xdr:col>0</xdr:col>
                <xdr:colOff>0</xdr:colOff>
                <xdr:row>39</xdr:row>
                <xdr:rowOff>142875</xdr:rowOff>
              </from>
              <to>
                <xdr:col>0</xdr:col>
                <xdr:colOff>3000375</xdr:colOff>
                <xdr:row>41</xdr:row>
                <xdr:rowOff>114300</xdr:rowOff>
              </to>
            </anchor>
          </controlPr>
        </control>
      </mc:Choice>
      <mc:Fallback>
        <control shapeId="52252" r:id="rId8" name="Get_Data"/>
      </mc:Fallback>
    </mc:AlternateContent>
    <mc:AlternateContent xmlns:mc="http://schemas.openxmlformats.org/markup-compatibility/2006">
      <mc:Choice Requires="x14">
        <control shapeId="52245" r:id="rId10" name="PWM">
          <controlPr defaultSize="0" autoLine="0" r:id="rId11">
            <anchor moveWithCells="1">
              <from>
                <xdr:col>0</xdr:col>
                <xdr:colOff>19050</xdr:colOff>
                <xdr:row>14</xdr:row>
                <xdr:rowOff>28575</xdr:rowOff>
              </from>
              <to>
                <xdr:col>0</xdr:col>
                <xdr:colOff>2686050</xdr:colOff>
                <xdr:row>15</xdr:row>
                <xdr:rowOff>66675</xdr:rowOff>
              </to>
            </anchor>
          </controlPr>
        </control>
      </mc:Choice>
      <mc:Fallback>
        <control shapeId="52245" r:id="rId10" name="PWM"/>
      </mc:Fallback>
    </mc:AlternateContent>
    <mc:AlternateContent xmlns:mc="http://schemas.openxmlformats.org/markup-compatibility/2006">
      <mc:Choice Requires="x14">
        <control shapeId="52244" r:id="rId12" name="CHEMICAL">
          <controlPr defaultSize="0" autoLine="0" r:id="rId13">
            <anchor moveWithCells="1">
              <from>
                <xdr:col>0</xdr:col>
                <xdr:colOff>19050</xdr:colOff>
                <xdr:row>10</xdr:row>
                <xdr:rowOff>152400</xdr:rowOff>
              </from>
              <to>
                <xdr:col>0</xdr:col>
                <xdr:colOff>1790700</xdr:colOff>
                <xdr:row>12</xdr:row>
                <xdr:rowOff>19050</xdr:rowOff>
              </to>
            </anchor>
          </controlPr>
        </control>
      </mc:Choice>
      <mc:Fallback>
        <control shapeId="52244" r:id="rId12" name="CHEMICAL"/>
      </mc:Fallback>
    </mc:AlternateContent>
    <mc:AlternateContent xmlns:mc="http://schemas.openxmlformats.org/markup-compatibility/2006">
      <mc:Choice Requires="x14">
        <control shapeId="52243" r:id="rId14" name="CRAH_A">
          <controlPr defaultSize="0" disabled="1" autoLine="0" r:id="rId15">
            <anchor moveWithCells="1">
              <from>
                <xdr:col>0</xdr:col>
                <xdr:colOff>19050</xdr:colOff>
                <xdr:row>19</xdr:row>
                <xdr:rowOff>190500</xdr:rowOff>
              </from>
              <to>
                <xdr:col>0</xdr:col>
                <xdr:colOff>3076575</xdr:colOff>
                <xdr:row>21</xdr:row>
                <xdr:rowOff>9525</xdr:rowOff>
              </to>
            </anchor>
          </controlPr>
        </control>
      </mc:Choice>
      <mc:Fallback>
        <control shapeId="52243" r:id="rId14" name="CRAH_A"/>
      </mc:Fallback>
    </mc:AlternateContent>
    <mc:AlternateContent xmlns:mc="http://schemas.openxmlformats.org/markup-compatibility/2006">
      <mc:Choice Requires="x14">
        <control shapeId="52242" r:id="rId16" name="PASC_WM">
          <controlPr defaultSize="0" autoLine="0" r:id="rId17">
            <anchor moveWithCells="1">
              <from>
                <xdr:col>0</xdr:col>
                <xdr:colOff>19050</xdr:colOff>
                <xdr:row>18</xdr:row>
                <xdr:rowOff>161925</xdr:rowOff>
              </from>
              <to>
                <xdr:col>0</xdr:col>
                <xdr:colOff>3076575</xdr:colOff>
                <xdr:row>19</xdr:row>
                <xdr:rowOff>161925</xdr:rowOff>
              </to>
            </anchor>
          </controlPr>
        </control>
      </mc:Choice>
      <mc:Fallback>
        <control shapeId="52242" r:id="rId16" name="PASC_WM"/>
      </mc:Fallback>
    </mc:AlternateContent>
    <mc:AlternateContent xmlns:mc="http://schemas.openxmlformats.org/markup-compatibility/2006">
      <mc:Choice Requires="x14">
        <control shapeId="52241" r:id="rId18" name="ECOLOGY">
          <controlPr defaultSize="0" autoLine="0" r:id="rId19">
            <anchor moveWithCells="1">
              <from>
                <xdr:col>0</xdr:col>
                <xdr:colOff>19050</xdr:colOff>
                <xdr:row>9</xdr:row>
                <xdr:rowOff>152400</xdr:rowOff>
              </from>
              <to>
                <xdr:col>0</xdr:col>
                <xdr:colOff>2552700</xdr:colOff>
                <xdr:row>10</xdr:row>
                <xdr:rowOff>190500</xdr:rowOff>
              </to>
            </anchor>
          </controlPr>
        </control>
      </mc:Choice>
      <mc:Fallback>
        <control shapeId="52241" r:id="rId18" name="ECOLOGY"/>
      </mc:Fallback>
    </mc:AlternateContent>
    <mc:AlternateContent xmlns:mc="http://schemas.openxmlformats.org/markup-compatibility/2006">
      <mc:Choice Requires="x14">
        <control shapeId="52240" r:id="rId20" name="PSU">
          <controlPr defaultSize="0" disabled="1" autoLine="0" r:id="rId21">
            <anchor moveWithCells="1">
              <from>
                <xdr:col>0</xdr:col>
                <xdr:colOff>19050</xdr:colOff>
                <xdr:row>22</xdr:row>
                <xdr:rowOff>28575</xdr:rowOff>
              </from>
              <to>
                <xdr:col>0</xdr:col>
                <xdr:colOff>2667000</xdr:colOff>
                <xdr:row>23</xdr:row>
                <xdr:rowOff>114300</xdr:rowOff>
              </to>
            </anchor>
          </controlPr>
        </control>
      </mc:Choice>
      <mc:Fallback>
        <control shapeId="52240" r:id="rId20" name="PSU"/>
      </mc:Fallback>
    </mc:AlternateContent>
    <mc:AlternateContent xmlns:mc="http://schemas.openxmlformats.org/markup-compatibility/2006">
      <mc:Choice Requires="x14">
        <control shapeId="52239" r:id="rId22" name="PDU">
          <controlPr defaultSize="0" disabled="1" autoLine="0" r:id="rId23">
            <anchor moveWithCells="1">
              <from>
                <xdr:col>0</xdr:col>
                <xdr:colOff>19050</xdr:colOff>
                <xdr:row>20</xdr:row>
                <xdr:rowOff>190500</xdr:rowOff>
              </from>
              <to>
                <xdr:col>0</xdr:col>
                <xdr:colOff>2543175</xdr:colOff>
                <xdr:row>22</xdr:row>
                <xdr:rowOff>28575</xdr:rowOff>
              </to>
            </anchor>
          </controlPr>
        </control>
      </mc:Choice>
      <mc:Fallback>
        <control shapeId="52239" r:id="rId22" name="PDU"/>
      </mc:Fallback>
    </mc:AlternateContent>
    <mc:AlternateContent xmlns:mc="http://schemas.openxmlformats.org/markup-compatibility/2006">
      <mc:Choice Requires="x14">
        <control shapeId="52238" r:id="rId24" name="PASC">
          <controlPr defaultSize="0" autoLine="0" r:id="rId25">
            <anchor moveWithCells="1">
              <from>
                <xdr:col>0</xdr:col>
                <xdr:colOff>19050</xdr:colOff>
                <xdr:row>17</xdr:row>
                <xdr:rowOff>133350</xdr:rowOff>
              </from>
              <to>
                <xdr:col>0</xdr:col>
                <xdr:colOff>2857500</xdr:colOff>
                <xdr:row>18</xdr:row>
                <xdr:rowOff>190500</xdr:rowOff>
              </to>
            </anchor>
          </controlPr>
        </control>
      </mc:Choice>
      <mc:Fallback>
        <control shapeId="52238" r:id="rId24" name="PASC"/>
      </mc:Fallback>
    </mc:AlternateContent>
    <mc:AlternateContent xmlns:mc="http://schemas.openxmlformats.org/markup-compatibility/2006">
      <mc:Choice Requires="x14">
        <control shapeId="52237" r:id="rId26" name="DSP_CM">
          <controlPr defaultSize="0" autoLine="0" r:id="rId27">
            <anchor moveWithCells="1">
              <from>
                <xdr:col>0</xdr:col>
                <xdr:colOff>19050</xdr:colOff>
                <xdr:row>16</xdr:row>
                <xdr:rowOff>104775</xdr:rowOff>
              </from>
              <to>
                <xdr:col>0</xdr:col>
                <xdr:colOff>2562225</xdr:colOff>
                <xdr:row>17</xdr:row>
                <xdr:rowOff>190500</xdr:rowOff>
              </to>
            </anchor>
          </controlPr>
        </control>
      </mc:Choice>
      <mc:Fallback>
        <control shapeId="52237" r:id="rId26" name="DSP_CM"/>
      </mc:Fallback>
    </mc:AlternateContent>
    <mc:AlternateContent xmlns:mc="http://schemas.openxmlformats.org/markup-compatibility/2006">
      <mc:Choice Requires="x14">
        <control shapeId="52236" r:id="rId28" name="DSP_AHU">
          <controlPr defaultSize="0" autoLine="0" r:id="rId29">
            <anchor moveWithCells="1">
              <from>
                <xdr:col>0</xdr:col>
                <xdr:colOff>19050</xdr:colOff>
                <xdr:row>15</xdr:row>
                <xdr:rowOff>66675</xdr:rowOff>
              </from>
              <to>
                <xdr:col>0</xdr:col>
                <xdr:colOff>2533650</xdr:colOff>
                <xdr:row>16</xdr:row>
                <xdr:rowOff>133350</xdr:rowOff>
              </to>
            </anchor>
          </controlPr>
        </control>
      </mc:Choice>
      <mc:Fallback>
        <control shapeId="52236" r:id="rId28" name="DSP_AHU"/>
      </mc:Fallback>
    </mc:AlternateContent>
    <mc:AlternateContent xmlns:mc="http://schemas.openxmlformats.org/markup-compatibility/2006">
      <mc:Choice Requires="x14">
        <control shapeId="52235" r:id="rId30" name="PPH">
          <controlPr defaultSize="0" autoLine="0" r:id="rId31">
            <anchor moveWithCells="1">
              <from>
                <xdr:col>0</xdr:col>
                <xdr:colOff>19050</xdr:colOff>
                <xdr:row>12</xdr:row>
                <xdr:rowOff>180975</xdr:rowOff>
              </from>
              <to>
                <xdr:col>0</xdr:col>
                <xdr:colOff>2686050</xdr:colOff>
                <xdr:row>14</xdr:row>
                <xdr:rowOff>47625</xdr:rowOff>
              </to>
            </anchor>
          </controlPr>
        </control>
      </mc:Choice>
      <mc:Fallback>
        <control shapeId="52235" r:id="rId30" name="PPH"/>
      </mc:Fallback>
    </mc:AlternateContent>
    <mc:AlternateContent xmlns:mc="http://schemas.openxmlformats.org/markup-compatibility/2006">
      <mc:Choice Requires="x14">
        <control shapeId="52234" r:id="rId32" name="FCU">
          <controlPr defaultSize="0" disabled="1" autoLine="0" r:id="rId33">
            <anchor moveWithCells="1">
              <from>
                <xdr:col>0</xdr:col>
                <xdr:colOff>19050</xdr:colOff>
                <xdr:row>7</xdr:row>
                <xdr:rowOff>152400</xdr:rowOff>
              </from>
              <to>
                <xdr:col>0</xdr:col>
                <xdr:colOff>2238375</xdr:colOff>
                <xdr:row>9</xdr:row>
                <xdr:rowOff>19050</xdr:rowOff>
              </to>
            </anchor>
          </controlPr>
        </control>
      </mc:Choice>
      <mc:Fallback>
        <control shapeId="52234" r:id="rId32" name="FCU"/>
      </mc:Fallback>
    </mc:AlternateContent>
    <mc:AlternateContent xmlns:mc="http://schemas.openxmlformats.org/markup-compatibility/2006">
      <mc:Choice Requires="x14">
        <control shapeId="52233" r:id="rId34" name="CM">
          <controlPr defaultSize="0" autoLine="0" r:id="rId35">
            <anchor moveWithCells="1">
              <from>
                <xdr:col>0</xdr:col>
                <xdr:colOff>19050</xdr:colOff>
                <xdr:row>6</xdr:row>
                <xdr:rowOff>152400</xdr:rowOff>
              </from>
              <to>
                <xdr:col>0</xdr:col>
                <xdr:colOff>2686050</xdr:colOff>
                <xdr:row>8</xdr:row>
                <xdr:rowOff>9525</xdr:rowOff>
              </to>
            </anchor>
          </controlPr>
        </control>
      </mc:Choice>
      <mc:Fallback>
        <control shapeId="52233" r:id="rId34" name="CM"/>
      </mc:Fallback>
    </mc:AlternateContent>
    <mc:AlternateContent xmlns:mc="http://schemas.openxmlformats.org/markup-compatibility/2006">
      <mc:Choice Requires="x14">
        <control shapeId="52232" r:id="rId36" name="AHU">
          <controlPr defaultSize="0" autoLine="0" r:id="rId37">
            <anchor moveWithCells="1">
              <from>
                <xdr:col>0</xdr:col>
                <xdr:colOff>19050</xdr:colOff>
                <xdr:row>5</xdr:row>
                <xdr:rowOff>171450</xdr:rowOff>
              </from>
              <to>
                <xdr:col>0</xdr:col>
                <xdr:colOff>2552700</xdr:colOff>
                <xdr:row>7</xdr:row>
                <xdr:rowOff>0</xdr:rowOff>
              </to>
            </anchor>
          </controlPr>
        </control>
      </mc:Choice>
      <mc:Fallback>
        <control shapeId="52232" r:id="rId36" name="AHU"/>
      </mc:Fallback>
    </mc:AlternateContent>
    <mc:AlternateContent xmlns:mc="http://schemas.openxmlformats.org/markup-compatibility/2006">
      <mc:Choice Requires="x14">
        <control shapeId="52231" r:id="rId38" name="RWC">
          <controlPr defaultSize="0" autoLine="0" r:id="rId39">
            <anchor moveWithCells="1">
              <from>
                <xdr:col>0</xdr:col>
                <xdr:colOff>19050</xdr:colOff>
                <xdr:row>3</xdr:row>
                <xdr:rowOff>19050</xdr:rowOff>
              </from>
              <to>
                <xdr:col>0</xdr:col>
                <xdr:colOff>2743200</xdr:colOff>
                <xdr:row>4</xdr:row>
                <xdr:rowOff>76200</xdr:rowOff>
              </to>
            </anchor>
          </controlPr>
        </control>
      </mc:Choice>
      <mc:Fallback>
        <control shapeId="52231" r:id="rId38" name="RWC"/>
      </mc:Fallback>
    </mc:AlternateContent>
    <mc:AlternateContent xmlns:mc="http://schemas.openxmlformats.org/markup-compatibility/2006">
      <mc:Choice Requires="x14">
        <control shapeId="52230" r:id="rId40" name="PSC">
          <controlPr defaultSize="0" autoLine="0" r:id="rId41">
            <anchor moveWithCells="1">
              <from>
                <xdr:col>0</xdr:col>
                <xdr:colOff>19050</xdr:colOff>
                <xdr:row>1</xdr:row>
                <xdr:rowOff>209550</xdr:rowOff>
              </from>
              <to>
                <xdr:col>0</xdr:col>
                <xdr:colOff>2457450</xdr:colOff>
                <xdr:row>3</xdr:row>
                <xdr:rowOff>57150</xdr:rowOff>
              </to>
            </anchor>
          </controlPr>
        </control>
      </mc:Choice>
      <mc:Fallback>
        <control shapeId="52230" r:id="rId40" name="PSC"/>
      </mc:Fallback>
    </mc:AlternateContent>
    <mc:AlternateContent xmlns:mc="http://schemas.openxmlformats.org/markup-compatibility/2006">
      <mc:Choice Requires="x14">
        <control shapeId="52229" r:id="rId42" name="APSA">
          <controlPr defaultSize="0" disabled="1" autoLine="0" r:id="rId43">
            <anchor moveWithCells="1">
              <from>
                <xdr:col>0</xdr:col>
                <xdr:colOff>19050</xdr:colOff>
                <xdr:row>0</xdr:row>
                <xdr:rowOff>228600</xdr:rowOff>
              </from>
              <to>
                <xdr:col>0</xdr:col>
                <xdr:colOff>2476500</xdr:colOff>
                <xdr:row>2</xdr:row>
                <xdr:rowOff>47625</xdr:rowOff>
              </to>
            </anchor>
          </controlPr>
        </control>
      </mc:Choice>
      <mc:Fallback>
        <control shapeId="52229" r:id="rId42" name="APSA"/>
      </mc:Fallback>
    </mc:AlternateContent>
    <mc:AlternateContent xmlns:mc="http://schemas.openxmlformats.org/markup-compatibility/2006">
      <mc:Choice Requires="x14">
        <control shapeId="52225" r:id="rId44" name="Hide">
          <controlPr defaultSize="0" autoLine="0" autoPict="0" r:id="rId45">
            <anchor moveWithCells="1">
              <from>
                <xdr:col>1</xdr:col>
                <xdr:colOff>9525</xdr:colOff>
                <xdr:row>0</xdr:row>
                <xdr:rowOff>0</xdr:rowOff>
              </from>
              <to>
                <xdr:col>1</xdr:col>
                <xdr:colOff>438150</xdr:colOff>
                <xdr:row>1</xdr:row>
                <xdr:rowOff>47625</xdr:rowOff>
              </to>
            </anchor>
          </controlPr>
        </control>
      </mc:Choice>
      <mc:Fallback>
        <control shapeId="52225" r:id="rId44" name="Hide"/>
      </mc:Fallback>
    </mc:AlternateContent>
    <mc:AlternateContent xmlns:mc="http://schemas.openxmlformats.org/markup-compatibility/2006">
      <mc:Choice Requires="x14">
        <control shapeId="52255" r:id="rId46" name="Comp_Brand">
          <controlPr defaultSize="0" autoLine="0" r:id="rId47">
            <anchor moveWithCells="1">
              <from>
                <xdr:col>0</xdr:col>
                <xdr:colOff>123825</xdr:colOff>
                <xdr:row>27</xdr:row>
                <xdr:rowOff>95250</xdr:rowOff>
              </from>
              <to>
                <xdr:col>0</xdr:col>
                <xdr:colOff>2714625</xdr:colOff>
                <xdr:row>29</xdr:row>
                <xdr:rowOff>9525</xdr:rowOff>
              </to>
            </anchor>
          </controlPr>
        </control>
      </mc:Choice>
      <mc:Fallback>
        <control shapeId="52255" r:id="rId46" name="Comp_Brand"/>
      </mc:Fallback>
    </mc:AlternateContent>
    <mc:AlternateContent xmlns:mc="http://schemas.openxmlformats.org/markup-compatibility/2006">
      <mc:Choice Requires="x14">
        <control shapeId="52256" r:id="rId48" name="Motor_Brand">
          <controlPr defaultSize="0" autoLine="0" r:id="rId49">
            <anchor moveWithCells="1">
              <from>
                <xdr:col>0</xdr:col>
                <xdr:colOff>123825</xdr:colOff>
                <xdr:row>29</xdr:row>
                <xdr:rowOff>133350</xdr:rowOff>
              </from>
              <to>
                <xdr:col>0</xdr:col>
                <xdr:colOff>2714625</xdr:colOff>
                <xdr:row>31</xdr:row>
                <xdr:rowOff>28575</xdr:rowOff>
              </to>
            </anchor>
          </controlPr>
        </control>
      </mc:Choice>
      <mc:Fallback>
        <control shapeId="52256" r:id="rId48" name="Motor_Brand"/>
      </mc:Fallback>
    </mc:AlternateContent>
    <mc:AlternateContent xmlns:mc="http://schemas.openxmlformats.org/markup-compatibility/2006">
      <mc:Choice Requires="x14">
        <control shapeId="52257" r:id="rId50" name="CF_Brand">
          <controlPr defaultSize="0" autoLine="0" r:id="rId51">
            <anchor moveWithCells="1">
              <from>
                <xdr:col>0</xdr:col>
                <xdr:colOff>123825</xdr:colOff>
                <xdr:row>34</xdr:row>
                <xdr:rowOff>28575</xdr:rowOff>
              </from>
              <to>
                <xdr:col>0</xdr:col>
                <xdr:colOff>2714625</xdr:colOff>
                <xdr:row>35</xdr:row>
                <xdr:rowOff>123825</xdr:rowOff>
              </to>
            </anchor>
          </controlPr>
        </control>
      </mc:Choice>
      <mc:Fallback>
        <control shapeId="52257" r:id="rId50" name="CF_Brand"/>
      </mc:Fallback>
    </mc:AlternateContent>
    <mc:AlternateContent xmlns:mc="http://schemas.openxmlformats.org/markup-compatibility/2006">
      <mc:Choice Requires="x14">
        <control shapeId="52259" r:id="rId52" name="PASC_CM_Ceiling_elec">
          <controlPr defaultSize="0" autoLine="0" r:id="rId53">
            <anchor moveWithCells="1">
              <from>
                <xdr:col>0</xdr:col>
                <xdr:colOff>9525</xdr:colOff>
                <xdr:row>23</xdr:row>
                <xdr:rowOff>123825</xdr:rowOff>
              </from>
              <to>
                <xdr:col>0</xdr:col>
                <xdr:colOff>3219450</xdr:colOff>
                <xdr:row>24</xdr:row>
                <xdr:rowOff>152400</xdr:rowOff>
              </to>
            </anchor>
          </controlPr>
        </control>
      </mc:Choice>
      <mc:Fallback>
        <control shapeId="52259" r:id="rId52" name="PASC_CM_Ceiling_elec"/>
      </mc:Fallback>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0CBAB-29B0-4633-870B-C5CA5ED31A4B}">
  <sheetPr codeName="Sheet1"/>
  <dimension ref="A1:R32"/>
  <sheetViews>
    <sheetView zoomScale="130" zoomScaleNormal="130" workbookViewId="0">
      <selection activeCell="K10" sqref="K10"/>
    </sheetView>
  </sheetViews>
  <sheetFormatPr defaultRowHeight="15"/>
  <cols>
    <col min="1" max="1" width="11" bestFit="1" customWidth="1"/>
    <col min="2" max="2" width="13.140625" customWidth="1"/>
    <col min="3" max="3" width="11.28515625" customWidth="1"/>
    <col min="17" max="17" width="11.140625" bestFit="1" customWidth="1"/>
    <col min="257" max="257" width="11" bestFit="1" customWidth="1"/>
    <col min="258" max="258" width="13.140625" customWidth="1"/>
    <col min="259" max="259" width="11.28515625" customWidth="1"/>
    <col min="273" max="273" width="11.140625" bestFit="1" customWidth="1"/>
    <col min="513" max="513" width="11" bestFit="1" customWidth="1"/>
    <col min="514" max="514" width="13.140625" customWidth="1"/>
    <col min="515" max="515" width="11.28515625" customWidth="1"/>
    <col min="529" max="529" width="11.140625" bestFit="1" customWidth="1"/>
    <col min="769" max="769" width="11" bestFit="1" customWidth="1"/>
    <col min="770" max="770" width="13.140625" customWidth="1"/>
    <col min="771" max="771" width="11.28515625" customWidth="1"/>
    <col min="785" max="785" width="11.140625" bestFit="1" customWidth="1"/>
    <col min="1025" max="1025" width="11" bestFit="1" customWidth="1"/>
    <col min="1026" max="1026" width="13.140625" customWidth="1"/>
    <col min="1027" max="1027" width="11.28515625" customWidth="1"/>
    <col min="1041" max="1041" width="11.140625" bestFit="1" customWidth="1"/>
    <col min="1281" max="1281" width="11" bestFit="1" customWidth="1"/>
    <col min="1282" max="1282" width="13.140625" customWidth="1"/>
    <col min="1283" max="1283" width="11.28515625" customWidth="1"/>
    <col min="1297" max="1297" width="11.140625" bestFit="1" customWidth="1"/>
    <col min="1537" max="1537" width="11" bestFit="1" customWidth="1"/>
    <col min="1538" max="1538" width="13.140625" customWidth="1"/>
    <col min="1539" max="1539" width="11.28515625" customWidth="1"/>
    <col min="1553" max="1553" width="11.140625" bestFit="1" customWidth="1"/>
    <col min="1793" max="1793" width="11" bestFit="1" customWidth="1"/>
    <col min="1794" max="1794" width="13.140625" customWidth="1"/>
    <col min="1795" max="1795" width="11.28515625" customWidth="1"/>
    <col min="1809" max="1809" width="11.140625" bestFit="1" customWidth="1"/>
    <col min="2049" max="2049" width="11" bestFit="1" customWidth="1"/>
    <col min="2050" max="2050" width="13.140625" customWidth="1"/>
    <col min="2051" max="2051" width="11.28515625" customWidth="1"/>
    <col min="2065" max="2065" width="11.140625" bestFit="1" customWidth="1"/>
    <col min="2305" max="2305" width="11" bestFit="1" customWidth="1"/>
    <col min="2306" max="2306" width="13.140625" customWidth="1"/>
    <col min="2307" max="2307" width="11.28515625" customWidth="1"/>
    <col min="2321" max="2321" width="11.140625" bestFit="1" customWidth="1"/>
    <col min="2561" max="2561" width="11" bestFit="1" customWidth="1"/>
    <col min="2562" max="2562" width="13.140625" customWidth="1"/>
    <col min="2563" max="2563" width="11.28515625" customWidth="1"/>
    <col min="2577" max="2577" width="11.140625" bestFit="1" customWidth="1"/>
    <col min="2817" max="2817" width="11" bestFit="1" customWidth="1"/>
    <col min="2818" max="2818" width="13.140625" customWidth="1"/>
    <col min="2819" max="2819" width="11.28515625" customWidth="1"/>
    <col min="2833" max="2833" width="11.140625" bestFit="1" customWidth="1"/>
    <col min="3073" max="3073" width="11" bestFit="1" customWidth="1"/>
    <col min="3074" max="3074" width="13.140625" customWidth="1"/>
    <col min="3075" max="3075" width="11.28515625" customWidth="1"/>
    <col min="3089" max="3089" width="11.140625" bestFit="1" customWidth="1"/>
    <col min="3329" max="3329" width="11" bestFit="1" customWidth="1"/>
    <col min="3330" max="3330" width="13.140625" customWidth="1"/>
    <col min="3331" max="3331" width="11.28515625" customWidth="1"/>
    <col min="3345" max="3345" width="11.140625" bestFit="1" customWidth="1"/>
    <col min="3585" max="3585" width="11" bestFit="1" customWidth="1"/>
    <col min="3586" max="3586" width="13.140625" customWidth="1"/>
    <col min="3587" max="3587" width="11.28515625" customWidth="1"/>
    <col min="3601" max="3601" width="11.140625" bestFit="1" customWidth="1"/>
    <col min="3841" max="3841" width="11" bestFit="1" customWidth="1"/>
    <col min="3842" max="3842" width="13.140625" customWidth="1"/>
    <col min="3843" max="3843" width="11.28515625" customWidth="1"/>
    <col min="3857" max="3857" width="11.140625" bestFit="1" customWidth="1"/>
    <col min="4097" max="4097" width="11" bestFit="1" customWidth="1"/>
    <col min="4098" max="4098" width="13.140625" customWidth="1"/>
    <col min="4099" max="4099" width="11.28515625" customWidth="1"/>
    <col min="4113" max="4113" width="11.140625" bestFit="1" customWidth="1"/>
    <col min="4353" max="4353" width="11" bestFit="1" customWidth="1"/>
    <col min="4354" max="4354" width="13.140625" customWidth="1"/>
    <col min="4355" max="4355" width="11.28515625" customWidth="1"/>
    <col min="4369" max="4369" width="11.140625" bestFit="1" customWidth="1"/>
    <col min="4609" max="4609" width="11" bestFit="1" customWidth="1"/>
    <col min="4610" max="4610" width="13.140625" customWidth="1"/>
    <col min="4611" max="4611" width="11.28515625" customWidth="1"/>
    <col min="4625" max="4625" width="11.140625" bestFit="1" customWidth="1"/>
    <col min="4865" max="4865" width="11" bestFit="1" customWidth="1"/>
    <col min="4866" max="4866" width="13.140625" customWidth="1"/>
    <col min="4867" max="4867" width="11.28515625" customWidth="1"/>
    <col min="4881" max="4881" width="11.140625" bestFit="1" customWidth="1"/>
    <col min="5121" max="5121" width="11" bestFit="1" customWidth="1"/>
    <col min="5122" max="5122" width="13.140625" customWidth="1"/>
    <col min="5123" max="5123" width="11.28515625" customWidth="1"/>
    <col min="5137" max="5137" width="11.140625" bestFit="1" customWidth="1"/>
    <col min="5377" max="5377" width="11" bestFit="1" customWidth="1"/>
    <col min="5378" max="5378" width="13.140625" customWidth="1"/>
    <col min="5379" max="5379" width="11.28515625" customWidth="1"/>
    <col min="5393" max="5393" width="11.140625" bestFit="1" customWidth="1"/>
    <col min="5633" max="5633" width="11" bestFit="1" customWidth="1"/>
    <col min="5634" max="5634" width="13.140625" customWidth="1"/>
    <col min="5635" max="5635" width="11.28515625" customWidth="1"/>
    <col min="5649" max="5649" width="11.140625" bestFit="1" customWidth="1"/>
    <col min="5889" max="5889" width="11" bestFit="1" customWidth="1"/>
    <col min="5890" max="5890" width="13.140625" customWidth="1"/>
    <col min="5891" max="5891" width="11.28515625" customWidth="1"/>
    <col min="5905" max="5905" width="11.140625" bestFit="1" customWidth="1"/>
    <col min="6145" max="6145" width="11" bestFit="1" customWidth="1"/>
    <col min="6146" max="6146" width="13.140625" customWidth="1"/>
    <col min="6147" max="6147" width="11.28515625" customWidth="1"/>
    <col min="6161" max="6161" width="11.140625" bestFit="1" customWidth="1"/>
    <col min="6401" max="6401" width="11" bestFit="1" customWidth="1"/>
    <col min="6402" max="6402" width="13.140625" customWidth="1"/>
    <col min="6403" max="6403" width="11.28515625" customWidth="1"/>
    <col min="6417" max="6417" width="11.140625" bestFit="1" customWidth="1"/>
    <col min="6657" max="6657" width="11" bestFit="1" customWidth="1"/>
    <col min="6658" max="6658" width="13.140625" customWidth="1"/>
    <col min="6659" max="6659" width="11.28515625" customWidth="1"/>
    <col min="6673" max="6673" width="11.140625" bestFit="1" customWidth="1"/>
    <col min="6913" max="6913" width="11" bestFit="1" customWidth="1"/>
    <col min="6914" max="6914" width="13.140625" customWidth="1"/>
    <col min="6915" max="6915" width="11.28515625" customWidth="1"/>
    <col min="6929" max="6929" width="11.140625" bestFit="1" customWidth="1"/>
    <col min="7169" max="7169" width="11" bestFit="1" customWidth="1"/>
    <col min="7170" max="7170" width="13.140625" customWidth="1"/>
    <col min="7171" max="7171" width="11.28515625" customWidth="1"/>
    <col min="7185" max="7185" width="11.140625" bestFit="1" customWidth="1"/>
    <col min="7425" max="7425" width="11" bestFit="1" customWidth="1"/>
    <col min="7426" max="7426" width="13.140625" customWidth="1"/>
    <col min="7427" max="7427" width="11.28515625" customWidth="1"/>
    <col min="7441" max="7441" width="11.140625" bestFit="1" customWidth="1"/>
    <col min="7681" max="7681" width="11" bestFit="1" customWidth="1"/>
    <col min="7682" max="7682" width="13.140625" customWidth="1"/>
    <col min="7683" max="7683" width="11.28515625" customWidth="1"/>
    <col min="7697" max="7697" width="11.140625" bestFit="1" customWidth="1"/>
    <col min="7937" max="7937" width="11" bestFit="1" customWidth="1"/>
    <col min="7938" max="7938" width="13.140625" customWidth="1"/>
    <col min="7939" max="7939" width="11.28515625" customWidth="1"/>
    <col min="7953" max="7953" width="11.140625" bestFit="1" customWidth="1"/>
    <col min="8193" max="8193" width="11" bestFit="1" customWidth="1"/>
    <col min="8194" max="8194" width="13.140625" customWidth="1"/>
    <col min="8195" max="8195" width="11.28515625" customWidth="1"/>
    <col min="8209" max="8209" width="11.140625" bestFit="1" customWidth="1"/>
    <col min="8449" max="8449" width="11" bestFit="1" customWidth="1"/>
    <col min="8450" max="8450" width="13.140625" customWidth="1"/>
    <col min="8451" max="8451" width="11.28515625" customWidth="1"/>
    <col min="8465" max="8465" width="11.140625" bestFit="1" customWidth="1"/>
    <col min="8705" max="8705" width="11" bestFit="1" customWidth="1"/>
    <col min="8706" max="8706" width="13.140625" customWidth="1"/>
    <col min="8707" max="8707" width="11.28515625" customWidth="1"/>
    <col min="8721" max="8721" width="11.140625" bestFit="1" customWidth="1"/>
    <col min="8961" max="8961" width="11" bestFit="1" customWidth="1"/>
    <col min="8962" max="8962" width="13.140625" customWidth="1"/>
    <col min="8963" max="8963" width="11.28515625" customWidth="1"/>
    <col min="8977" max="8977" width="11.140625" bestFit="1" customWidth="1"/>
    <col min="9217" max="9217" width="11" bestFit="1" customWidth="1"/>
    <col min="9218" max="9218" width="13.140625" customWidth="1"/>
    <col min="9219" max="9219" width="11.28515625" customWidth="1"/>
    <col min="9233" max="9233" width="11.140625" bestFit="1" customWidth="1"/>
    <col min="9473" max="9473" width="11" bestFit="1" customWidth="1"/>
    <col min="9474" max="9474" width="13.140625" customWidth="1"/>
    <col min="9475" max="9475" width="11.28515625" customWidth="1"/>
    <col min="9489" max="9489" width="11.140625" bestFit="1" customWidth="1"/>
    <col min="9729" max="9729" width="11" bestFit="1" customWidth="1"/>
    <col min="9730" max="9730" width="13.140625" customWidth="1"/>
    <col min="9731" max="9731" width="11.28515625" customWidth="1"/>
    <col min="9745" max="9745" width="11.140625" bestFit="1" customWidth="1"/>
    <col min="9985" max="9985" width="11" bestFit="1" customWidth="1"/>
    <col min="9986" max="9986" width="13.140625" customWidth="1"/>
    <col min="9987" max="9987" width="11.28515625" customWidth="1"/>
    <col min="10001" max="10001" width="11.140625" bestFit="1" customWidth="1"/>
    <col min="10241" max="10241" width="11" bestFit="1" customWidth="1"/>
    <col min="10242" max="10242" width="13.140625" customWidth="1"/>
    <col min="10243" max="10243" width="11.28515625" customWidth="1"/>
    <col min="10257" max="10257" width="11.140625" bestFit="1" customWidth="1"/>
    <col min="10497" max="10497" width="11" bestFit="1" customWidth="1"/>
    <col min="10498" max="10498" width="13.140625" customWidth="1"/>
    <col min="10499" max="10499" width="11.28515625" customWidth="1"/>
    <col min="10513" max="10513" width="11.140625" bestFit="1" customWidth="1"/>
    <col min="10753" max="10753" width="11" bestFit="1" customWidth="1"/>
    <col min="10754" max="10754" width="13.140625" customWidth="1"/>
    <col min="10755" max="10755" width="11.28515625" customWidth="1"/>
    <col min="10769" max="10769" width="11.140625" bestFit="1" customWidth="1"/>
    <col min="11009" max="11009" width="11" bestFit="1" customWidth="1"/>
    <col min="11010" max="11010" width="13.140625" customWidth="1"/>
    <col min="11011" max="11011" width="11.28515625" customWidth="1"/>
    <col min="11025" max="11025" width="11.140625" bestFit="1" customWidth="1"/>
    <col min="11265" max="11265" width="11" bestFit="1" customWidth="1"/>
    <col min="11266" max="11266" width="13.140625" customWidth="1"/>
    <col min="11267" max="11267" width="11.28515625" customWidth="1"/>
    <col min="11281" max="11281" width="11.140625" bestFit="1" customWidth="1"/>
    <col min="11521" max="11521" width="11" bestFit="1" customWidth="1"/>
    <col min="11522" max="11522" width="13.140625" customWidth="1"/>
    <col min="11523" max="11523" width="11.28515625" customWidth="1"/>
    <col min="11537" max="11537" width="11.140625" bestFit="1" customWidth="1"/>
    <col min="11777" max="11777" width="11" bestFit="1" customWidth="1"/>
    <col min="11778" max="11778" width="13.140625" customWidth="1"/>
    <col min="11779" max="11779" width="11.28515625" customWidth="1"/>
    <col min="11793" max="11793" width="11.140625" bestFit="1" customWidth="1"/>
    <col min="12033" max="12033" width="11" bestFit="1" customWidth="1"/>
    <col min="12034" max="12034" width="13.140625" customWidth="1"/>
    <col min="12035" max="12035" width="11.28515625" customWidth="1"/>
    <col min="12049" max="12049" width="11.140625" bestFit="1" customWidth="1"/>
    <col min="12289" max="12289" width="11" bestFit="1" customWidth="1"/>
    <col min="12290" max="12290" width="13.140625" customWidth="1"/>
    <col min="12291" max="12291" width="11.28515625" customWidth="1"/>
    <col min="12305" max="12305" width="11.140625" bestFit="1" customWidth="1"/>
    <col min="12545" max="12545" width="11" bestFit="1" customWidth="1"/>
    <col min="12546" max="12546" width="13.140625" customWidth="1"/>
    <col min="12547" max="12547" width="11.28515625" customWidth="1"/>
    <col min="12561" max="12561" width="11.140625" bestFit="1" customWidth="1"/>
    <col min="12801" max="12801" width="11" bestFit="1" customWidth="1"/>
    <col min="12802" max="12802" width="13.140625" customWidth="1"/>
    <col min="12803" max="12803" width="11.28515625" customWidth="1"/>
    <col min="12817" max="12817" width="11.140625" bestFit="1" customWidth="1"/>
    <col min="13057" max="13057" width="11" bestFit="1" customWidth="1"/>
    <col min="13058" max="13058" width="13.140625" customWidth="1"/>
    <col min="13059" max="13059" width="11.28515625" customWidth="1"/>
    <col min="13073" max="13073" width="11.140625" bestFit="1" customWidth="1"/>
    <col min="13313" max="13313" width="11" bestFit="1" customWidth="1"/>
    <col min="13314" max="13314" width="13.140625" customWidth="1"/>
    <col min="13315" max="13315" width="11.28515625" customWidth="1"/>
    <col min="13329" max="13329" width="11.140625" bestFit="1" customWidth="1"/>
    <col min="13569" max="13569" width="11" bestFit="1" customWidth="1"/>
    <col min="13570" max="13570" width="13.140625" customWidth="1"/>
    <col min="13571" max="13571" width="11.28515625" customWidth="1"/>
    <col min="13585" max="13585" width="11.140625" bestFit="1" customWidth="1"/>
    <col min="13825" max="13825" width="11" bestFit="1" customWidth="1"/>
    <col min="13826" max="13826" width="13.140625" customWidth="1"/>
    <col min="13827" max="13827" width="11.28515625" customWidth="1"/>
    <col min="13841" max="13841" width="11.140625" bestFit="1" customWidth="1"/>
    <col min="14081" max="14081" width="11" bestFit="1" customWidth="1"/>
    <col min="14082" max="14082" width="13.140625" customWidth="1"/>
    <col min="14083" max="14083" width="11.28515625" customWidth="1"/>
    <col min="14097" max="14097" width="11.140625" bestFit="1" customWidth="1"/>
    <col min="14337" max="14337" width="11" bestFit="1" customWidth="1"/>
    <col min="14338" max="14338" width="13.140625" customWidth="1"/>
    <col min="14339" max="14339" width="11.28515625" customWidth="1"/>
    <col min="14353" max="14353" width="11.140625" bestFit="1" customWidth="1"/>
    <col min="14593" max="14593" width="11" bestFit="1" customWidth="1"/>
    <col min="14594" max="14594" width="13.140625" customWidth="1"/>
    <col min="14595" max="14595" width="11.28515625" customWidth="1"/>
    <col min="14609" max="14609" width="11.140625" bestFit="1" customWidth="1"/>
    <col min="14849" max="14849" width="11" bestFit="1" customWidth="1"/>
    <col min="14850" max="14850" width="13.140625" customWidth="1"/>
    <col min="14851" max="14851" width="11.28515625" customWidth="1"/>
    <col min="14865" max="14865" width="11.140625" bestFit="1" customWidth="1"/>
    <col min="15105" max="15105" width="11" bestFit="1" customWidth="1"/>
    <col min="15106" max="15106" width="13.140625" customWidth="1"/>
    <col min="15107" max="15107" width="11.28515625" customWidth="1"/>
    <col min="15121" max="15121" width="11.140625" bestFit="1" customWidth="1"/>
    <col min="15361" max="15361" width="11" bestFit="1" customWidth="1"/>
    <col min="15362" max="15362" width="13.140625" customWidth="1"/>
    <col min="15363" max="15363" width="11.28515625" customWidth="1"/>
    <col min="15377" max="15377" width="11.140625" bestFit="1" customWidth="1"/>
    <col min="15617" max="15617" width="11" bestFit="1" customWidth="1"/>
    <col min="15618" max="15618" width="13.140625" customWidth="1"/>
    <col min="15619" max="15619" width="11.28515625" customWidth="1"/>
    <col min="15633" max="15633" width="11.140625" bestFit="1" customWidth="1"/>
    <col min="15873" max="15873" width="11" bestFit="1" customWidth="1"/>
    <col min="15874" max="15874" width="13.140625" customWidth="1"/>
    <col min="15875" max="15875" width="11.28515625" customWidth="1"/>
    <col min="15889" max="15889" width="11.140625" bestFit="1" customWidth="1"/>
    <col min="16129" max="16129" width="11" bestFit="1" customWidth="1"/>
    <col min="16130" max="16130" width="13.140625" customWidth="1"/>
    <col min="16131" max="16131" width="11.28515625" customWidth="1"/>
    <col min="16145" max="16145" width="11.140625" bestFit="1" customWidth="1"/>
  </cols>
  <sheetData>
    <row r="1" spans="1:18">
      <c r="A1" s="1847" t="s">
        <v>3526</v>
      </c>
      <c r="B1" s="1847"/>
      <c r="C1" s="1847"/>
      <c r="D1" s="1847"/>
      <c r="E1" s="1847"/>
    </row>
    <row r="2" spans="1:18">
      <c r="A2" s="1477"/>
      <c r="B2" s="1477"/>
      <c r="C2" s="1478" t="s">
        <v>3527</v>
      </c>
      <c r="D2" s="1477"/>
      <c r="E2" s="1477"/>
    </row>
    <row r="3" spans="1:18">
      <c r="A3" t="s">
        <v>3528</v>
      </c>
      <c r="C3" s="1479" t="s">
        <v>3529</v>
      </c>
    </row>
    <row r="4" spans="1:18">
      <c r="A4" t="s">
        <v>3530</v>
      </c>
      <c r="C4" s="1479" t="s">
        <v>3531</v>
      </c>
    </row>
    <row r="5" spans="1:18">
      <c r="A5" t="s">
        <v>3532</v>
      </c>
      <c r="C5" s="1479"/>
    </row>
    <row r="6" spans="1:18" ht="15.75" thickBot="1">
      <c r="Q6" s="299" t="s">
        <v>3533</v>
      </c>
      <c r="R6" s="299" t="s">
        <v>3534</v>
      </c>
    </row>
    <row r="7" spans="1:18" ht="15.75" thickTop="1">
      <c r="A7" s="1480" t="s">
        <v>3535</v>
      </c>
      <c r="B7" s="1481"/>
      <c r="C7" s="1481"/>
      <c r="D7" s="1481"/>
      <c r="E7" s="1481"/>
      <c r="P7" t="s">
        <v>3536</v>
      </c>
      <c r="Q7" s="299">
        <v>4</v>
      </c>
      <c r="R7" s="299">
        <v>94.7</v>
      </c>
    </row>
    <row r="8" spans="1:18" ht="18.75" thickBot="1">
      <c r="A8" s="1842" t="s">
        <v>3537</v>
      </c>
      <c r="B8" s="1843" t="s">
        <v>3538</v>
      </c>
      <c r="C8" s="1843"/>
      <c r="G8" t="s">
        <v>3539</v>
      </c>
      <c r="H8" t="s">
        <v>3540</v>
      </c>
      <c r="I8" t="s">
        <v>3541</v>
      </c>
      <c r="Q8" s="299">
        <v>6</v>
      </c>
      <c r="R8" s="299">
        <v>88.5</v>
      </c>
    </row>
    <row r="9" spans="1:18" ht="18">
      <c r="A9" s="1842"/>
      <c r="B9" s="1844" t="s">
        <v>3542</v>
      </c>
      <c r="C9" s="1844"/>
      <c r="G9" t="s">
        <v>3543</v>
      </c>
      <c r="H9" t="s">
        <v>3544</v>
      </c>
      <c r="Q9" s="299">
        <v>8</v>
      </c>
      <c r="R9" s="299">
        <v>84.6</v>
      </c>
    </row>
    <row r="10" spans="1:18">
      <c r="Q10" s="299" t="s">
        <v>3545</v>
      </c>
      <c r="R10" s="299">
        <v>80.7</v>
      </c>
    </row>
    <row r="11" spans="1:18">
      <c r="A11" s="555" t="s">
        <v>3546</v>
      </c>
      <c r="B11" s="1845" t="s">
        <v>737</v>
      </c>
      <c r="C11" s="1846"/>
      <c r="D11" s="555" t="s">
        <v>3547</v>
      </c>
      <c r="G11" s="555" t="s">
        <v>3548</v>
      </c>
      <c r="H11" s="555" t="s">
        <v>2618</v>
      </c>
      <c r="I11" s="299" t="s">
        <v>98</v>
      </c>
      <c r="K11" s="555" t="s">
        <v>3548</v>
      </c>
      <c r="L11" s="555" t="s">
        <v>2618</v>
      </c>
      <c r="M11" s="299" t="s">
        <v>98</v>
      </c>
    </row>
    <row r="12" spans="1:18">
      <c r="A12" s="555">
        <v>52</v>
      </c>
      <c r="B12" s="1841">
        <v>100</v>
      </c>
      <c r="C12" s="1841"/>
      <c r="D12" s="555">
        <f>B12/25</f>
        <v>4</v>
      </c>
      <c r="G12" s="555" t="s">
        <v>2655</v>
      </c>
      <c r="H12" s="1483">
        <v>115</v>
      </c>
      <c r="I12" s="299" t="s">
        <v>3549</v>
      </c>
      <c r="K12" s="555" t="s">
        <v>2655</v>
      </c>
      <c r="L12" s="555">
        <v>92.119</v>
      </c>
      <c r="M12" s="299" t="s">
        <v>3549</v>
      </c>
    </row>
    <row r="13" spans="1:18">
      <c r="A13" s="555">
        <v>68</v>
      </c>
      <c r="B13" s="1845">
        <v>150</v>
      </c>
      <c r="C13" s="1846"/>
      <c r="D13" s="555">
        <f>B13/25</f>
        <v>6</v>
      </c>
      <c r="G13" s="555" t="s">
        <v>2656</v>
      </c>
      <c r="H13" s="1483">
        <v>76</v>
      </c>
      <c r="I13" s="299" t="s">
        <v>3549</v>
      </c>
      <c r="K13" s="555" t="s">
        <v>2656</v>
      </c>
      <c r="L13" s="555">
        <v>73.185000000000002</v>
      </c>
      <c r="M13" s="299" t="s">
        <v>3549</v>
      </c>
    </row>
    <row r="14" spans="1:18">
      <c r="A14" s="555">
        <v>78</v>
      </c>
      <c r="B14" s="1841">
        <v>200</v>
      </c>
      <c r="C14" s="1841"/>
      <c r="D14" s="555">
        <f>B14/25</f>
        <v>8</v>
      </c>
      <c r="G14" s="555" t="s">
        <v>3550</v>
      </c>
      <c r="H14" s="1483" t="s">
        <v>3551</v>
      </c>
      <c r="I14" s="299" t="s">
        <v>3552</v>
      </c>
      <c r="K14" s="555" t="s">
        <v>3550</v>
      </c>
      <c r="L14" s="555" t="s">
        <v>3551</v>
      </c>
      <c r="M14" s="299" t="s">
        <v>3552</v>
      </c>
    </row>
    <row r="15" spans="1:18">
      <c r="A15" s="555">
        <v>88</v>
      </c>
      <c r="B15" s="1841">
        <v>300</v>
      </c>
      <c r="C15" s="1841"/>
      <c r="D15" s="555">
        <f>B15/25</f>
        <v>12</v>
      </c>
      <c r="G15" s="555" t="s">
        <v>3546</v>
      </c>
      <c r="H15" s="1483">
        <v>88</v>
      </c>
      <c r="I15" s="299" t="s">
        <v>3553</v>
      </c>
      <c r="K15" s="555" t="s">
        <v>3546</v>
      </c>
      <c r="L15" s="555">
        <v>88</v>
      </c>
      <c r="M15" s="299" t="s">
        <v>3553</v>
      </c>
      <c r="O15" s="555" t="s">
        <v>3549</v>
      </c>
    </row>
    <row r="16" spans="1:18" ht="15.75" thickBot="1">
      <c r="G16" s="555" t="s">
        <v>3543</v>
      </c>
      <c r="H16" s="1444">
        <f>-(H15/100*(H12-H13)-H12)</f>
        <v>80.680000000000007</v>
      </c>
      <c r="I16" s="299" t="s">
        <v>3549</v>
      </c>
      <c r="K16" s="555" t="s">
        <v>3543</v>
      </c>
      <c r="L16" s="1444">
        <f>-(L15/100*(L12-L13)-L12)</f>
        <v>75.457080000000005</v>
      </c>
      <c r="M16" s="299" t="s">
        <v>3549</v>
      </c>
      <c r="O16" s="1357">
        <f>(L16-32)/1.8</f>
        <v>24.142822222222225</v>
      </c>
    </row>
    <row r="17" spans="1:15" ht="15.75" thickTop="1">
      <c r="A17" s="1480" t="s">
        <v>3554</v>
      </c>
      <c r="B17" s="1481"/>
      <c r="C17" s="1481"/>
      <c r="D17" s="1481"/>
      <c r="E17" s="1481"/>
      <c r="G17" s="555" t="s">
        <v>3555</v>
      </c>
      <c r="H17" s="299">
        <f>H13</f>
        <v>76</v>
      </c>
      <c r="I17" s="299" t="s">
        <v>3549</v>
      </c>
      <c r="K17" s="555" t="s">
        <v>3555</v>
      </c>
      <c r="L17" s="299">
        <f>L13</f>
        <v>73.185000000000002</v>
      </c>
      <c r="M17" s="299" t="s">
        <v>3549</v>
      </c>
      <c r="O17" s="1357">
        <f>(L17-32)/1.8</f>
        <v>22.880555555555556</v>
      </c>
    </row>
    <row r="18" spans="1:15" ht="18">
      <c r="A18" s="555" t="s">
        <v>3556</v>
      </c>
      <c r="B18" s="1845" t="s">
        <v>3557</v>
      </c>
      <c r="C18" s="1846"/>
      <c r="D18" s="555" t="s">
        <v>3558</v>
      </c>
      <c r="E18" s="555" t="s">
        <v>1716</v>
      </c>
    </row>
    <row r="19" spans="1:15" ht="18.75" thickBot="1">
      <c r="A19" s="1391">
        <v>755.12</v>
      </c>
      <c r="B19" s="1841">
        <v>0.69</v>
      </c>
      <c r="C19" s="1841"/>
      <c r="D19" s="1484">
        <f>B19/3.6</f>
        <v>0.19166666666666665</v>
      </c>
      <c r="E19" s="555"/>
      <c r="G19" s="1842" t="s">
        <v>3537</v>
      </c>
      <c r="H19" s="1843" t="s">
        <v>3538</v>
      </c>
      <c r="I19" s="1843"/>
      <c r="K19" s="555" t="s">
        <v>3548</v>
      </c>
      <c r="L19" s="555" t="s">
        <v>2618</v>
      </c>
      <c r="M19" s="299" t="s">
        <v>98</v>
      </c>
    </row>
    <row r="20" spans="1:15" ht="18">
      <c r="A20" s="1391">
        <v>1132.67</v>
      </c>
      <c r="B20" s="1841">
        <v>0.87</v>
      </c>
      <c r="C20" s="1841"/>
      <c r="D20" s="1484">
        <f t="shared" ref="D20:D26" si="0">B20/3.6</f>
        <v>0.24166666666666667</v>
      </c>
      <c r="E20" s="555"/>
      <c r="G20" s="1842"/>
      <c r="H20" s="1844" t="s">
        <v>3542</v>
      </c>
      <c r="I20" s="1844"/>
      <c r="K20" s="555" t="s">
        <v>2655</v>
      </c>
      <c r="L20" s="555">
        <v>92.143000000000001</v>
      </c>
      <c r="M20" s="299" t="s">
        <v>3549</v>
      </c>
    </row>
    <row r="21" spans="1:15">
      <c r="A21" s="1391">
        <v>2926.07</v>
      </c>
      <c r="B21" s="1841">
        <v>1.33</v>
      </c>
      <c r="C21" s="1841"/>
      <c r="D21" s="1484">
        <f t="shared" si="0"/>
        <v>0.36944444444444446</v>
      </c>
      <c r="E21" s="555">
        <v>6.2E-2</v>
      </c>
      <c r="K21" s="555" t="s">
        <v>2656</v>
      </c>
      <c r="L21" s="555">
        <v>73.191000000000003</v>
      </c>
      <c r="M21" s="299" t="s">
        <v>3549</v>
      </c>
    </row>
    <row r="22" spans="1:15">
      <c r="A22" s="1391">
        <v>3775.58</v>
      </c>
      <c r="B22" s="1841">
        <v>1.72</v>
      </c>
      <c r="C22" s="1841"/>
      <c r="D22" s="1484">
        <f t="shared" si="0"/>
        <v>0.47777777777777775</v>
      </c>
      <c r="E22" s="555">
        <v>6.2E-2</v>
      </c>
      <c r="K22" s="555" t="s">
        <v>3550</v>
      </c>
      <c r="L22" s="555" t="s">
        <v>3551</v>
      </c>
      <c r="M22" s="299" t="s">
        <v>3552</v>
      </c>
    </row>
    <row r="23" spans="1:15">
      <c r="A23" s="1391">
        <v>9438.9500000000007</v>
      </c>
      <c r="B23" s="1841">
        <v>2.17</v>
      </c>
      <c r="C23" s="1841"/>
      <c r="D23" s="1484">
        <f t="shared" si="0"/>
        <v>0.60277777777777775</v>
      </c>
      <c r="E23" s="555">
        <v>6.2E-2</v>
      </c>
      <c r="K23" s="555" t="s">
        <v>3546</v>
      </c>
      <c r="L23" s="555">
        <v>88</v>
      </c>
      <c r="M23" s="299" t="s">
        <v>3553</v>
      </c>
      <c r="O23" s="555" t="s">
        <v>3549</v>
      </c>
    </row>
    <row r="24" spans="1:15">
      <c r="A24" s="1391">
        <v>11798.69</v>
      </c>
      <c r="B24" s="1841">
        <v>2.75</v>
      </c>
      <c r="C24" s="1841"/>
      <c r="D24" s="1484">
        <f t="shared" si="0"/>
        <v>0.76388888888888884</v>
      </c>
      <c r="E24" s="555">
        <v>6.2E-2</v>
      </c>
      <c r="G24" s="555" t="s">
        <v>3548</v>
      </c>
      <c r="H24" s="555" t="s">
        <v>2618</v>
      </c>
      <c r="I24" s="299" t="s">
        <v>98</v>
      </c>
      <c r="K24" s="555" t="s">
        <v>3543</v>
      </c>
      <c r="L24" s="1444">
        <f>-(L23/100*(L20-L21)-L20)</f>
        <v>75.465239999999994</v>
      </c>
      <c r="M24" s="299" t="s">
        <v>3549</v>
      </c>
      <c r="O24" s="1357">
        <f>(L24-32)/1.8</f>
        <v>24.147355555555553</v>
      </c>
    </row>
    <row r="25" spans="1:15">
      <c r="A25" s="1391">
        <v>15102.32</v>
      </c>
      <c r="B25" s="1841">
        <v>3.66</v>
      </c>
      <c r="C25" s="1841"/>
      <c r="D25" s="1484">
        <f t="shared" si="0"/>
        <v>1.0166666666666666</v>
      </c>
      <c r="E25" s="555">
        <v>9.2999999999999999E-2</v>
      </c>
      <c r="G25" s="555" t="s">
        <v>2655</v>
      </c>
      <c r="H25" s="555">
        <v>24</v>
      </c>
      <c r="I25" s="299" t="s">
        <v>3549</v>
      </c>
      <c r="K25" s="555" t="s">
        <v>3555</v>
      </c>
      <c r="L25" s="299">
        <f>L21</f>
        <v>73.191000000000003</v>
      </c>
      <c r="M25" s="299" t="s">
        <v>3549</v>
      </c>
      <c r="O25" s="1357">
        <f>(L25-32)/1.8</f>
        <v>22.88388888888889</v>
      </c>
    </row>
    <row r="26" spans="1:15">
      <c r="A26" s="1391">
        <v>18877.900000000001</v>
      </c>
      <c r="B26" s="1841">
        <v>4.3</v>
      </c>
      <c r="C26" s="1841"/>
      <c r="D26" s="1484">
        <f t="shared" si="0"/>
        <v>1.1944444444444444</v>
      </c>
      <c r="E26" s="555">
        <v>9.2999999999999999E-2</v>
      </c>
      <c r="G26" s="555" t="s">
        <v>2656</v>
      </c>
      <c r="H26" s="555">
        <v>18.5</v>
      </c>
      <c r="I26" s="299" t="s">
        <v>3549</v>
      </c>
    </row>
    <row r="27" spans="1:15">
      <c r="G27" s="555" t="s">
        <v>3550</v>
      </c>
      <c r="H27" s="555" t="s">
        <v>3559</v>
      </c>
      <c r="I27" s="299" t="s">
        <v>3552</v>
      </c>
    </row>
    <row r="28" spans="1:15">
      <c r="A28" t="s">
        <v>3560</v>
      </c>
      <c r="G28" s="555" t="s">
        <v>3546</v>
      </c>
      <c r="H28" s="555">
        <v>52</v>
      </c>
      <c r="I28" s="299" t="s">
        <v>3553</v>
      </c>
    </row>
    <row r="29" spans="1:15" ht="18.75" customHeight="1" thickBot="1">
      <c r="A29" s="1842" t="s">
        <v>3561</v>
      </c>
      <c r="B29" s="1485" t="s">
        <v>3562</v>
      </c>
      <c r="C29" s="1842" t="s">
        <v>3563</v>
      </c>
      <c r="G29" s="555" t="s">
        <v>3543</v>
      </c>
      <c r="H29" s="1444">
        <f>-(H28/100*(H25-H26)-H25)</f>
        <v>21.14</v>
      </c>
      <c r="I29" s="299" t="s">
        <v>3549</v>
      </c>
    </row>
    <row r="30" spans="1:15">
      <c r="A30" s="1842"/>
      <c r="B30" s="1482">
        <v>5223.55</v>
      </c>
      <c r="C30" s="1842"/>
      <c r="G30" s="555" t="s">
        <v>3555</v>
      </c>
      <c r="H30" s="299">
        <f>H26</f>
        <v>18.5</v>
      </c>
      <c r="I30" s="299" t="s">
        <v>3549</v>
      </c>
    </row>
    <row r="31" spans="1:15" ht="15.75" thickBot="1">
      <c r="A31" s="1486" t="s">
        <v>3564</v>
      </c>
      <c r="B31" s="1487"/>
      <c r="C31" s="1487"/>
      <c r="D31" s="1487"/>
      <c r="E31" s="1487"/>
    </row>
    <row r="32" spans="1:15" ht="15.75" thickTop="1"/>
  </sheetData>
  <mergeCells count="23">
    <mergeCell ref="B12:C12"/>
    <mergeCell ref="A1:E1"/>
    <mergeCell ref="A8:A9"/>
    <mergeCell ref="B8:C8"/>
    <mergeCell ref="B9:C9"/>
    <mergeCell ref="B11:C11"/>
    <mergeCell ref="B23:C23"/>
    <mergeCell ref="B13:C13"/>
    <mergeCell ref="B14:C14"/>
    <mergeCell ref="B15:C15"/>
    <mergeCell ref="B18:C18"/>
    <mergeCell ref="B19:C19"/>
    <mergeCell ref="H19:I19"/>
    <mergeCell ref="B20:C20"/>
    <mergeCell ref="H20:I20"/>
    <mergeCell ref="B21:C21"/>
    <mergeCell ref="B22:C22"/>
    <mergeCell ref="G19:G20"/>
    <mergeCell ref="B24:C24"/>
    <mergeCell ref="B25:C25"/>
    <mergeCell ref="B26:C26"/>
    <mergeCell ref="A29:A30"/>
    <mergeCell ref="C29:C30"/>
  </mergeCells>
  <printOptions horizontalCentered="1" verticalCentered="1"/>
  <pageMargins left="0.7" right="0.7" top="0.75" bottom="0.75" header="0.3" footer="0.3"/>
  <pageSetup paperSize="9" scale="155" orientation="portrait" horizontalDpi="1200" verticalDpi="12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D551D-BED8-412C-AA51-C83776040741}">
  <sheetPr codeName="Sheet2"/>
  <dimension ref="A1:U63"/>
  <sheetViews>
    <sheetView topLeftCell="A40" workbookViewId="0">
      <selection activeCell="H12" sqref="H12"/>
    </sheetView>
  </sheetViews>
  <sheetFormatPr defaultRowHeight="15"/>
  <cols>
    <col min="1" max="1" width="17.85546875" customWidth="1"/>
    <col min="2" max="2" width="34" bestFit="1" customWidth="1"/>
    <col min="3" max="3" width="10.42578125" customWidth="1"/>
    <col min="4" max="4" width="9.7109375" bestFit="1" customWidth="1"/>
    <col min="5" max="5" width="11.85546875" bestFit="1" customWidth="1"/>
    <col min="6" max="6" width="11.85546875" customWidth="1"/>
    <col min="7" max="8" width="12.28515625" customWidth="1"/>
    <col min="9" max="9" width="0.85546875" customWidth="1"/>
    <col min="11" max="11" width="1.85546875" customWidth="1"/>
    <col min="12" max="12" width="2.140625" customWidth="1"/>
    <col min="18" max="19" width="12.28515625" customWidth="1"/>
    <col min="20" max="20" width="2" customWidth="1"/>
  </cols>
  <sheetData>
    <row r="1" spans="1:19">
      <c r="C1" s="1855"/>
      <c r="D1" s="1856"/>
      <c r="E1" s="1856"/>
      <c r="F1" s="1856"/>
      <c r="G1" s="1856"/>
      <c r="H1" s="1857"/>
      <c r="K1" s="1488"/>
      <c r="L1" s="1489"/>
      <c r="N1" s="1864"/>
      <c r="O1" s="1865"/>
      <c r="P1" s="1865"/>
      <c r="Q1" s="1865"/>
      <c r="R1" s="1865"/>
      <c r="S1" s="1866"/>
    </row>
    <row r="2" spans="1:19">
      <c r="C2" s="1858"/>
      <c r="D2" s="1859"/>
      <c r="E2" s="1859"/>
      <c r="F2" s="1859"/>
      <c r="G2" s="1859"/>
      <c r="H2" s="1860"/>
      <c r="K2" s="1488"/>
      <c r="L2" s="1489"/>
      <c r="N2" s="1867"/>
      <c r="O2" s="1868"/>
      <c r="P2" s="1868"/>
      <c r="Q2" s="1868"/>
      <c r="R2" s="1868"/>
      <c r="S2" s="1869"/>
    </row>
    <row r="3" spans="1:19" ht="15.75" thickBot="1">
      <c r="C3" s="1858"/>
      <c r="D3" s="1859"/>
      <c r="E3" s="1859"/>
      <c r="F3" s="1859"/>
      <c r="G3" s="1859"/>
      <c r="H3" s="1860"/>
      <c r="K3" s="1488"/>
      <c r="L3" s="1489"/>
      <c r="N3" s="1867"/>
      <c r="O3" s="1868"/>
      <c r="P3" s="1868"/>
      <c r="Q3" s="1868"/>
      <c r="R3" s="1868"/>
      <c r="S3" s="1869"/>
    </row>
    <row r="4" spans="1:19" ht="15.75" thickBot="1">
      <c r="A4" s="1490" t="s">
        <v>3203</v>
      </c>
      <c r="C4" s="1858"/>
      <c r="D4" s="1859"/>
      <c r="E4" s="1859"/>
      <c r="F4" s="1859"/>
      <c r="G4" s="1859"/>
      <c r="H4" s="1860"/>
      <c r="K4" s="1488"/>
      <c r="L4" s="1489"/>
      <c r="N4" s="1867"/>
      <c r="O4" s="1868"/>
      <c r="P4" s="1868"/>
      <c r="Q4" s="1868"/>
      <c r="R4" s="1868"/>
      <c r="S4" s="1869"/>
    </row>
    <row r="5" spans="1:19">
      <c r="A5" t="s">
        <v>3565</v>
      </c>
      <c r="C5" s="1858"/>
      <c r="D5" s="1859"/>
      <c r="E5" s="1859"/>
      <c r="F5" s="1859"/>
      <c r="G5" s="1859"/>
      <c r="H5" s="1860"/>
      <c r="K5" s="1488"/>
      <c r="L5" s="1489"/>
      <c r="N5" s="1867"/>
      <c r="O5" s="1868"/>
      <c r="P5" s="1868"/>
      <c r="Q5" s="1868"/>
      <c r="R5" s="1868"/>
      <c r="S5" s="1869"/>
    </row>
    <row r="6" spans="1:19" ht="15.75" thickBot="1">
      <c r="A6" t="s">
        <v>3566</v>
      </c>
      <c r="C6" s="1861"/>
      <c r="D6" s="1862"/>
      <c r="E6" s="1862"/>
      <c r="F6" s="1862"/>
      <c r="G6" s="1862"/>
      <c r="H6" s="1863"/>
      <c r="K6" s="1488"/>
      <c r="L6" s="1489"/>
      <c r="N6" s="1870"/>
      <c r="O6" s="1871"/>
      <c r="P6" s="1871"/>
      <c r="Q6" s="1871"/>
      <c r="R6" s="1871"/>
      <c r="S6" s="1872"/>
    </row>
    <row r="7" spans="1:19">
      <c r="A7" t="s">
        <v>3567</v>
      </c>
      <c r="K7" s="1488"/>
      <c r="L7" s="1489"/>
    </row>
    <row r="8" spans="1:19">
      <c r="A8" t="s">
        <v>3568</v>
      </c>
      <c r="K8" s="1488"/>
      <c r="L8" s="1489"/>
    </row>
    <row r="9" spans="1:19">
      <c r="K9" s="1488"/>
      <c r="L9" s="1489"/>
    </row>
    <row r="10" spans="1:19">
      <c r="K10" s="1488"/>
      <c r="L10" s="1489"/>
    </row>
    <row r="11" spans="1:19">
      <c r="B11" s="1093" t="s">
        <v>3569</v>
      </c>
      <c r="C11" s="555" t="s">
        <v>3570</v>
      </c>
      <c r="D11" s="555" t="s">
        <v>3571</v>
      </c>
      <c r="E11" s="555" t="s">
        <v>3572</v>
      </c>
      <c r="F11" s="555" t="s">
        <v>1201</v>
      </c>
      <c r="G11" s="555" t="s">
        <v>3573</v>
      </c>
      <c r="H11" s="555" t="s">
        <v>3574</v>
      </c>
      <c r="K11" s="1488"/>
      <c r="L11" s="1489"/>
      <c r="N11" s="555" t="s">
        <v>3570</v>
      </c>
      <c r="O11" s="555" t="s">
        <v>3571</v>
      </c>
      <c r="P11" s="555" t="s">
        <v>3572</v>
      </c>
      <c r="Q11" s="555" t="s">
        <v>1201</v>
      </c>
      <c r="R11" s="555" t="s">
        <v>3573</v>
      </c>
      <c r="S11" s="555" t="s">
        <v>3574</v>
      </c>
    </row>
    <row r="12" spans="1:19">
      <c r="A12" s="1491" t="s">
        <v>3575</v>
      </c>
      <c r="B12" s="1093" t="s">
        <v>3576</v>
      </c>
      <c r="C12" s="1492">
        <v>2.5999999999999999E-2</v>
      </c>
      <c r="D12" s="1492">
        <v>0.28000000000000003</v>
      </c>
      <c r="E12" s="1492">
        <v>0</v>
      </c>
      <c r="F12" s="1492">
        <v>0</v>
      </c>
      <c r="G12" s="1492">
        <v>0</v>
      </c>
      <c r="H12" s="1492">
        <v>0</v>
      </c>
      <c r="K12" s="1488"/>
      <c r="L12" s="1489"/>
      <c r="N12" s="1492">
        <f>C12</f>
        <v>2.5999999999999999E-2</v>
      </c>
      <c r="O12" s="1492">
        <f t="shared" ref="O12:S13" si="0">D12</f>
        <v>0.28000000000000003</v>
      </c>
      <c r="P12" s="1492">
        <f t="shared" si="0"/>
        <v>0</v>
      </c>
      <c r="Q12" s="1492">
        <f t="shared" si="0"/>
        <v>0</v>
      </c>
      <c r="R12" s="1492">
        <f t="shared" si="0"/>
        <v>0</v>
      </c>
      <c r="S12" s="1492">
        <f t="shared" si="0"/>
        <v>0</v>
      </c>
    </row>
    <row r="13" spans="1:19">
      <c r="A13" s="1491" t="s">
        <v>3575</v>
      </c>
      <c r="B13" s="1093" t="s">
        <v>3577</v>
      </c>
      <c r="C13" s="1492">
        <v>3.0000000000000001E-3</v>
      </c>
      <c r="D13" s="1492">
        <v>0.01</v>
      </c>
      <c r="E13" s="1492">
        <v>0</v>
      </c>
      <c r="F13" s="1492">
        <v>0</v>
      </c>
      <c r="G13" s="1492">
        <v>0</v>
      </c>
      <c r="H13" s="1492">
        <v>0</v>
      </c>
      <c r="K13" s="1488"/>
      <c r="L13" s="1489"/>
      <c r="N13" s="1492">
        <f>C13</f>
        <v>3.0000000000000001E-3</v>
      </c>
      <c r="O13" s="1492">
        <f t="shared" si="0"/>
        <v>0.01</v>
      </c>
      <c r="P13" s="1492">
        <f t="shared" si="0"/>
        <v>0</v>
      </c>
      <c r="Q13" s="1492">
        <f t="shared" si="0"/>
        <v>0</v>
      </c>
      <c r="R13" s="1492">
        <f t="shared" si="0"/>
        <v>0</v>
      </c>
      <c r="S13" s="1492">
        <f t="shared" si="0"/>
        <v>0</v>
      </c>
    </row>
    <row r="14" spans="1:19">
      <c r="A14" s="1059" t="s">
        <v>3578</v>
      </c>
      <c r="B14" s="1093" t="s">
        <v>3579</v>
      </c>
      <c r="C14" s="555">
        <v>34</v>
      </c>
      <c r="D14" s="555">
        <v>64</v>
      </c>
      <c r="E14" s="555">
        <v>46</v>
      </c>
      <c r="F14" s="555">
        <v>30</v>
      </c>
      <c r="G14" s="555">
        <v>92</v>
      </c>
      <c r="H14" s="555">
        <v>71</v>
      </c>
      <c r="K14" s="1488"/>
      <c r="L14" s="1489"/>
      <c r="N14" s="555">
        <v>34</v>
      </c>
      <c r="O14" s="555">
        <v>64</v>
      </c>
      <c r="P14" s="555">
        <v>46</v>
      </c>
      <c r="Q14" s="555">
        <v>30</v>
      </c>
      <c r="R14" s="555">
        <v>92</v>
      </c>
      <c r="S14" s="555">
        <v>71</v>
      </c>
    </row>
    <row r="15" spans="1:19">
      <c r="A15" s="1491" t="s">
        <v>3575</v>
      </c>
      <c r="B15" s="1093" t="s">
        <v>3580</v>
      </c>
      <c r="C15" s="1492">
        <v>6018</v>
      </c>
      <c r="D15" s="1492">
        <v>6018</v>
      </c>
      <c r="E15" s="1492">
        <v>6018</v>
      </c>
      <c r="F15" s="1492">
        <v>6018</v>
      </c>
      <c r="G15" s="1492">
        <v>6018</v>
      </c>
      <c r="H15" s="1492">
        <v>6018</v>
      </c>
      <c r="K15" s="1488"/>
      <c r="L15" s="1489"/>
      <c r="N15" s="1492">
        <f>C15</f>
        <v>6018</v>
      </c>
      <c r="O15" s="1492">
        <f t="shared" ref="O15:S15" si="1">D15</f>
        <v>6018</v>
      </c>
      <c r="P15" s="1492">
        <f t="shared" si="1"/>
        <v>6018</v>
      </c>
      <c r="Q15" s="1492">
        <f t="shared" si="1"/>
        <v>6018</v>
      </c>
      <c r="R15" s="1492">
        <f t="shared" si="1"/>
        <v>6018</v>
      </c>
      <c r="S15" s="1492">
        <f t="shared" si="1"/>
        <v>6018</v>
      </c>
    </row>
    <row r="16" spans="1:19">
      <c r="A16" s="1059" t="s">
        <v>3578</v>
      </c>
      <c r="B16" s="1093" t="s">
        <v>3581</v>
      </c>
      <c r="C16" s="555">
        <v>1.34E-3</v>
      </c>
      <c r="D16" s="555">
        <v>1.34E-3</v>
      </c>
      <c r="E16" s="555">
        <v>1.34E-3</v>
      </c>
      <c r="F16" s="555">
        <v>1.34E-3</v>
      </c>
      <c r="G16" s="555">
        <v>1.34E-3</v>
      </c>
      <c r="H16" s="555">
        <v>1.34E-3</v>
      </c>
      <c r="K16" s="1488"/>
      <c r="L16" s="1489"/>
      <c r="N16" s="555">
        <v>1.34E-3</v>
      </c>
      <c r="O16" s="555">
        <v>1.34E-3</v>
      </c>
      <c r="P16" s="555">
        <v>1.34E-3</v>
      </c>
      <c r="Q16" s="555">
        <v>1.34E-3</v>
      </c>
      <c r="R16" s="555">
        <v>1.34E-3</v>
      </c>
      <c r="S16" s="555">
        <v>1.34E-3</v>
      </c>
    </row>
    <row r="17" spans="1:21">
      <c r="A17" s="1493" t="s">
        <v>3582</v>
      </c>
      <c r="B17" s="1093" t="s">
        <v>3583</v>
      </c>
      <c r="C17" s="1494">
        <f>(C12-C13)*C14*C15*C16</f>
        <v>6.3061418400000004</v>
      </c>
      <c r="D17" s="1494">
        <f>(D12-D13)*D14*D15*D16</f>
        <v>139.34799360000002</v>
      </c>
      <c r="E17" s="299">
        <f t="shared" ref="E17:H17" si="2">E12*E14*E15*E16</f>
        <v>0</v>
      </c>
      <c r="F17" s="299">
        <f t="shared" si="2"/>
        <v>0</v>
      </c>
      <c r="G17" s="299">
        <f t="shared" si="2"/>
        <v>0</v>
      </c>
      <c r="H17" s="299">
        <f t="shared" si="2"/>
        <v>0</v>
      </c>
      <c r="K17" s="1488"/>
      <c r="L17" s="1489"/>
      <c r="N17" s="1494">
        <f>(N12-N13)*N14*N15*N16</f>
        <v>6.3061418400000004</v>
      </c>
      <c r="O17" s="1494">
        <f>(O12-O13)*O14*O15*O16</f>
        <v>139.34799360000002</v>
      </c>
      <c r="P17" s="299">
        <f t="shared" ref="P17:S17" si="3">P12*P14*P15*P16</f>
        <v>0</v>
      </c>
      <c r="Q17" s="299">
        <f t="shared" si="3"/>
        <v>0</v>
      </c>
      <c r="R17" s="299">
        <f t="shared" si="3"/>
        <v>0</v>
      </c>
      <c r="S17" s="299">
        <f t="shared" si="3"/>
        <v>0</v>
      </c>
    </row>
    <row r="18" spans="1:21">
      <c r="K18" s="1488"/>
      <c r="L18" s="1489"/>
    </row>
    <row r="19" spans="1:21">
      <c r="B19" s="1495" t="s">
        <v>3584</v>
      </c>
      <c r="K19" s="1488"/>
      <c r="L19" s="1489"/>
    </row>
    <row r="20" spans="1:21">
      <c r="A20" s="1059" t="s">
        <v>3578</v>
      </c>
      <c r="B20" s="1496" t="s">
        <v>3585</v>
      </c>
      <c r="C20" s="555">
        <v>20</v>
      </c>
      <c r="D20" s="555">
        <v>10</v>
      </c>
      <c r="E20" s="555">
        <v>0</v>
      </c>
      <c r="F20" s="555">
        <v>2.6</v>
      </c>
      <c r="G20" s="555">
        <v>0</v>
      </c>
      <c r="H20" s="555">
        <v>10</v>
      </c>
      <c r="J20" s="1873" t="s">
        <v>3586</v>
      </c>
      <c r="K20" s="1488"/>
      <c r="L20" s="1489"/>
      <c r="M20" s="1259" t="s">
        <v>3587</v>
      </c>
      <c r="N20" s="555">
        <v>4</v>
      </c>
      <c r="O20" s="555">
        <v>4.7</v>
      </c>
      <c r="P20" s="555">
        <v>9.5</v>
      </c>
      <c r="Q20" s="555">
        <v>2.8</v>
      </c>
      <c r="R20" s="555">
        <v>0</v>
      </c>
      <c r="S20" s="555">
        <v>0</v>
      </c>
      <c r="U20" s="1873" t="s">
        <v>3586</v>
      </c>
    </row>
    <row r="21" spans="1:21">
      <c r="A21" s="1059" t="s">
        <v>3578</v>
      </c>
      <c r="B21" s="1496" t="s">
        <v>3588</v>
      </c>
      <c r="C21" s="1497">
        <v>8</v>
      </c>
      <c r="D21" s="555">
        <v>6.85</v>
      </c>
      <c r="E21" s="555">
        <v>15.6</v>
      </c>
      <c r="F21" s="555">
        <v>0</v>
      </c>
      <c r="G21" s="555">
        <v>10.38</v>
      </c>
      <c r="H21" s="555">
        <v>0</v>
      </c>
      <c r="J21" s="1873"/>
      <c r="K21" s="1488"/>
      <c r="L21" s="1489"/>
      <c r="M21" s="1259" t="s">
        <v>3589</v>
      </c>
      <c r="N21" s="555">
        <v>8</v>
      </c>
      <c r="O21" s="555">
        <v>6.9</v>
      </c>
      <c r="P21" s="555">
        <v>15.6</v>
      </c>
      <c r="Q21" s="555">
        <v>0</v>
      </c>
      <c r="R21" s="555">
        <v>0</v>
      </c>
      <c r="S21" s="555">
        <v>0</v>
      </c>
      <c r="U21" s="1873"/>
    </row>
    <row r="22" spans="1:21">
      <c r="A22" s="1059" t="s">
        <v>3578</v>
      </c>
      <c r="B22" s="1496" t="s">
        <v>3590</v>
      </c>
      <c r="C22" s="1497">
        <v>14</v>
      </c>
      <c r="D22" s="555">
        <v>8.1300000000000008</v>
      </c>
      <c r="E22" s="555">
        <v>22.41</v>
      </c>
      <c r="F22" s="555">
        <v>0</v>
      </c>
      <c r="G22" s="555">
        <v>12.38</v>
      </c>
      <c r="H22" s="555">
        <v>0</v>
      </c>
      <c r="J22" s="1873"/>
      <c r="K22" s="1488"/>
      <c r="L22" s="1489"/>
      <c r="M22" s="1259" t="s">
        <v>3591</v>
      </c>
      <c r="N22" s="555">
        <v>12</v>
      </c>
      <c r="O22" s="555">
        <v>10.4</v>
      </c>
      <c r="P22" s="555">
        <v>23.4</v>
      </c>
      <c r="Q22" s="555">
        <v>2.5</v>
      </c>
      <c r="R22" s="555">
        <v>0</v>
      </c>
      <c r="S22" s="555">
        <v>0</v>
      </c>
      <c r="U22" s="1873"/>
    </row>
    <row r="23" spans="1:21">
      <c r="C23" s="1498" t="s">
        <v>3592</v>
      </c>
      <c r="K23" s="1488"/>
      <c r="L23" s="1489"/>
    </row>
    <row r="24" spans="1:21">
      <c r="B24" s="1495" t="s">
        <v>3593</v>
      </c>
      <c r="J24" s="551" t="s">
        <v>8</v>
      </c>
      <c r="K24" s="1488"/>
      <c r="L24" s="1489"/>
      <c r="U24" s="551" t="s">
        <v>8</v>
      </c>
    </row>
    <row r="25" spans="1:21">
      <c r="A25" s="1493" t="s">
        <v>3582</v>
      </c>
      <c r="B25" s="1496" t="s">
        <v>3594</v>
      </c>
      <c r="C25" s="1484">
        <f>IF(C$17=0,0,C$17*100/C20)</f>
        <v>31.5307092</v>
      </c>
      <c r="D25" s="1484">
        <f t="shared" ref="D25:H27" si="4">IF(D$17=0,0,D$17*100/D20)</f>
        <v>1393.4799360000002</v>
      </c>
      <c r="E25" s="1484">
        <f t="shared" si="4"/>
        <v>0</v>
      </c>
      <c r="F25" s="1484">
        <f t="shared" si="4"/>
        <v>0</v>
      </c>
      <c r="G25" s="1484">
        <f t="shared" si="4"/>
        <v>0</v>
      </c>
      <c r="H25" s="1484">
        <f t="shared" si="4"/>
        <v>0</v>
      </c>
      <c r="J25" s="1484">
        <f>SUM(C25:H25)</f>
        <v>1425.0106452000002</v>
      </c>
      <c r="K25" s="1488"/>
      <c r="L25" s="1489"/>
      <c r="N25" s="1484">
        <f>IF(N$17=0,0,N$17*100/N20)</f>
        <v>157.65354600000001</v>
      </c>
      <c r="O25" s="1484">
        <f t="shared" ref="O25:S27" si="5">IF(O$17=0,0,O$17*100/O20)</f>
        <v>2964.8509276595751</v>
      </c>
      <c r="P25" s="1484">
        <f t="shared" si="5"/>
        <v>0</v>
      </c>
      <c r="Q25" s="1484">
        <f t="shared" si="5"/>
        <v>0</v>
      </c>
      <c r="R25" s="1484">
        <f t="shared" si="5"/>
        <v>0</v>
      </c>
      <c r="S25" s="1484">
        <f t="shared" si="5"/>
        <v>0</v>
      </c>
      <c r="U25" s="1484">
        <f>SUM(N25:S25)</f>
        <v>3122.5044736595751</v>
      </c>
    </row>
    <row r="26" spans="1:21">
      <c r="A26" s="1493" t="s">
        <v>3582</v>
      </c>
      <c r="B26" s="1496" t="s">
        <v>3595</v>
      </c>
      <c r="C26" s="1484">
        <f>IF(C$17=0,0,C$17*100/C21)</f>
        <v>78.826773000000003</v>
      </c>
      <c r="D26" s="1484">
        <f t="shared" si="4"/>
        <v>2034.2772788321172</v>
      </c>
      <c r="E26" s="1484">
        <f t="shared" si="4"/>
        <v>0</v>
      </c>
      <c r="F26" s="1484">
        <f t="shared" si="4"/>
        <v>0</v>
      </c>
      <c r="G26" s="1484">
        <f t="shared" si="4"/>
        <v>0</v>
      </c>
      <c r="H26" s="1484">
        <f t="shared" si="4"/>
        <v>0</v>
      </c>
      <c r="J26" s="1484">
        <f>SUM(C26:H26)</f>
        <v>2113.104051832117</v>
      </c>
      <c r="K26" s="1488"/>
      <c r="L26" s="1489"/>
      <c r="N26" s="1484">
        <f>IF(N$17=0,0,N$17*100/N21)</f>
        <v>78.826773000000003</v>
      </c>
      <c r="O26" s="1484">
        <f t="shared" si="5"/>
        <v>2019.536139130435</v>
      </c>
      <c r="P26" s="1484">
        <f t="shared" si="5"/>
        <v>0</v>
      </c>
      <c r="Q26" s="1484">
        <f t="shared" si="5"/>
        <v>0</v>
      </c>
      <c r="R26" s="1484">
        <f t="shared" si="5"/>
        <v>0</v>
      </c>
      <c r="S26" s="1484">
        <f t="shared" si="5"/>
        <v>0</v>
      </c>
      <c r="U26" s="1484">
        <f>SUM(N26:S26)</f>
        <v>2098.3629121304348</v>
      </c>
    </row>
    <row r="27" spans="1:21">
      <c r="A27" s="1493" t="s">
        <v>3582</v>
      </c>
      <c r="B27" s="1496" t="s">
        <v>3596</v>
      </c>
      <c r="C27" s="1484">
        <f>IF(C$17=0,0,C$17*100/C22)</f>
        <v>45.043870285714284</v>
      </c>
      <c r="D27" s="1484">
        <f t="shared" si="4"/>
        <v>1713.9974612546127</v>
      </c>
      <c r="E27" s="1484">
        <f t="shared" si="4"/>
        <v>0</v>
      </c>
      <c r="F27" s="1484">
        <f t="shared" si="4"/>
        <v>0</v>
      </c>
      <c r="G27" s="1484">
        <f t="shared" si="4"/>
        <v>0</v>
      </c>
      <c r="H27" s="1484">
        <f t="shared" si="4"/>
        <v>0</v>
      </c>
      <c r="J27" s="1484">
        <f>SUM(C27:H27)</f>
        <v>1759.0413315403271</v>
      </c>
      <c r="K27" s="1488"/>
      <c r="L27" s="1489"/>
      <c r="N27" s="1484">
        <f>IF(N$17=0,0,N$17*100/N22)</f>
        <v>52.551182000000004</v>
      </c>
      <c r="O27" s="1484">
        <f t="shared" si="5"/>
        <v>1339.8845538461539</v>
      </c>
      <c r="P27" s="1484">
        <f t="shared" si="5"/>
        <v>0</v>
      </c>
      <c r="Q27" s="1484">
        <f t="shared" si="5"/>
        <v>0</v>
      </c>
      <c r="R27" s="1484">
        <f t="shared" si="5"/>
        <v>0</v>
      </c>
      <c r="S27" s="1484">
        <f t="shared" si="5"/>
        <v>0</v>
      </c>
      <c r="U27" s="1484">
        <f>SUM(N27:S27)</f>
        <v>1392.4357358461539</v>
      </c>
    </row>
    <row r="28" spans="1:21">
      <c r="K28" s="1488"/>
      <c r="L28" s="1489"/>
    </row>
    <row r="29" spans="1:21">
      <c r="B29" s="1495" t="s">
        <v>3597</v>
      </c>
      <c r="D29" s="1499" t="s">
        <v>3598</v>
      </c>
      <c r="G29" s="1499" t="s">
        <v>3599</v>
      </c>
      <c r="K29" s="1488"/>
      <c r="L29" s="1489"/>
      <c r="O29" s="1499" t="s">
        <v>3598</v>
      </c>
      <c r="R29" s="1499" t="s">
        <v>3599</v>
      </c>
    </row>
    <row r="30" spans="1:21">
      <c r="A30" s="1059" t="s">
        <v>3578</v>
      </c>
      <c r="B30" s="1496" t="s">
        <v>3600</v>
      </c>
      <c r="D30" s="555">
        <v>22.5</v>
      </c>
      <c r="G30" s="555">
        <v>45</v>
      </c>
      <c r="K30" s="1488"/>
      <c r="L30" s="1489"/>
      <c r="O30" s="555">
        <v>22.5</v>
      </c>
      <c r="R30" s="555">
        <v>45</v>
      </c>
    </row>
    <row r="31" spans="1:21">
      <c r="A31" s="1059" t="s">
        <v>3578</v>
      </c>
      <c r="B31" s="1496" t="s">
        <v>3601</v>
      </c>
      <c r="D31" s="555">
        <v>20</v>
      </c>
      <c r="G31" s="555">
        <v>40</v>
      </c>
      <c r="K31" s="1488"/>
      <c r="L31" s="1489"/>
      <c r="O31" s="555">
        <v>20</v>
      </c>
      <c r="R31" s="555">
        <v>40</v>
      </c>
    </row>
    <row r="32" spans="1:21">
      <c r="A32" s="1059" t="s">
        <v>3578</v>
      </c>
      <c r="B32" s="1496" t="s">
        <v>3602</v>
      </c>
      <c r="D32" s="555">
        <v>25</v>
      </c>
      <c r="G32" s="555">
        <v>50</v>
      </c>
      <c r="K32" s="1488"/>
      <c r="L32" s="1489"/>
      <c r="O32" s="555">
        <v>25</v>
      </c>
      <c r="R32" s="555">
        <v>50</v>
      </c>
    </row>
    <row r="33" spans="1:21">
      <c r="K33" s="1488"/>
      <c r="L33" s="1489"/>
    </row>
    <row r="34" spans="1:21" ht="60">
      <c r="B34" s="1495" t="s">
        <v>3603</v>
      </c>
      <c r="D34" s="552" t="s">
        <v>3598</v>
      </c>
      <c r="E34" s="552" t="s">
        <v>3599</v>
      </c>
      <c r="G34" s="1500" t="s">
        <v>3604</v>
      </c>
      <c r="H34" s="1500" t="s">
        <v>3605</v>
      </c>
      <c r="J34" s="1874" t="s">
        <v>3606</v>
      </c>
      <c r="K34" s="1488"/>
      <c r="L34" s="1489"/>
      <c r="O34" s="552" t="s">
        <v>3598</v>
      </c>
      <c r="P34" s="552" t="s">
        <v>3599</v>
      </c>
      <c r="R34" s="1500" t="s">
        <v>3604</v>
      </c>
      <c r="S34" s="1500" t="s">
        <v>3605</v>
      </c>
      <c r="U34" s="1874" t="s">
        <v>3606</v>
      </c>
    </row>
    <row r="35" spans="1:21">
      <c r="A35" s="1493" t="s">
        <v>3582</v>
      </c>
      <c r="B35" s="1496" t="s">
        <v>3600</v>
      </c>
      <c r="D35" s="1501">
        <f>J25/D30</f>
        <v>63.333806453333345</v>
      </c>
      <c r="E35" s="1484">
        <f>J25/G30</f>
        <v>31.666903226666673</v>
      </c>
      <c r="G35" s="552">
        <f t="shared" ref="G35:H37" si="6">CEILING(D35,1)</f>
        <v>64</v>
      </c>
      <c r="H35" s="552">
        <f t="shared" si="6"/>
        <v>32</v>
      </c>
      <c r="J35" s="1874"/>
      <c r="K35" s="1488"/>
      <c r="L35" s="1489"/>
      <c r="O35" s="1501">
        <f>U25/O30</f>
        <v>138.77797660709223</v>
      </c>
      <c r="P35" s="1484">
        <f>U25/R30</f>
        <v>69.388988303546114</v>
      </c>
      <c r="R35" s="552">
        <f t="shared" ref="R35:S37" si="7">CEILING(O35,1)</f>
        <v>139</v>
      </c>
      <c r="S35" s="552">
        <f t="shared" si="7"/>
        <v>70</v>
      </c>
      <c r="U35" s="1874"/>
    </row>
    <row r="36" spans="1:21">
      <c r="A36" s="1493" t="s">
        <v>3582</v>
      </c>
      <c r="B36" s="1496" t="s">
        <v>3601</v>
      </c>
      <c r="D36" s="1501">
        <f>J26/D31</f>
        <v>105.65520259160584</v>
      </c>
      <c r="E36" s="1484">
        <f>J26/G31</f>
        <v>52.827601295802921</v>
      </c>
      <c r="G36" s="552">
        <f t="shared" si="6"/>
        <v>106</v>
      </c>
      <c r="H36" s="552">
        <f t="shared" si="6"/>
        <v>53</v>
      </c>
      <c r="J36" s="1874"/>
      <c r="K36" s="1488"/>
      <c r="L36" s="1489"/>
      <c r="O36" s="1501">
        <f>U26/O31</f>
        <v>104.91814560652173</v>
      </c>
      <c r="P36" s="1484">
        <f>U26/R31</f>
        <v>52.459072803260867</v>
      </c>
      <c r="R36" s="552">
        <f t="shared" si="7"/>
        <v>105</v>
      </c>
      <c r="S36" s="552">
        <f t="shared" si="7"/>
        <v>53</v>
      </c>
      <c r="U36" s="1874"/>
    </row>
    <row r="37" spans="1:21">
      <c r="A37" s="1493" t="s">
        <v>3582</v>
      </c>
      <c r="B37" s="1496" t="s">
        <v>3602</v>
      </c>
      <c r="D37" s="1501">
        <f>J27/D32</f>
        <v>70.361653261613085</v>
      </c>
      <c r="E37" s="1484">
        <f>J27/G32</f>
        <v>35.180826630806543</v>
      </c>
      <c r="G37" s="552">
        <f t="shared" si="6"/>
        <v>71</v>
      </c>
      <c r="H37" s="552">
        <f t="shared" si="6"/>
        <v>36</v>
      </c>
      <c r="J37" s="1874"/>
      <c r="K37" s="1488"/>
      <c r="L37" s="1489"/>
      <c r="O37" s="1501">
        <f>U27/O32</f>
        <v>55.697429433846153</v>
      </c>
      <c r="P37" s="1484">
        <f>U27/R32</f>
        <v>27.848714716923077</v>
      </c>
      <c r="R37" s="552">
        <f t="shared" si="7"/>
        <v>56</v>
      </c>
      <c r="S37" s="552">
        <f t="shared" si="7"/>
        <v>28</v>
      </c>
      <c r="U37" s="1874"/>
    </row>
    <row r="38" spans="1:21">
      <c r="K38" s="1488"/>
      <c r="L38" s="1489"/>
    </row>
    <row r="39" spans="1:21">
      <c r="B39" s="1495" t="s">
        <v>3607</v>
      </c>
      <c r="K39" s="1488"/>
      <c r="L39" s="1489"/>
    </row>
    <row r="40" spans="1:21">
      <c r="A40" s="1059" t="s">
        <v>3578</v>
      </c>
      <c r="B40" s="1502" t="s">
        <v>3608</v>
      </c>
      <c r="K40" s="1488"/>
      <c r="L40" s="1489"/>
    </row>
    <row r="41" spans="1:21">
      <c r="A41" s="1059" t="s">
        <v>3578</v>
      </c>
      <c r="B41" t="s">
        <v>3609</v>
      </c>
      <c r="K41" s="1488"/>
      <c r="L41" s="1489"/>
    </row>
    <row r="42" spans="1:21">
      <c r="K42" s="1488"/>
      <c r="L42" s="1489"/>
    </row>
    <row r="43" spans="1:21">
      <c r="B43" s="1495" t="s">
        <v>3610</v>
      </c>
      <c r="K43" s="1488"/>
      <c r="L43" s="1489"/>
    </row>
    <row r="44" spans="1:21">
      <c r="A44" s="1059" t="s">
        <v>3578</v>
      </c>
      <c r="B44" t="s">
        <v>3611</v>
      </c>
      <c r="K44" s="1488"/>
      <c r="L44" s="1489"/>
    </row>
    <row r="45" spans="1:21">
      <c r="A45" s="1059" t="s">
        <v>3578</v>
      </c>
      <c r="B45" t="s">
        <v>3612</v>
      </c>
      <c r="K45" s="1488"/>
      <c r="L45" s="1489"/>
    </row>
    <row r="46" spans="1:21">
      <c r="K46" s="1488"/>
      <c r="L46" s="1489"/>
    </row>
    <row r="48" spans="1:21" ht="23.25">
      <c r="A48" s="1503" t="s">
        <v>3613</v>
      </c>
    </row>
    <row r="49" spans="1:6" ht="23.25">
      <c r="A49" s="1503"/>
    </row>
    <row r="50" spans="1:6">
      <c r="A50" s="1504" t="s">
        <v>3614</v>
      </c>
    </row>
    <row r="51" spans="1:6" ht="15.75" thickBot="1">
      <c r="A51" s="1505" t="s">
        <v>3615</v>
      </c>
      <c r="B51" s="1505" t="s">
        <v>117</v>
      </c>
      <c r="C51" s="1506" t="s">
        <v>3616</v>
      </c>
      <c r="D51" s="1506" t="s">
        <v>3617</v>
      </c>
      <c r="E51" s="1506" t="s">
        <v>3618</v>
      </c>
      <c r="F51" s="1507" t="s">
        <v>3619</v>
      </c>
    </row>
    <row r="52" spans="1:6" ht="16.5" thickTop="1" thickBot="1">
      <c r="A52" s="1508" t="s">
        <v>3620</v>
      </c>
      <c r="B52" s="1508" t="s">
        <v>3621</v>
      </c>
      <c r="C52" s="1508" t="s">
        <v>3622</v>
      </c>
      <c r="D52" s="1508" t="s">
        <v>3623</v>
      </c>
      <c r="E52" s="1508" t="s">
        <v>3624</v>
      </c>
      <c r="F52" s="1509" t="s">
        <v>3625</v>
      </c>
    </row>
    <row r="53" spans="1:6" ht="15.75" thickBot="1">
      <c r="A53" s="1510" t="s">
        <v>3626</v>
      </c>
      <c r="B53" s="1510" t="s">
        <v>3627</v>
      </c>
      <c r="C53" s="1510" t="s">
        <v>3623</v>
      </c>
      <c r="D53" s="1510" t="s">
        <v>3628</v>
      </c>
      <c r="E53" s="1510" t="s">
        <v>3629</v>
      </c>
      <c r="F53" s="1511" t="s">
        <v>3630</v>
      </c>
    </row>
    <row r="54" spans="1:6" ht="15.75" thickBot="1">
      <c r="A54" s="1508" t="s">
        <v>3631</v>
      </c>
      <c r="B54" s="1508" t="s">
        <v>3632</v>
      </c>
      <c r="C54" s="1508" t="s">
        <v>3625</v>
      </c>
      <c r="D54" s="1508" t="s">
        <v>3633</v>
      </c>
      <c r="E54" s="1508" t="s">
        <v>3634</v>
      </c>
      <c r="F54" s="1509" t="s">
        <v>3635</v>
      </c>
    </row>
    <row r="55" spans="1:6">
      <c r="A55" s="1512" t="s">
        <v>3636</v>
      </c>
      <c r="B55" s="1512" t="s">
        <v>3637</v>
      </c>
      <c r="C55" s="1512" t="s">
        <v>3638</v>
      </c>
      <c r="D55" s="1512" t="s">
        <v>3639</v>
      </c>
      <c r="E55" s="1512" t="s">
        <v>3640</v>
      </c>
      <c r="F55" s="1513" t="s">
        <v>3641</v>
      </c>
    </row>
    <row r="57" spans="1:6" ht="45.75" thickBot="1">
      <c r="A57" s="1505" t="s">
        <v>3642</v>
      </c>
      <c r="B57" s="1505" t="s">
        <v>3643</v>
      </c>
      <c r="C57" s="1514" t="s">
        <v>3644</v>
      </c>
      <c r="D57" s="1850" t="s">
        <v>1352</v>
      </c>
      <c r="E57" s="1851"/>
      <c r="F57" s="1852"/>
    </row>
    <row r="58" spans="1:6" ht="16.5" thickTop="1" thickBot="1">
      <c r="A58" s="1508" t="s">
        <v>3570</v>
      </c>
      <c r="B58" s="1508" t="s">
        <v>3645</v>
      </c>
      <c r="C58" s="1508">
        <v>34.08</v>
      </c>
      <c r="D58" s="1853" t="s">
        <v>3646</v>
      </c>
      <c r="E58" s="1854"/>
      <c r="F58" s="1854"/>
    </row>
    <row r="59" spans="1:6" ht="15.75" thickBot="1">
      <c r="A59" s="1510" t="s">
        <v>3571</v>
      </c>
      <c r="B59" s="1510" t="s">
        <v>3647</v>
      </c>
      <c r="C59" s="1510">
        <v>64.06</v>
      </c>
      <c r="D59" s="1848" t="s">
        <v>3648</v>
      </c>
      <c r="E59" s="1849"/>
      <c r="F59" s="1849"/>
    </row>
    <row r="60" spans="1:6" ht="15.75" thickBot="1">
      <c r="A60" s="1508" t="s">
        <v>3649</v>
      </c>
      <c r="B60" s="1508" t="s">
        <v>3650</v>
      </c>
      <c r="C60" s="1508">
        <v>46.01</v>
      </c>
      <c r="D60" s="1853" t="s">
        <v>3651</v>
      </c>
      <c r="E60" s="1854"/>
      <c r="F60" s="1854"/>
    </row>
    <row r="61" spans="1:6">
      <c r="A61" s="1512" t="s">
        <v>1201</v>
      </c>
      <c r="B61" s="1512" t="s">
        <v>3652</v>
      </c>
      <c r="C61" s="1512">
        <v>30.01</v>
      </c>
      <c r="D61" s="1848" t="s">
        <v>3653</v>
      </c>
      <c r="E61" s="1849"/>
      <c r="F61" s="1849"/>
    </row>
    <row r="62" spans="1:6" ht="15.75" thickBot="1">
      <c r="A62" s="1508" t="s">
        <v>3573</v>
      </c>
      <c r="B62" s="1508" t="s">
        <v>3654</v>
      </c>
      <c r="C62" s="1508">
        <v>92.13</v>
      </c>
      <c r="D62" s="1853" t="s">
        <v>3655</v>
      </c>
      <c r="E62" s="1854"/>
      <c r="F62" s="1854"/>
    </row>
    <row r="63" spans="1:6">
      <c r="A63" s="1512" t="s">
        <v>3656</v>
      </c>
      <c r="B63" s="1512" t="s">
        <v>3657</v>
      </c>
      <c r="C63" s="1512">
        <v>70.900000000000006</v>
      </c>
      <c r="D63" s="1848" t="s">
        <v>3658</v>
      </c>
      <c r="E63" s="1849"/>
      <c r="F63" s="1849"/>
    </row>
  </sheetData>
  <mergeCells count="13">
    <mergeCell ref="C1:H6"/>
    <mergeCell ref="N1:S6"/>
    <mergeCell ref="J20:J22"/>
    <mergeCell ref="U20:U22"/>
    <mergeCell ref="J34:J37"/>
    <mergeCell ref="U34:U37"/>
    <mergeCell ref="D63:F63"/>
    <mergeCell ref="D57:F57"/>
    <mergeCell ref="D58:F58"/>
    <mergeCell ref="D59:F59"/>
    <mergeCell ref="D60:F60"/>
    <mergeCell ref="D61:F61"/>
    <mergeCell ref="D62:F62"/>
  </mergeCell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Z2_Data_Base"/>
  <dimension ref="A1:Y121"/>
  <sheetViews>
    <sheetView zoomScale="85" zoomScaleNormal="85" workbookViewId="0">
      <selection activeCell="A32" sqref="A32"/>
    </sheetView>
  </sheetViews>
  <sheetFormatPr defaultRowHeight="15"/>
  <cols>
    <col min="1" max="1" width="30.42578125" bestFit="1" customWidth="1"/>
    <col min="2" max="2" width="7.7109375" bestFit="1" customWidth="1"/>
    <col min="3" max="3" width="8.140625" bestFit="1" customWidth="1"/>
    <col min="4" max="4" width="17.5703125" bestFit="1" customWidth="1"/>
    <col min="5" max="5" width="9.85546875" bestFit="1" customWidth="1"/>
    <col min="6" max="6" width="15" bestFit="1" customWidth="1"/>
    <col min="7" max="7" width="10.85546875" bestFit="1" customWidth="1"/>
    <col min="8" max="8" width="23.5703125" bestFit="1" customWidth="1"/>
    <col min="9" max="9" width="9.85546875" bestFit="1" customWidth="1"/>
    <col min="10" max="10" width="42.140625" bestFit="1" customWidth="1"/>
    <col min="11" max="11" width="23.5703125" bestFit="1" customWidth="1"/>
    <col min="12" max="12" width="25" bestFit="1" customWidth="1"/>
    <col min="16" max="16" width="21.85546875" bestFit="1" customWidth="1"/>
    <col min="21" max="21" width="24.7109375" customWidth="1"/>
    <col min="22" max="22" width="18" customWidth="1"/>
  </cols>
  <sheetData>
    <row r="1" spans="1:25" ht="15.75" thickBot="1">
      <c r="A1" s="185" t="s">
        <v>3824</v>
      </c>
      <c r="B1" s="186"/>
      <c r="C1" s="186"/>
      <c r="D1" s="186" t="s">
        <v>407</v>
      </c>
      <c r="E1" s="186" t="s">
        <v>425</v>
      </c>
      <c r="F1" s="186"/>
      <c r="G1" s="186"/>
      <c r="H1" s="187" t="s">
        <v>407</v>
      </c>
      <c r="I1" s="188" t="s">
        <v>425</v>
      </c>
      <c r="J1" s="186"/>
      <c r="K1" s="186"/>
      <c r="L1" s="189"/>
      <c r="P1" t="s">
        <v>2617</v>
      </c>
      <c r="Q1" t="s">
        <v>2618</v>
      </c>
      <c r="T1" s="1129" t="s">
        <v>0</v>
      </c>
      <c r="U1" s="1130" t="s">
        <v>2732</v>
      </c>
      <c r="V1" s="1130" t="s">
        <v>1109</v>
      </c>
      <c r="W1" s="1130" t="s">
        <v>2733</v>
      </c>
      <c r="X1" s="1130" t="s">
        <v>2734</v>
      </c>
      <c r="Y1" s="1131" t="s">
        <v>2137</v>
      </c>
    </row>
    <row r="2" spans="1:25">
      <c r="A2" s="190"/>
      <c r="D2" t="s">
        <v>408</v>
      </c>
      <c r="E2">
        <v>2.5099999999999998</v>
      </c>
      <c r="H2" t="s">
        <v>429</v>
      </c>
      <c r="I2">
        <v>3.1</v>
      </c>
      <c r="L2" s="191"/>
      <c r="P2" t="s">
        <v>2603</v>
      </c>
      <c r="Q2" t="b">
        <v>1</v>
      </c>
      <c r="T2" s="1127" t="s">
        <v>2724</v>
      </c>
      <c r="U2" s="1093" t="s">
        <v>2808</v>
      </c>
      <c r="V2" s="1093">
        <v>1</v>
      </c>
      <c r="W2" s="1093">
        <v>3</v>
      </c>
      <c r="X2" s="1093">
        <v>3</v>
      </c>
      <c r="Y2" s="1128">
        <v>1</v>
      </c>
    </row>
    <row r="3" spans="1:25">
      <c r="A3" s="190" t="s">
        <v>646</v>
      </c>
      <c r="D3" t="s">
        <v>411</v>
      </c>
      <c r="E3">
        <v>3.03</v>
      </c>
      <c r="H3" t="s">
        <v>430</v>
      </c>
      <c r="I3">
        <v>4</v>
      </c>
      <c r="L3" s="191"/>
      <c r="P3" t="s">
        <v>119</v>
      </c>
      <c r="Q3" t="b">
        <v>1</v>
      </c>
      <c r="T3" s="1127" t="s">
        <v>2723</v>
      </c>
      <c r="U3" s="1093" t="s">
        <v>2808</v>
      </c>
      <c r="V3" s="1093">
        <v>1</v>
      </c>
      <c r="W3" s="1093">
        <v>3</v>
      </c>
      <c r="X3" s="1093">
        <v>3</v>
      </c>
      <c r="Y3" s="1128">
        <v>1</v>
      </c>
    </row>
    <row r="4" spans="1:25">
      <c r="A4" s="190" t="s">
        <v>2832</v>
      </c>
      <c r="D4" t="s">
        <v>409</v>
      </c>
      <c r="E4">
        <v>4.8600000000000003</v>
      </c>
      <c r="H4" t="s">
        <v>431</v>
      </c>
      <c r="I4">
        <v>4.8</v>
      </c>
      <c r="L4" s="191"/>
      <c r="P4" t="s">
        <v>0</v>
      </c>
      <c r="Q4" t="b">
        <v>1</v>
      </c>
      <c r="T4" s="1127" t="s">
        <v>2725</v>
      </c>
      <c r="U4" s="1093" t="s">
        <v>2808</v>
      </c>
      <c r="V4" s="1093">
        <v>1</v>
      </c>
      <c r="W4" s="1093">
        <v>3</v>
      </c>
      <c r="X4" s="1093">
        <v>3</v>
      </c>
      <c r="Y4" s="1128">
        <v>1</v>
      </c>
    </row>
    <row r="5" spans="1:25">
      <c r="A5" s="190"/>
      <c r="D5" t="s">
        <v>410</v>
      </c>
      <c r="E5">
        <v>6.67</v>
      </c>
      <c r="H5" t="s">
        <v>432</v>
      </c>
      <c r="I5">
        <v>6.1</v>
      </c>
      <c r="L5" s="191"/>
      <c r="P5" t="s">
        <v>2520</v>
      </c>
      <c r="Q5" t="b">
        <v>1</v>
      </c>
      <c r="T5" s="1127" t="s">
        <v>2726</v>
      </c>
      <c r="U5" s="1093" t="s">
        <v>2808</v>
      </c>
      <c r="V5" s="1093">
        <v>1</v>
      </c>
      <c r="W5" s="1093">
        <v>5</v>
      </c>
      <c r="X5" s="1093">
        <v>6</v>
      </c>
      <c r="Y5" s="1128">
        <v>1</v>
      </c>
    </row>
    <row r="6" spans="1:25">
      <c r="A6" s="571" t="s">
        <v>1360</v>
      </c>
      <c r="D6" t="s">
        <v>412</v>
      </c>
      <c r="E6">
        <v>8.33</v>
      </c>
      <c r="H6" t="s">
        <v>433</v>
      </c>
      <c r="I6">
        <v>7.6</v>
      </c>
      <c r="L6" s="191"/>
      <c r="P6" t="s">
        <v>2604</v>
      </c>
      <c r="Q6" t="b">
        <v>1</v>
      </c>
      <c r="T6" s="1127" t="s">
        <v>2727</v>
      </c>
      <c r="U6" s="1093" t="s">
        <v>2809</v>
      </c>
      <c r="V6" s="1093">
        <v>1</v>
      </c>
      <c r="W6" s="1093">
        <v>8</v>
      </c>
      <c r="X6" s="1093">
        <v>7.5</v>
      </c>
      <c r="Y6" s="1128">
        <v>1</v>
      </c>
    </row>
    <row r="7" spans="1:25">
      <c r="A7" s="190" t="s">
        <v>1357</v>
      </c>
      <c r="D7" t="s">
        <v>413</v>
      </c>
      <c r="E7">
        <v>10</v>
      </c>
      <c r="H7" t="s">
        <v>434</v>
      </c>
      <c r="I7">
        <v>9.9</v>
      </c>
      <c r="L7" s="191"/>
      <c r="P7" t="s">
        <v>2605</v>
      </c>
      <c r="Q7" t="b">
        <v>1</v>
      </c>
      <c r="T7" s="1127" t="s">
        <v>2728</v>
      </c>
      <c r="U7" s="1093" t="s">
        <v>2808</v>
      </c>
      <c r="V7" s="1093">
        <v>2</v>
      </c>
      <c r="W7" s="1093">
        <v>10</v>
      </c>
      <c r="X7" s="1093">
        <v>9</v>
      </c>
      <c r="Y7" s="1128">
        <v>1</v>
      </c>
    </row>
    <row r="8" spans="1:25">
      <c r="A8" s="190"/>
      <c r="D8" t="s">
        <v>414</v>
      </c>
      <c r="E8">
        <v>12.5</v>
      </c>
      <c r="H8" t="s">
        <v>435</v>
      </c>
      <c r="I8">
        <v>12.1</v>
      </c>
      <c r="L8" s="191"/>
      <c r="P8" t="s">
        <v>2606</v>
      </c>
      <c r="Q8" t="b">
        <v>0</v>
      </c>
      <c r="T8" s="1127" t="s">
        <v>2729</v>
      </c>
      <c r="U8" s="1093" t="s">
        <v>2809</v>
      </c>
      <c r="V8" s="1093">
        <v>2</v>
      </c>
      <c r="W8" s="1093">
        <v>10</v>
      </c>
      <c r="X8" s="1093">
        <v>9</v>
      </c>
      <c r="Y8" s="1128">
        <v>1</v>
      </c>
    </row>
    <row r="9" spans="1:25">
      <c r="A9" s="571" t="s">
        <v>1352</v>
      </c>
      <c r="D9" t="s">
        <v>415</v>
      </c>
      <c r="E9">
        <v>16.5</v>
      </c>
      <c r="H9" t="s">
        <v>436</v>
      </c>
      <c r="I9">
        <v>15</v>
      </c>
      <c r="L9" s="191"/>
      <c r="P9" t="s">
        <v>2103</v>
      </c>
      <c r="Q9" t="b">
        <v>1</v>
      </c>
      <c r="T9" s="1127" t="s">
        <v>2730</v>
      </c>
      <c r="U9" s="1093" t="s">
        <v>2809</v>
      </c>
      <c r="V9" s="1093">
        <v>2</v>
      </c>
      <c r="W9" s="1093">
        <v>15</v>
      </c>
      <c r="X9" s="1093">
        <v>12</v>
      </c>
      <c r="Y9" s="1128">
        <v>1</v>
      </c>
    </row>
    <row r="10" spans="1:25">
      <c r="A10" s="190" t="s">
        <v>1358</v>
      </c>
      <c r="D10" t="s">
        <v>416</v>
      </c>
      <c r="E10">
        <v>20.13</v>
      </c>
      <c r="H10" t="s">
        <v>437</v>
      </c>
      <c r="I10">
        <v>20</v>
      </c>
      <c r="L10" s="191"/>
      <c r="P10" t="s">
        <v>2607</v>
      </c>
      <c r="Q10" t="b">
        <v>1</v>
      </c>
      <c r="T10" s="1127" t="s">
        <v>2731</v>
      </c>
      <c r="U10" s="1093" t="s">
        <v>2809</v>
      </c>
      <c r="V10" s="1093">
        <v>2</v>
      </c>
      <c r="W10" s="1093">
        <v>15</v>
      </c>
      <c r="X10" s="1093">
        <v>12</v>
      </c>
      <c r="Y10" s="1128">
        <v>1</v>
      </c>
    </row>
    <row r="11" spans="1:25">
      <c r="A11" s="190"/>
      <c r="D11" t="s">
        <v>417</v>
      </c>
      <c r="E11">
        <v>24.44</v>
      </c>
      <c r="L11" s="191"/>
      <c r="P11" t="s">
        <v>2608</v>
      </c>
      <c r="Q11" t="b">
        <v>1</v>
      </c>
      <c r="T11" s="1127" t="s">
        <v>1103</v>
      </c>
      <c r="U11" s="1093" t="s">
        <v>2810</v>
      </c>
      <c r="V11" s="1093">
        <v>2</v>
      </c>
      <c r="W11" s="1093">
        <v>23</v>
      </c>
      <c r="X11" s="1093">
        <v>14</v>
      </c>
      <c r="Y11" s="1128">
        <v>1</v>
      </c>
    </row>
    <row r="12" spans="1:25">
      <c r="A12" s="571" t="s">
        <v>1353</v>
      </c>
      <c r="D12" t="s">
        <v>418</v>
      </c>
      <c r="E12">
        <v>30.19</v>
      </c>
      <c r="L12" s="191"/>
      <c r="P12" t="s">
        <v>97</v>
      </c>
      <c r="Q12" t="b">
        <v>1</v>
      </c>
      <c r="T12" s="1132" t="s">
        <v>1104</v>
      </c>
      <c r="U12" s="1133" t="s">
        <v>2810</v>
      </c>
      <c r="V12" s="1133">
        <v>2</v>
      </c>
      <c r="W12" s="1133">
        <v>30</v>
      </c>
      <c r="X12" s="1133">
        <v>14</v>
      </c>
      <c r="Y12" s="1134">
        <v>1</v>
      </c>
    </row>
    <row r="13" spans="1:25">
      <c r="A13" s="190" t="s">
        <v>2720</v>
      </c>
      <c r="D13" t="s">
        <v>419</v>
      </c>
      <c r="E13">
        <v>34.5</v>
      </c>
      <c r="L13" s="191"/>
      <c r="P13" t="s">
        <v>23</v>
      </c>
      <c r="Q13" t="b">
        <v>1</v>
      </c>
    </row>
    <row r="14" spans="1:25">
      <c r="A14" s="190"/>
      <c r="D14" t="s">
        <v>420</v>
      </c>
      <c r="E14">
        <v>37.380000000000003</v>
      </c>
      <c r="L14" s="191"/>
      <c r="P14" t="s">
        <v>2609</v>
      </c>
      <c r="Q14" t="b">
        <v>0</v>
      </c>
    </row>
    <row r="15" spans="1:25">
      <c r="A15" s="571" t="s">
        <v>1356</v>
      </c>
      <c r="D15" t="s">
        <v>421</v>
      </c>
      <c r="E15">
        <v>48.75</v>
      </c>
      <c r="L15" s="191"/>
      <c r="P15" t="s">
        <v>731</v>
      </c>
      <c r="Q15" t="b">
        <v>0</v>
      </c>
    </row>
    <row r="16" spans="1:25">
      <c r="A16" s="190" t="s">
        <v>2721</v>
      </c>
      <c r="D16" t="s">
        <v>422</v>
      </c>
      <c r="E16">
        <v>63.92</v>
      </c>
      <c r="L16" s="191"/>
      <c r="P16" t="s">
        <v>2610</v>
      </c>
      <c r="Q16" t="b">
        <v>0</v>
      </c>
    </row>
    <row r="17" spans="1:17">
      <c r="A17" s="190"/>
      <c r="D17" t="s">
        <v>423</v>
      </c>
      <c r="E17">
        <v>74.75</v>
      </c>
      <c r="L17" s="191"/>
      <c r="P17" t="s">
        <v>2611</v>
      </c>
      <c r="Q17" t="b">
        <v>0</v>
      </c>
    </row>
    <row r="18" spans="1:17">
      <c r="A18" s="571" t="s">
        <v>1354</v>
      </c>
      <c r="D18" t="s">
        <v>424</v>
      </c>
      <c r="E18">
        <v>86.67</v>
      </c>
      <c r="L18" s="191"/>
      <c r="P18" t="s">
        <v>2612</v>
      </c>
      <c r="Q18" t="b">
        <v>0</v>
      </c>
    </row>
    <row r="19" spans="1:17">
      <c r="A19" s="190"/>
      <c r="L19" s="191"/>
      <c r="P19" t="s">
        <v>2613</v>
      </c>
      <c r="Q19" t="b">
        <v>0</v>
      </c>
    </row>
    <row r="20" spans="1:17">
      <c r="A20" s="190"/>
      <c r="L20" s="191"/>
      <c r="P20" t="s">
        <v>564</v>
      </c>
      <c r="Q20" t="b">
        <v>0</v>
      </c>
    </row>
    <row r="21" spans="1:17">
      <c r="A21" s="571" t="s">
        <v>1355</v>
      </c>
      <c r="L21" s="191"/>
      <c r="P21" t="s">
        <v>2614</v>
      </c>
      <c r="Q21" t="b">
        <v>0</v>
      </c>
    </row>
    <row r="22" spans="1:17">
      <c r="A22" s="190" t="s">
        <v>2838</v>
      </c>
      <c r="L22" s="191"/>
      <c r="P22" t="s">
        <v>2615</v>
      </c>
      <c r="Q22" t="b">
        <v>0</v>
      </c>
    </row>
    <row r="23" spans="1:17">
      <c r="A23" s="190"/>
      <c r="L23" s="191"/>
      <c r="P23" t="s">
        <v>2616</v>
      </c>
      <c r="Q23" t="b">
        <v>1</v>
      </c>
    </row>
    <row r="24" spans="1:17">
      <c r="A24" s="190" t="s">
        <v>2096</v>
      </c>
      <c r="L24" s="191"/>
      <c r="P24" t="s">
        <v>2619</v>
      </c>
      <c r="Q24" t="b">
        <v>0</v>
      </c>
    </row>
    <row r="25" spans="1:17">
      <c r="A25" s="190" t="s">
        <v>2509</v>
      </c>
      <c r="L25" s="191"/>
      <c r="P25" t="s">
        <v>2620</v>
      </c>
      <c r="Q25" t="s">
        <v>2833</v>
      </c>
    </row>
    <row r="26" spans="1:17">
      <c r="A26" s="190"/>
      <c r="L26" s="191"/>
    </row>
    <row r="27" spans="1:17">
      <c r="A27" s="190" t="s">
        <v>2097</v>
      </c>
      <c r="L27" s="191"/>
    </row>
    <row r="28" spans="1:17">
      <c r="A28" s="190" t="s">
        <v>2837</v>
      </c>
      <c r="L28" s="191"/>
    </row>
    <row r="29" spans="1:17">
      <c r="A29" s="190"/>
      <c r="L29" s="191"/>
    </row>
    <row r="30" spans="1:17">
      <c r="A30" s="190" t="s">
        <v>2107</v>
      </c>
      <c r="L30" s="191"/>
    </row>
    <row r="31" spans="1:17">
      <c r="A31" s="190" t="s">
        <v>3824</v>
      </c>
      <c r="L31" s="191"/>
    </row>
    <row r="32" spans="1:17">
      <c r="A32" s="190"/>
      <c r="L32" s="191"/>
    </row>
    <row r="33" spans="1:14">
      <c r="A33" s="190" t="s">
        <v>2109</v>
      </c>
      <c r="L33" s="191"/>
    </row>
    <row r="34" spans="1:14">
      <c r="A34" s="190" t="s">
        <v>2509</v>
      </c>
      <c r="L34" s="191"/>
    </row>
    <row r="35" spans="1:14">
      <c r="A35" s="190"/>
      <c r="L35" s="191"/>
    </row>
    <row r="36" spans="1:14">
      <c r="A36" s="190" t="s">
        <v>2108</v>
      </c>
      <c r="H36" s="635" t="s">
        <v>1786</v>
      </c>
      <c r="I36" s="635"/>
      <c r="J36" s="635" t="s">
        <v>1785</v>
      </c>
      <c r="L36" s="191"/>
    </row>
    <row r="37" spans="1:14">
      <c r="A37" s="1060" t="s">
        <v>3673</v>
      </c>
      <c r="H37" s="635" t="s">
        <v>1742</v>
      </c>
      <c r="I37" s="635"/>
      <c r="J37" s="635" t="s">
        <v>1748</v>
      </c>
      <c r="L37" s="191"/>
    </row>
    <row r="38" spans="1:14">
      <c r="A38" s="190"/>
      <c r="D38" s="635"/>
      <c r="H38" s="635" t="s">
        <v>1747</v>
      </c>
      <c r="I38" s="635"/>
      <c r="J38" s="635" t="s">
        <v>1749</v>
      </c>
      <c r="L38" s="191"/>
    </row>
    <row r="39" spans="1:14">
      <c r="A39" s="190" t="s">
        <v>2110</v>
      </c>
      <c r="D39" s="635"/>
      <c r="H39" s="635"/>
      <c r="I39" s="635"/>
      <c r="J39" s="635" t="s">
        <v>1751</v>
      </c>
      <c r="L39" s="191"/>
    </row>
    <row r="40" spans="1:14">
      <c r="A40" s="190" t="s">
        <v>2509</v>
      </c>
      <c r="D40" s="635"/>
      <c r="H40" s="635"/>
      <c r="I40" s="635"/>
      <c r="J40" s="635" t="s">
        <v>1752</v>
      </c>
      <c r="L40" s="191"/>
    </row>
    <row r="41" spans="1:14">
      <c r="A41" s="190"/>
      <c r="D41" s="635"/>
      <c r="H41" s="635"/>
      <c r="I41" s="635"/>
      <c r="J41" s="635" t="s">
        <v>1754</v>
      </c>
      <c r="L41" s="191"/>
    </row>
    <row r="42" spans="1:14">
      <c r="A42" s="190"/>
      <c r="D42" s="635"/>
      <c r="L42" s="191"/>
    </row>
    <row r="43" spans="1:14">
      <c r="A43" s="571" t="s">
        <v>2178</v>
      </c>
      <c r="D43" s="635"/>
      <c r="L43" s="191"/>
    </row>
    <row r="44" spans="1:14">
      <c r="A44" s="190" t="s">
        <v>2722</v>
      </c>
      <c r="L44" s="191"/>
    </row>
    <row r="45" spans="1:14">
      <c r="A45" s="190"/>
      <c r="J45" s="1876" t="s">
        <v>1481</v>
      </c>
      <c r="K45" s="1876"/>
      <c r="L45" s="1876"/>
      <c r="M45" s="1876"/>
      <c r="N45" s="1876"/>
    </row>
    <row r="46" spans="1:14">
      <c r="A46" s="190"/>
      <c r="H46" s="635" t="s">
        <v>1489</v>
      </c>
      <c r="J46" s="633" t="str">
        <f>H47</f>
        <v>Ducted_Units</v>
      </c>
      <c r="K46" s="634" t="s">
        <v>1482</v>
      </c>
      <c r="L46" s="633" t="s">
        <v>1483</v>
      </c>
      <c r="M46" s="634" t="s">
        <v>1484</v>
      </c>
      <c r="N46" s="633" t="s">
        <v>1485</v>
      </c>
    </row>
    <row r="47" spans="1:14">
      <c r="A47" s="190"/>
      <c r="H47" s="635" t="s">
        <v>1399</v>
      </c>
      <c r="J47" s="634">
        <v>0.1</v>
      </c>
      <c r="K47" s="634">
        <v>0</v>
      </c>
      <c r="L47" s="634">
        <v>0</v>
      </c>
      <c r="M47" s="634">
        <v>0</v>
      </c>
      <c r="N47" s="634">
        <v>0</v>
      </c>
    </row>
    <row r="48" spans="1:14">
      <c r="A48" s="190"/>
      <c r="C48" s="1879" t="s">
        <v>1730</v>
      </c>
      <c r="D48" s="1880"/>
      <c r="H48" s="635" t="s">
        <v>1402</v>
      </c>
      <c r="J48" s="634">
        <v>0.2</v>
      </c>
      <c r="K48" s="634"/>
      <c r="L48" s="634"/>
      <c r="M48" s="634"/>
      <c r="N48" s="634"/>
    </row>
    <row r="49" spans="1:15">
      <c r="A49" s="190" t="s">
        <v>623</v>
      </c>
      <c r="C49" s="711" t="s">
        <v>1734</v>
      </c>
      <c r="D49" s="711" t="s">
        <v>1735</v>
      </c>
      <c r="H49" s="636" t="s">
        <v>1482</v>
      </c>
      <c r="J49" s="634">
        <v>0.25</v>
      </c>
      <c r="K49" s="634"/>
      <c r="L49" s="634"/>
      <c r="M49" s="634"/>
      <c r="N49" s="634"/>
    </row>
    <row r="50" spans="1:15">
      <c r="A50" s="190" t="s">
        <v>624</v>
      </c>
      <c r="C50" s="711">
        <v>8</v>
      </c>
      <c r="D50" s="711">
        <v>12.01</v>
      </c>
      <c r="H50" s="635" t="s">
        <v>1484</v>
      </c>
      <c r="J50" s="634">
        <v>0.3</v>
      </c>
      <c r="K50" s="634"/>
      <c r="L50" s="634"/>
      <c r="M50" s="634"/>
      <c r="N50" s="634"/>
    </row>
    <row r="51" spans="1:15">
      <c r="A51" s="190" t="s">
        <v>1350</v>
      </c>
      <c r="C51" s="711">
        <v>10</v>
      </c>
      <c r="D51" s="711">
        <v>12.43</v>
      </c>
      <c r="H51" s="635" t="s">
        <v>1485</v>
      </c>
      <c r="J51" s="634">
        <v>0.4</v>
      </c>
      <c r="K51" s="634"/>
      <c r="L51" s="634"/>
      <c r="M51" s="634"/>
      <c r="N51" s="634"/>
    </row>
    <row r="52" spans="1:15">
      <c r="A52" s="190" t="s">
        <v>2134</v>
      </c>
      <c r="C52" s="711">
        <v>12</v>
      </c>
      <c r="D52" s="711">
        <v>12.85</v>
      </c>
      <c r="H52" s="635" t="s">
        <v>1488</v>
      </c>
      <c r="J52" s="634">
        <v>0.5</v>
      </c>
      <c r="K52" s="634"/>
      <c r="L52" s="634"/>
      <c r="M52" s="634"/>
      <c r="N52" s="634"/>
    </row>
    <row r="53" spans="1:15">
      <c r="A53" s="190"/>
      <c r="C53" s="711">
        <v>14</v>
      </c>
      <c r="D53" s="711">
        <v>13.26</v>
      </c>
      <c r="H53" s="635" t="s">
        <v>1487</v>
      </c>
      <c r="J53" s="634"/>
      <c r="K53" s="634"/>
      <c r="L53" s="634"/>
      <c r="M53" s="634"/>
      <c r="N53" s="634"/>
    </row>
    <row r="54" spans="1:15">
      <c r="A54" s="190"/>
      <c r="C54" s="711">
        <v>16</v>
      </c>
      <c r="D54" s="711">
        <v>13.68</v>
      </c>
      <c r="H54" s="635" t="s">
        <v>1486</v>
      </c>
      <c r="J54" s="634" t="s">
        <v>1402</v>
      </c>
      <c r="K54" s="633" t="s">
        <v>1486</v>
      </c>
      <c r="L54" s="633" t="s">
        <v>1487</v>
      </c>
      <c r="M54" s="634" t="s">
        <v>1488</v>
      </c>
      <c r="N54" s="634"/>
    </row>
    <row r="55" spans="1:15">
      <c r="A55" s="190"/>
      <c r="J55" s="634">
        <v>0</v>
      </c>
      <c r="K55" s="634">
        <v>0</v>
      </c>
      <c r="L55" s="634">
        <v>0</v>
      </c>
      <c r="M55" s="634">
        <v>0</v>
      </c>
      <c r="N55" s="634"/>
    </row>
    <row r="56" spans="1:15" ht="15.75">
      <c r="A56" s="190"/>
      <c r="L56" s="191"/>
      <c r="M56" s="1076"/>
      <c r="N56" s="1077"/>
    </row>
    <row r="57" spans="1:15">
      <c r="A57" s="190"/>
      <c r="C57" s="1877" t="s">
        <v>1731</v>
      </c>
      <c r="D57" s="1878"/>
      <c r="L57" s="191"/>
    </row>
    <row r="58" spans="1:15" ht="19.5">
      <c r="A58" s="190"/>
      <c r="C58" s="710" t="s">
        <v>1736</v>
      </c>
      <c r="D58" s="710" t="s">
        <v>1735</v>
      </c>
      <c r="J58" s="1888" t="s">
        <v>1729</v>
      </c>
      <c r="K58" s="1888"/>
      <c r="L58" s="1888"/>
      <c r="M58" s="1888"/>
    </row>
    <row r="59" spans="1:15" ht="16.5" thickBot="1">
      <c r="A59" s="190"/>
      <c r="C59" s="710">
        <v>8</v>
      </c>
      <c r="D59" s="710">
        <v>0.2268</v>
      </c>
      <c r="J59" s="708" t="s">
        <v>1732</v>
      </c>
      <c r="K59" s="708" t="s">
        <v>980</v>
      </c>
      <c r="L59" s="708" t="s">
        <v>1205</v>
      </c>
      <c r="M59" s="708" t="s">
        <v>1733</v>
      </c>
    </row>
    <row r="60" spans="1:15" ht="15.75">
      <c r="A60" s="190"/>
      <c r="C60" s="710">
        <v>10</v>
      </c>
      <c r="D60" s="710">
        <v>0.28277777777777774</v>
      </c>
      <c r="J60" s="1887" t="s">
        <v>1737</v>
      </c>
      <c r="K60" s="709">
        <v>1</v>
      </c>
      <c r="L60" s="709">
        <v>8</v>
      </c>
      <c r="M60" s="1156">
        <v>15</v>
      </c>
      <c r="N60" s="1881" t="s">
        <v>2834</v>
      </c>
      <c r="O60" s="1882"/>
    </row>
    <row r="61" spans="1:15" ht="15.75">
      <c r="A61" s="190"/>
      <c r="C61" s="710">
        <v>12</v>
      </c>
      <c r="D61" s="710">
        <v>0.34</v>
      </c>
      <c r="J61" s="1887"/>
      <c r="K61" s="709">
        <v>1</v>
      </c>
      <c r="L61" s="709">
        <v>10</v>
      </c>
      <c r="M61" s="1156">
        <v>18.7</v>
      </c>
      <c r="N61" s="1883"/>
      <c r="O61" s="1884"/>
    </row>
    <row r="62" spans="1:15" ht="15.75">
      <c r="A62" s="190" t="s">
        <v>627</v>
      </c>
      <c r="C62" s="710">
        <v>14</v>
      </c>
      <c r="D62" s="710">
        <v>0.39597222222222223</v>
      </c>
      <c r="J62" s="1887"/>
      <c r="K62" s="709">
        <v>1</v>
      </c>
      <c r="L62" s="709">
        <v>12</v>
      </c>
      <c r="M62" s="1156">
        <v>22.4</v>
      </c>
      <c r="N62" s="1883"/>
      <c r="O62" s="1884"/>
    </row>
    <row r="63" spans="1:15" ht="15.75">
      <c r="A63" s="190" t="s">
        <v>625</v>
      </c>
      <c r="C63" s="710">
        <v>16</v>
      </c>
      <c r="D63" s="710">
        <v>0.45277777777777778</v>
      </c>
      <c r="J63" s="1887"/>
      <c r="K63" s="709">
        <v>1</v>
      </c>
      <c r="L63" s="709">
        <v>14</v>
      </c>
      <c r="M63" s="1156">
        <v>26.2</v>
      </c>
      <c r="N63" s="1883"/>
      <c r="O63" s="1884"/>
    </row>
    <row r="64" spans="1:15" ht="15.75">
      <c r="A64" s="190" t="s">
        <v>626</v>
      </c>
      <c r="J64" s="1887" t="s">
        <v>1738</v>
      </c>
      <c r="K64" s="709">
        <v>1</v>
      </c>
      <c r="L64" s="709">
        <v>8</v>
      </c>
      <c r="M64" s="1156">
        <v>23.2</v>
      </c>
      <c r="N64" s="1883"/>
      <c r="O64" s="1884"/>
    </row>
    <row r="65" spans="1:15" ht="15.75">
      <c r="A65" s="190" t="s">
        <v>2135</v>
      </c>
      <c r="J65" s="1887"/>
      <c r="K65" s="709">
        <v>1</v>
      </c>
      <c r="L65" s="709">
        <v>10</v>
      </c>
      <c r="M65" s="1156">
        <v>29</v>
      </c>
      <c r="N65" s="1883"/>
      <c r="O65" s="1884"/>
    </row>
    <row r="66" spans="1:15" ht="15.75">
      <c r="A66" s="190"/>
      <c r="J66" s="1887"/>
      <c r="K66" s="709">
        <v>1</v>
      </c>
      <c r="L66" s="709">
        <v>12</v>
      </c>
      <c r="M66" s="1156">
        <v>34.799999999999997</v>
      </c>
      <c r="N66" s="1883"/>
      <c r="O66" s="1884"/>
    </row>
    <row r="67" spans="1:15" ht="16.5" thickBot="1">
      <c r="A67" s="190"/>
      <c r="J67" s="1887"/>
      <c r="K67" s="709">
        <v>1</v>
      </c>
      <c r="L67" s="709">
        <v>14</v>
      </c>
      <c r="M67" s="1525">
        <v>40.6</v>
      </c>
      <c r="N67" s="1885"/>
      <c r="O67" s="1886"/>
    </row>
    <row r="68" spans="1:15">
      <c r="A68" s="190"/>
      <c r="L68" s="191"/>
    </row>
    <row r="69" spans="1:15" ht="15.75">
      <c r="A69" s="190"/>
      <c r="L69" s="191"/>
      <c r="M69" s="1889" t="s">
        <v>1785</v>
      </c>
      <c r="N69" s="1889"/>
      <c r="O69" s="1889"/>
    </row>
    <row r="70" spans="1:15" ht="33">
      <c r="A70" s="190"/>
      <c r="L70" s="191"/>
      <c r="M70" s="1078" t="s">
        <v>2631</v>
      </c>
      <c r="N70" s="1079" t="s">
        <v>2632</v>
      </c>
      <c r="O70" s="1079" t="s">
        <v>2633</v>
      </c>
    </row>
    <row r="71" spans="1:15" ht="16.5">
      <c r="A71" s="190" t="s">
        <v>628</v>
      </c>
      <c r="D71" t="s">
        <v>649</v>
      </c>
      <c r="L71" s="191"/>
      <c r="M71" s="1890" t="str">
        <f>J37</f>
        <v>Not standard color , one layer</v>
      </c>
      <c r="N71" s="1080" t="s">
        <v>2634</v>
      </c>
      <c r="O71" s="1080" t="s">
        <v>2635</v>
      </c>
    </row>
    <row r="72" spans="1:15" ht="16.5">
      <c r="A72" s="190" t="s">
        <v>629</v>
      </c>
      <c r="D72" t="s">
        <v>650</v>
      </c>
      <c r="L72" s="191"/>
      <c r="M72" s="1891"/>
      <c r="N72" s="1081" t="s">
        <v>2636</v>
      </c>
      <c r="O72" s="1081" t="s">
        <v>2637</v>
      </c>
    </row>
    <row r="73" spans="1:15" ht="16.5">
      <c r="A73" s="190" t="s">
        <v>2132</v>
      </c>
      <c r="D73" t="s">
        <v>651</v>
      </c>
      <c r="L73" s="191"/>
      <c r="M73" s="1891"/>
      <c r="N73" s="1080" t="s">
        <v>2638</v>
      </c>
      <c r="O73" s="1080" t="s">
        <v>2639</v>
      </c>
    </row>
    <row r="74" spans="1:15" ht="16.5">
      <c r="A74" s="190" t="s">
        <v>2134</v>
      </c>
      <c r="D74" t="s">
        <v>652</v>
      </c>
      <c r="L74" s="191"/>
      <c r="M74" s="1891"/>
      <c r="N74" s="1081" t="s">
        <v>2640</v>
      </c>
      <c r="O74" s="1081" t="s">
        <v>2641</v>
      </c>
    </row>
    <row r="75" spans="1:15" ht="17.25" thickBot="1">
      <c r="A75" s="192"/>
      <c r="B75" s="193"/>
      <c r="C75" s="193"/>
      <c r="D75" s="193"/>
      <c r="E75" s="193"/>
      <c r="F75" s="193"/>
      <c r="G75" s="193"/>
      <c r="H75" s="193"/>
      <c r="I75" s="193"/>
      <c r="J75" s="193"/>
      <c r="K75" s="193"/>
      <c r="L75" s="194"/>
      <c r="M75" s="1891"/>
      <c r="N75" s="1080" t="s">
        <v>2642</v>
      </c>
      <c r="O75" s="1080" t="s">
        <v>2641</v>
      </c>
    </row>
    <row r="76" spans="1:15" ht="16.5">
      <c r="M76" s="1892"/>
      <c r="N76" s="1081" t="s">
        <v>2643</v>
      </c>
      <c r="O76" s="1081" t="s">
        <v>2644</v>
      </c>
    </row>
    <row r="77" spans="1:15" ht="16.5">
      <c r="M77" s="1890" t="str">
        <f>J38</f>
        <v>Not standard color ( Black ) , one layer</v>
      </c>
      <c r="N77" s="1080" t="s">
        <v>2634</v>
      </c>
      <c r="O77" s="1080" t="s">
        <v>2641</v>
      </c>
    </row>
    <row r="78" spans="1:15" ht="16.5">
      <c r="M78" s="1891"/>
      <c r="N78" s="1081" t="s">
        <v>2636</v>
      </c>
      <c r="O78" s="1081" t="s">
        <v>2635</v>
      </c>
    </row>
    <row r="79" spans="1:15" ht="16.5">
      <c r="M79" s="1891"/>
      <c r="N79" s="1080" t="s">
        <v>2638</v>
      </c>
      <c r="O79" s="1080" t="s">
        <v>2637</v>
      </c>
    </row>
    <row r="80" spans="1:15" ht="16.5">
      <c r="M80" s="1891"/>
      <c r="N80" s="1081" t="s">
        <v>2640</v>
      </c>
      <c r="O80" s="1081" t="s">
        <v>2645</v>
      </c>
    </row>
    <row r="81" spans="2:15" ht="16.5">
      <c r="M81" s="1891"/>
      <c r="N81" s="1080" t="s">
        <v>2642</v>
      </c>
      <c r="O81" s="1080" t="s">
        <v>2645</v>
      </c>
    </row>
    <row r="82" spans="2:15" ht="16.5">
      <c r="M82" s="1892"/>
      <c r="N82" s="1081" t="s">
        <v>2643</v>
      </c>
      <c r="O82" s="1081" t="s">
        <v>2646</v>
      </c>
    </row>
    <row r="83" spans="2:15" ht="16.5">
      <c r="M83" s="1890" t="str">
        <f>J39</f>
        <v>120 Micron thickness standard color</v>
      </c>
      <c r="N83" s="1080" t="s">
        <v>2634</v>
      </c>
      <c r="O83" s="1080" t="s">
        <v>2635</v>
      </c>
    </row>
    <row r="84" spans="2:15" ht="16.5">
      <c r="M84" s="1891"/>
      <c r="N84" s="1081" t="s">
        <v>2636</v>
      </c>
      <c r="O84" s="1081" t="s">
        <v>2637</v>
      </c>
    </row>
    <row r="85" spans="2:15" ht="16.5">
      <c r="M85" s="1891"/>
      <c r="N85" s="1080" t="s">
        <v>2638</v>
      </c>
      <c r="O85" s="1080" t="s">
        <v>2639</v>
      </c>
    </row>
    <row r="86" spans="2:15" ht="16.5">
      <c r="F86" s="706" t="s">
        <v>1739</v>
      </c>
      <c r="G86" s="706" t="s">
        <v>1740</v>
      </c>
      <c r="H86" s="706" t="s">
        <v>1741</v>
      </c>
      <c r="I86" s="706" t="s">
        <v>1735</v>
      </c>
      <c r="M86" s="1891"/>
      <c r="N86" s="1081" t="s">
        <v>2640</v>
      </c>
      <c r="O86" s="1081" t="s">
        <v>2641</v>
      </c>
    </row>
    <row r="87" spans="2:15" ht="16.5">
      <c r="F87" s="1875">
        <f>D38</f>
        <v>0</v>
      </c>
      <c r="G87" s="706" t="str">
        <f>H4</f>
        <v>CM 24</v>
      </c>
      <c r="H87" s="707">
        <v>4</v>
      </c>
      <c r="I87" s="706">
        <v>4.3</v>
      </c>
      <c r="M87" s="1891"/>
      <c r="N87" s="1080" t="s">
        <v>2642</v>
      </c>
      <c r="O87" s="1080" t="s">
        <v>2641</v>
      </c>
    </row>
    <row r="88" spans="2:15" ht="16.5">
      <c r="F88" s="1875"/>
      <c r="G88" s="706" t="str">
        <f>H3</f>
        <v>CM 20</v>
      </c>
      <c r="H88" s="707">
        <v>6</v>
      </c>
      <c r="I88" s="706">
        <v>4.5</v>
      </c>
      <c r="M88" s="1892"/>
      <c r="N88" s="1081" t="s">
        <v>2643</v>
      </c>
      <c r="O88" s="1081" t="s">
        <v>2646</v>
      </c>
    </row>
    <row r="89" spans="2:15" ht="16.5">
      <c r="F89" s="1875"/>
      <c r="G89" s="706" t="str">
        <f>H6</f>
        <v>CM 38</v>
      </c>
      <c r="H89" s="707">
        <v>8</v>
      </c>
      <c r="I89" s="706">
        <v>4.8</v>
      </c>
      <c r="M89" s="1890" t="str">
        <f>J40</f>
        <v>Extra Zinc coating above standard coating color</v>
      </c>
      <c r="N89" s="1080" t="s">
        <v>2634</v>
      </c>
      <c r="O89" s="1080" t="s">
        <v>2641</v>
      </c>
    </row>
    <row r="90" spans="2:15" ht="16.5">
      <c r="F90" s="1875">
        <f>D38</f>
        <v>0</v>
      </c>
      <c r="G90" s="1875" t="str">
        <f>H5</f>
        <v>CM 30</v>
      </c>
      <c r="H90" s="707">
        <v>4</v>
      </c>
      <c r="I90" s="706">
        <v>6.5</v>
      </c>
      <c r="M90" s="1891"/>
      <c r="N90" s="1081" t="s">
        <v>2636</v>
      </c>
      <c r="O90" s="1081" t="s">
        <v>2635</v>
      </c>
    </row>
    <row r="91" spans="2:15" ht="16.5">
      <c r="F91" s="1875"/>
      <c r="G91" s="1875"/>
      <c r="H91" s="707">
        <v>6</v>
      </c>
      <c r="I91" s="706">
        <v>6.8</v>
      </c>
      <c r="M91" s="1891"/>
      <c r="N91" s="1080" t="s">
        <v>2638</v>
      </c>
      <c r="O91" s="1080" t="s">
        <v>2637</v>
      </c>
    </row>
    <row r="92" spans="2:15" ht="16.5">
      <c r="F92" s="1875"/>
      <c r="G92" s="1875"/>
      <c r="H92" s="707">
        <v>8</v>
      </c>
      <c r="I92" s="706">
        <v>7.1</v>
      </c>
      <c r="M92" s="1891"/>
      <c r="N92" s="1081" t="s">
        <v>2640</v>
      </c>
      <c r="O92" s="1081" t="s">
        <v>2645</v>
      </c>
    </row>
    <row r="93" spans="2:15" ht="16.5">
      <c r="F93" s="1875">
        <f>D39</f>
        <v>0</v>
      </c>
      <c r="G93" s="706" t="str">
        <f>H4</f>
        <v>CM 24</v>
      </c>
      <c r="H93" s="707">
        <v>4</v>
      </c>
      <c r="I93" s="706">
        <v>19</v>
      </c>
      <c r="M93" s="1891"/>
      <c r="N93" s="1080" t="s">
        <v>2642</v>
      </c>
      <c r="O93" s="1080" t="s">
        <v>2645</v>
      </c>
    </row>
    <row r="94" spans="2:15" ht="16.5">
      <c r="F94" s="1875"/>
      <c r="G94" s="706" t="str">
        <f>H3</f>
        <v>CM 20</v>
      </c>
      <c r="H94" s="707">
        <v>6</v>
      </c>
      <c r="I94" s="706">
        <v>20</v>
      </c>
      <c r="M94" s="1892"/>
      <c r="N94" s="1081" t="s">
        <v>2643</v>
      </c>
      <c r="O94" s="1081" t="s">
        <v>2646</v>
      </c>
    </row>
    <row r="95" spans="2:15" ht="16.5">
      <c r="F95" s="1875"/>
      <c r="G95" s="706" t="str">
        <f>H6</f>
        <v>CM 38</v>
      </c>
      <c r="H95" s="707">
        <v>8</v>
      </c>
      <c r="I95" s="706">
        <v>21</v>
      </c>
      <c r="M95" s="1890" t="str">
        <f>J41</f>
        <v>120 Micron thickness but not standard color</v>
      </c>
      <c r="N95" s="1080" t="s">
        <v>2634</v>
      </c>
      <c r="O95" s="1080" t="s">
        <v>2645</v>
      </c>
    </row>
    <row r="96" spans="2:15" ht="16.5">
      <c r="B96" s="1059" t="b">
        <v>1</v>
      </c>
      <c r="F96" s="1875">
        <f>D39</f>
        <v>0</v>
      </c>
      <c r="G96" s="1875" t="str">
        <f>H5</f>
        <v>CM 30</v>
      </c>
      <c r="H96" s="707">
        <v>4</v>
      </c>
      <c r="I96" s="706">
        <v>26.6</v>
      </c>
      <c r="M96" s="1891"/>
      <c r="N96" s="1081" t="s">
        <v>2636</v>
      </c>
      <c r="O96" s="1081" t="s">
        <v>2641</v>
      </c>
    </row>
    <row r="97" spans="1:15" ht="16.5">
      <c r="F97" s="1875"/>
      <c r="G97" s="1875"/>
      <c r="H97" s="707">
        <v>6</v>
      </c>
      <c r="I97" s="706">
        <v>28</v>
      </c>
      <c r="M97" s="1891"/>
      <c r="N97" s="1080" t="s">
        <v>2638</v>
      </c>
      <c r="O97" s="1080" t="s">
        <v>2635</v>
      </c>
    </row>
    <row r="98" spans="1:15" ht="16.5">
      <c r="F98" s="1875"/>
      <c r="G98" s="1875"/>
      <c r="H98" s="707">
        <v>8</v>
      </c>
      <c r="I98" s="706">
        <v>29.4</v>
      </c>
      <c r="M98" s="1891"/>
      <c r="N98" s="1081" t="s">
        <v>2640</v>
      </c>
      <c r="O98" s="1081" t="s">
        <v>2644</v>
      </c>
    </row>
    <row r="99" spans="1:15" ht="16.5">
      <c r="M99" s="1891"/>
      <c r="N99" s="1080" t="s">
        <v>2642</v>
      </c>
      <c r="O99" s="1080" t="s">
        <v>2644</v>
      </c>
    </row>
    <row r="100" spans="1:15" ht="16.5">
      <c r="M100" s="1892"/>
      <c r="N100" s="1081" t="s">
        <v>2643</v>
      </c>
      <c r="O100" s="1081" t="s">
        <v>2647</v>
      </c>
    </row>
    <row r="101" spans="1:15">
      <c r="B101" t="s">
        <v>2693</v>
      </c>
      <c r="C101" t="s">
        <v>2694</v>
      </c>
    </row>
    <row r="102" spans="1:15">
      <c r="A102" s="1093" t="s">
        <v>2675</v>
      </c>
      <c r="B102" s="1093" t="s">
        <v>821</v>
      </c>
      <c r="C102" s="1093" t="s">
        <v>821</v>
      </c>
    </row>
    <row r="103" spans="1:15">
      <c r="A103" s="1093" t="s">
        <v>2676</v>
      </c>
      <c r="B103" s="1093" t="s">
        <v>821</v>
      </c>
      <c r="C103" s="1093" t="s">
        <v>821</v>
      </c>
    </row>
    <row r="104" spans="1:15">
      <c r="A104" s="1093" t="s">
        <v>2677</v>
      </c>
      <c r="B104" s="1093" t="s">
        <v>821</v>
      </c>
      <c r="C104" s="1093" t="s">
        <v>821</v>
      </c>
    </row>
    <row r="105" spans="1:15">
      <c r="A105" s="1093" t="s">
        <v>2681</v>
      </c>
      <c r="B105" s="1093" t="s">
        <v>821</v>
      </c>
      <c r="C105" s="1093" t="s">
        <v>821</v>
      </c>
    </row>
    <row r="106" spans="1:15">
      <c r="A106" s="1093" t="s">
        <v>2678</v>
      </c>
      <c r="B106" s="1093" t="s">
        <v>2685</v>
      </c>
      <c r="C106" s="1093" t="s">
        <v>821</v>
      </c>
    </row>
    <row r="107" spans="1:15">
      <c r="A107" s="1093" t="s">
        <v>2679</v>
      </c>
      <c r="B107" s="1093" t="s">
        <v>2685</v>
      </c>
      <c r="C107" s="1093" t="s">
        <v>2685</v>
      </c>
    </row>
    <row r="108" spans="1:15">
      <c r="A108" s="1093" t="s">
        <v>2680</v>
      </c>
      <c r="B108" s="1093" t="s">
        <v>2685</v>
      </c>
      <c r="C108" s="1093" t="s">
        <v>2685</v>
      </c>
    </row>
    <row r="109" spans="1:15">
      <c r="A109" s="1093" t="s">
        <v>2682</v>
      </c>
      <c r="B109" s="1093" t="s">
        <v>770</v>
      </c>
      <c r="C109" s="1093" t="s">
        <v>770</v>
      </c>
    </row>
    <row r="110" spans="1:15">
      <c r="A110" s="1093" t="s">
        <v>2683</v>
      </c>
      <c r="B110" s="1093" t="s">
        <v>770</v>
      </c>
      <c r="C110" s="1093" t="s">
        <v>770</v>
      </c>
    </row>
    <row r="111" spans="1:15">
      <c r="A111" s="1093" t="s">
        <v>2684</v>
      </c>
      <c r="B111" s="1093" t="s">
        <v>2686</v>
      </c>
      <c r="C111" s="1093" t="s">
        <v>770</v>
      </c>
    </row>
    <row r="112" spans="1:15">
      <c r="A112" s="1093" t="s">
        <v>848</v>
      </c>
      <c r="B112" s="1093" t="s">
        <v>2686</v>
      </c>
      <c r="C112" s="1093" t="s">
        <v>2686</v>
      </c>
    </row>
    <row r="113" spans="1:3">
      <c r="A113" s="1093" t="s">
        <v>851</v>
      </c>
      <c r="B113" s="1093" t="s">
        <v>2686</v>
      </c>
      <c r="C113" s="1093" t="s">
        <v>2686</v>
      </c>
    </row>
    <row r="114" spans="1:3">
      <c r="A114" s="1093" t="s">
        <v>2687</v>
      </c>
      <c r="B114" s="1093" t="s">
        <v>821</v>
      </c>
      <c r="C114" s="1093" t="s">
        <v>821</v>
      </c>
    </row>
    <row r="115" spans="1:3">
      <c r="A115" s="1093" t="s">
        <v>2688</v>
      </c>
      <c r="B115" s="1093" t="s">
        <v>821</v>
      </c>
      <c r="C115" s="1093" t="s">
        <v>821</v>
      </c>
    </row>
    <row r="116" spans="1:3">
      <c r="A116" s="1093" t="s">
        <v>824</v>
      </c>
      <c r="B116" s="1093" t="s">
        <v>821</v>
      </c>
      <c r="C116" s="1093" t="s">
        <v>821</v>
      </c>
    </row>
    <row r="117" spans="1:3">
      <c r="A117" s="1093" t="s">
        <v>2689</v>
      </c>
      <c r="B117" s="1093" t="s">
        <v>821</v>
      </c>
      <c r="C117" s="1093" t="s">
        <v>2685</v>
      </c>
    </row>
    <row r="118" spans="1:3">
      <c r="A118" s="1093" t="s">
        <v>2671</v>
      </c>
      <c r="B118" s="1093" t="s">
        <v>821</v>
      </c>
      <c r="C118" s="1093" t="s">
        <v>2685</v>
      </c>
    </row>
    <row r="119" spans="1:3">
      <c r="A119" s="1093" t="s">
        <v>832</v>
      </c>
      <c r="B119" s="1093" t="s">
        <v>2685</v>
      </c>
      <c r="C119" s="1093" t="s">
        <v>2685</v>
      </c>
    </row>
    <row r="120" spans="1:3">
      <c r="A120" s="1093" t="s">
        <v>2690</v>
      </c>
      <c r="B120" s="1093" t="s">
        <v>770</v>
      </c>
      <c r="C120" s="1093" t="s">
        <v>770</v>
      </c>
    </row>
    <row r="121" spans="1:3">
      <c r="A121" s="1093" t="s">
        <v>2691</v>
      </c>
      <c r="B121" s="1093" t="s">
        <v>770</v>
      </c>
      <c r="C121" s="1093" t="s">
        <v>770</v>
      </c>
    </row>
  </sheetData>
  <mergeCells count="19">
    <mergeCell ref="F96:F98"/>
    <mergeCell ref="G96:G98"/>
    <mergeCell ref="J60:J63"/>
    <mergeCell ref="J64:J67"/>
    <mergeCell ref="J58:M58"/>
    <mergeCell ref="M69:O69"/>
    <mergeCell ref="M71:M76"/>
    <mergeCell ref="M77:M82"/>
    <mergeCell ref="M83:M88"/>
    <mergeCell ref="M89:M94"/>
    <mergeCell ref="M95:M100"/>
    <mergeCell ref="F87:F89"/>
    <mergeCell ref="F90:F92"/>
    <mergeCell ref="G90:G92"/>
    <mergeCell ref="F93:F95"/>
    <mergeCell ref="J45:N45"/>
    <mergeCell ref="C57:D57"/>
    <mergeCell ref="C48:D48"/>
    <mergeCell ref="N60:O67"/>
  </mergeCells>
  <pageMargins left="0.7" right="0.7" top="0.75" bottom="0.75" header="0.3" footer="0.3"/>
  <tableParts count="2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E4_Epicor"/>
  <dimension ref="A1:DV1500"/>
  <sheetViews>
    <sheetView workbookViewId="0">
      <selection activeCell="I18" sqref="I18"/>
    </sheetView>
  </sheetViews>
  <sheetFormatPr defaultColWidth="9" defaultRowHeight="16.5"/>
  <cols>
    <col min="1" max="1" width="7.42578125" style="176" bestFit="1" customWidth="1"/>
    <col min="2" max="2" width="12.7109375" style="176" customWidth="1"/>
    <col min="3" max="3" width="25" style="176" bestFit="1" customWidth="1"/>
    <col min="4" max="4" width="15" style="176" customWidth="1"/>
    <col min="5" max="5" width="14.28515625" style="176" customWidth="1"/>
    <col min="6" max="6" width="20.28515625" style="176" customWidth="1"/>
    <col min="7" max="7" width="15" style="176" customWidth="1"/>
    <col min="8" max="8" width="14.42578125" style="176" bestFit="1" customWidth="1"/>
    <col min="9" max="9" width="21.5703125" style="176" customWidth="1"/>
    <col min="10" max="10" width="8.7109375" style="176" customWidth="1"/>
    <col min="11" max="11" width="15.5703125" style="176" customWidth="1"/>
    <col min="12" max="12" width="15.28515625" style="176" bestFit="1" customWidth="1"/>
    <col min="13" max="13" width="23.28515625" style="176" customWidth="1"/>
    <col min="14" max="14" width="18.7109375" style="176" customWidth="1"/>
    <col min="15" max="15" width="14.5703125" style="176" customWidth="1"/>
    <col min="16" max="16" width="7.42578125" style="176" bestFit="1" customWidth="1"/>
    <col min="17" max="17" width="9.5703125" style="176" bestFit="1" customWidth="1"/>
    <col min="18" max="18" width="9.7109375" style="176" bestFit="1" customWidth="1"/>
    <col min="19" max="19" width="11.5703125" style="176" customWidth="1"/>
    <col min="20" max="20" width="11.85546875" style="176" customWidth="1"/>
    <col min="21" max="21" width="15.140625" style="176" customWidth="1"/>
    <col min="22" max="22" width="9.42578125" style="176" bestFit="1" customWidth="1"/>
    <col min="23" max="23" width="20.140625" style="176" customWidth="1"/>
    <col min="24" max="24" width="9.5703125" style="176" bestFit="1" customWidth="1"/>
    <col min="25" max="25" width="8.42578125" style="176" bestFit="1" customWidth="1"/>
    <col min="26" max="26" width="8.7109375" style="176" bestFit="1" customWidth="1"/>
    <col min="27" max="27" width="4.28515625" style="176" bestFit="1" customWidth="1"/>
    <col min="28" max="28" width="5.5703125" style="176" bestFit="1" customWidth="1"/>
    <col min="29" max="29" width="19" style="176" customWidth="1"/>
    <col min="30" max="30" width="9" style="176" customWidth="1"/>
    <col min="31" max="31" width="16.7109375" style="176" customWidth="1"/>
    <col min="32" max="32" width="14.28515625" style="176" customWidth="1"/>
    <col min="33" max="33" width="20.42578125" style="176" customWidth="1"/>
    <col min="34" max="34" width="13.42578125" style="176" bestFit="1" customWidth="1"/>
    <col min="35" max="35" width="16" style="176" bestFit="1" customWidth="1"/>
    <col min="36" max="36" width="13.140625" style="176" bestFit="1" customWidth="1"/>
    <col min="37" max="37" width="6.5703125" style="176" bestFit="1" customWidth="1"/>
    <col min="38" max="38" width="9.5703125" style="176" bestFit="1" customWidth="1"/>
    <col min="39" max="39" width="12.7109375" style="176" bestFit="1" customWidth="1"/>
    <col min="40" max="40" width="11.5703125" style="176" bestFit="1" customWidth="1"/>
    <col min="41" max="41" width="13.140625" style="176" bestFit="1" customWidth="1"/>
    <col min="42" max="42" width="8.7109375" style="176" bestFit="1" customWidth="1"/>
    <col min="43" max="43" width="12.42578125" style="176" bestFit="1" customWidth="1"/>
    <col min="44" max="44" width="9.5703125" style="176" bestFit="1" customWidth="1"/>
    <col min="45" max="45" width="13.140625" style="176" bestFit="1" customWidth="1"/>
    <col min="46" max="46" width="17.5703125" style="176" bestFit="1" customWidth="1"/>
    <col min="47" max="47" width="18" style="176" bestFit="1" customWidth="1"/>
    <col min="48" max="48" width="22.42578125" style="176" bestFit="1" customWidth="1"/>
    <col min="49" max="49" width="19.42578125" style="176" bestFit="1" customWidth="1"/>
    <col min="50" max="50" width="23.85546875" style="176" bestFit="1" customWidth="1"/>
    <col min="51" max="51" width="8.85546875" style="176" bestFit="1" customWidth="1"/>
    <col min="52" max="52" width="12.5703125" style="176" bestFit="1" customWidth="1"/>
    <col min="53" max="53" width="16.85546875" style="176" bestFit="1" customWidth="1"/>
    <col min="54" max="54" width="20.7109375" style="176" bestFit="1" customWidth="1"/>
    <col min="55" max="55" width="18.42578125" style="176" bestFit="1" customWidth="1"/>
    <col min="56" max="56" width="13.5703125" style="176" bestFit="1" customWidth="1"/>
    <col min="57" max="57" width="16.140625" style="176" bestFit="1" customWidth="1"/>
    <col min="58" max="58" width="5.5703125" style="176" bestFit="1" customWidth="1"/>
    <col min="59" max="59" width="17.5703125" style="176" bestFit="1" customWidth="1"/>
    <col min="60" max="60" width="12" style="176" bestFit="1" customWidth="1"/>
    <col min="61" max="61" width="24.42578125" style="176" bestFit="1" customWidth="1"/>
    <col min="62" max="62" width="20.140625" style="176" bestFit="1" customWidth="1"/>
    <col min="63" max="63" width="20.7109375" style="176" bestFit="1" customWidth="1"/>
    <col min="64" max="64" width="18.28515625" style="176" bestFit="1" customWidth="1"/>
    <col min="65" max="65" width="14.5703125" style="176" bestFit="1" customWidth="1"/>
    <col min="66" max="66" width="23" style="176" bestFit="1" customWidth="1"/>
    <col min="67" max="67" width="31.42578125" style="176" bestFit="1" customWidth="1"/>
    <col min="68" max="68" width="15.42578125" style="176" bestFit="1" customWidth="1"/>
    <col min="69" max="69" width="11.42578125" style="176" bestFit="1" customWidth="1"/>
    <col min="70" max="70" width="23.7109375" style="176" bestFit="1" customWidth="1"/>
    <col min="71" max="71" width="4" style="176" bestFit="1" customWidth="1"/>
    <col min="72" max="72" width="13.140625" style="176" bestFit="1" customWidth="1"/>
    <col min="73" max="73" width="10.7109375" style="176" bestFit="1" customWidth="1"/>
    <col min="74" max="74" width="21.85546875" style="176" bestFit="1" customWidth="1"/>
    <col min="75" max="75" width="15" style="176" bestFit="1" customWidth="1"/>
    <col min="76" max="76" width="19.5703125" style="176" bestFit="1" customWidth="1"/>
    <col min="77" max="77" width="3.5703125" style="176" bestFit="1" customWidth="1"/>
    <col min="78" max="79" width="32" style="176" bestFit="1" customWidth="1"/>
    <col min="80" max="80" width="18.140625" style="176" bestFit="1" customWidth="1"/>
    <col min="81" max="81" width="18.42578125" style="176" bestFit="1" customWidth="1"/>
    <col min="82" max="82" width="32" style="176" bestFit="1" customWidth="1"/>
    <col min="83" max="83" width="18.42578125" style="176" bestFit="1" customWidth="1"/>
    <col min="84" max="84" width="22.28515625" style="176" bestFit="1" customWidth="1"/>
    <col min="85" max="85" width="32" style="176" bestFit="1" customWidth="1"/>
    <col min="86" max="87" width="22" style="176" bestFit="1" customWidth="1"/>
    <col min="88" max="88" width="32" style="176" bestFit="1" customWidth="1"/>
    <col min="89" max="89" width="22" style="176" bestFit="1" customWidth="1"/>
    <col min="90" max="90" width="20.5703125" style="176" bestFit="1" customWidth="1"/>
    <col min="91" max="91" width="9.7109375" style="176" bestFit="1" customWidth="1"/>
    <col min="92" max="93" width="20.5703125" style="176" bestFit="1" customWidth="1"/>
    <col min="94" max="94" width="25.85546875" style="176" bestFit="1" customWidth="1"/>
    <col min="95" max="95" width="5.140625" style="176" bestFit="1" customWidth="1"/>
    <col min="96" max="96" width="15.85546875" style="176" bestFit="1" customWidth="1"/>
    <col min="97" max="97" width="4.7109375" style="176" bestFit="1" customWidth="1"/>
    <col min="98" max="98" width="8.85546875" style="176" bestFit="1" customWidth="1"/>
    <col min="99" max="100" width="8.7109375" style="176" bestFit="1" customWidth="1"/>
    <col min="101" max="101" width="12" style="176" bestFit="1" customWidth="1"/>
    <col min="102" max="102" width="12.28515625" style="176" bestFit="1" customWidth="1"/>
    <col min="103" max="103" width="7.42578125" style="176" bestFit="1" customWidth="1"/>
    <col min="104" max="104" width="3.5703125" style="176" bestFit="1" customWidth="1"/>
    <col min="105" max="105" width="8.7109375" style="176" bestFit="1" customWidth="1"/>
    <col min="106" max="106" width="10.7109375" style="176" bestFit="1" customWidth="1"/>
    <col min="107" max="107" width="14.140625" style="176" bestFit="1" customWidth="1"/>
    <col min="108" max="108" width="8.7109375" style="176" bestFit="1" customWidth="1"/>
    <col min="109" max="109" width="11.28515625" style="176" bestFit="1" customWidth="1"/>
    <col min="110" max="110" width="8.7109375" style="176" bestFit="1" customWidth="1"/>
    <col min="111" max="111" width="11.42578125" style="176" bestFit="1" customWidth="1"/>
    <col min="112" max="112" width="7.5703125" style="176" bestFit="1" customWidth="1"/>
    <col min="113" max="113" width="11.140625" style="176" bestFit="1" customWidth="1"/>
    <col min="114" max="114" width="15.85546875" style="176" bestFit="1" customWidth="1"/>
    <col min="115" max="116" width="11.140625" style="176" bestFit="1" customWidth="1"/>
    <col min="117" max="117" width="20.140625" style="176" bestFit="1" customWidth="1"/>
    <col min="118" max="118" width="22" style="176" bestFit="1" customWidth="1"/>
    <col min="119" max="119" width="11.28515625" style="176" bestFit="1" customWidth="1"/>
    <col min="120" max="120" width="14.85546875" style="176" bestFit="1" customWidth="1"/>
    <col min="121" max="121" width="17.5703125" style="176" bestFit="1" customWidth="1"/>
    <col min="122" max="122" width="16.28515625" style="176" bestFit="1" customWidth="1"/>
    <col min="123" max="123" width="12.85546875" style="176" bestFit="1" customWidth="1"/>
    <col min="124" max="124" width="8.42578125" style="176" bestFit="1" customWidth="1"/>
    <col min="125" max="125" width="15.85546875" style="176" bestFit="1" customWidth="1"/>
    <col min="126" max="126" width="10.42578125" style="176" bestFit="1" customWidth="1"/>
    <col min="127" max="16384" width="9" style="176"/>
  </cols>
  <sheetData>
    <row r="1" spans="1:126" ht="17.25" thickBot="1">
      <c r="A1" s="181" t="s">
        <v>114</v>
      </c>
      <c r="B1" s="181" t="s">
        <v>115</v>
      </c>
      <c r="C1" s="181" t="s">
        <v>116</v>
      </c>
      <c r="D1" s="182" t="s">
        <v>117</v>
      </c>
      <c r="E1" s="183" t="s">
        <v>118</v>
      </c>
      <c r="F1" s="184" t="s">
        <v>119</v>
      </c>
      <c r="G1" s="181" t="s">
        <v>0</v>
      </c>
      <c r="H1" s="181" t="s">
        <v>120</v>
      </c>
      <c r="I1" s="181" t="s">
        <v>121</v>
      </c>
      <c r="J1" s="181" t="s">
        <v>122</v>
      </c>
      <c r="K1" s="181" t="s">
        <v>123</v>
      </c>
      <c r="L1" s="181" t="s">
        <v>124</v>
      </c>
      <c r="M1" s="181" t="s">
        <v>125</v>
      </c>
      <c r="N1" s="181" t="s">
        <v>2506</v>
      </c>
      <c r="O1" s="181" t="s">
        <v>126</v>
      </c>
      <c r="P1" s="181" t="s">
        <v>127</v>
      </c>
      <c r="Q1" s="181" t="s">
        <v>128</v>
      </c>
      <c r="R1" s="181" t="s">
        <v>129</v>
      </c>
      <c r="S1" s="181" t="s">
        <v>2508</v>
      </c>
      <c r="T1" s="181" t="s">
        <v>2507</v>
      </c>
      <c r="U1" s="181" t="s">
        <v>130</v>
      </c>
      <c r="V1" s="181" t="s">
        <v>131</v>
      </c>
      <c r="W1" s="181" t="s">
        <v>132</v>
      </c>
      <c r="X1" s="181" t="s">
        <v>123</v>
      </c>
      <c r="Y1" s="181" t="s">
        <v>133</v>
      </c>
      <c r="Z1" s="181" t="s">
        <v>134</v>
      </c>
      <c r="AA1" s="181" t="s">
        <v>135</v>
      </c>
      <c r="AB1" s="181" t="s">
        <v>136</v>
      </c>
      <c r="AC1" s="181" t="s">
        <v>137</v>
      </c>
      <c r="AD1" s="181" t="s">
        <v>135</v>
      </c>
      <c r="AE1" s="181" t="s">
        <v>138</v>
      </c>
      <c r="AF1" s="181" t="s">
        <v>139</v>
      </c>
      <c r="AG1" s="181" t="s">
        <v>140</v>
      </c>
      <c r="AH1" s="181" t="s">
        <v>141</v>
      </c>
      <c r="AI1" s="181" t="s">
        <v>142</v>
      </c>
      <c r="AJ1" s="181" t="s">
        <v>143</v>
      </c>
      <c r="AK1" s="181" t="s">
        <v>144</v>
      </c>
      <c r="AL1" s="181" t="s">
        <v>145</v>
      </c>
      <c r="AM1" s="181" t="s">
        <v>146</v>
      </c>
      <c r="AN1" s="181" t="s">
        <v>147</v>
      </c>
      <c r="AO1" s="181" t="s">
        <v>148</v>
      </c>
      <c r="AP1" s="181" t="s">
        <v>149</v>
      </c>
      <c r="AQ1" s="181" t="s">
        <v>138</v>
      </c>
      <c r="AR1" s="181" t="s">
        <v>123</v>
      </c>
      <c r="AS1" s="181" t="s">
        <v>150</v>
      </c>
      <c r="AT1" s="181" t="s">
        <v>151</v>
      </c>
      <c r="AU1" s="181" t="s">
        <v>152</v>
      </c>
      <c r="AV1" s="181" t="s">
        <v>153</v>
      </c>
      <c r="AW1" s="181" t="s">
        <v>154</v>
      </c>
      <c r="AX1" s="181" t="s">
        <v>155</v>
      </c>
      <c r="AY1" s="181" t="s">
        <v>156</v>
      </c>
      <c r="AZ1" s="181" t="s">
        <v>157</v>
      </c>
      <c r="BA1" s="181" t="s">
        <v>158</v>
      </c>
      <c r="BB1" s="181" t="s">
        <v>159</v>
      </c>
      <c r="BC1" s="181" t="s">
        <v>160</v>
      </c>
      <c r="BD1" s="181" t="s">
        <v>161</v>
      </c>
      <c r="BE1" s="181" t="s">
        <v>162</v>
      </c>
      <c r="BF1" s="181" t="s">
        <v>163</v>
      </c>
      <c r="BG1" s="181" t="s">
        <v>164</v>
      </c>
      <c r="BH1" s="181" t="s">
        <v>165</v>
      </c>
      <c r="BI1" s="181" t="s">
        <v>166</v>
      </c>
      <c r="BJ1" s="181" t="s">
        <v>167</v>
      </c>
      <c r="BK1" s="181" t="s">
        <v>168</v>
      </c>
      <c r="BL1" s="181" t="s">
        <v>169</v>
      </c>
      <c r="BM1" s="181" t="s">
        <v>170</v>
      </c>
      <c r="BN1" s="181" t="s">
        <v>171</v>
      </c>
      <c r="BO1" s="181" t="s">
        <v>172</v>
      </c>
      <c r="BP1" s="181" t="s">
        <v>173</v>
      </c>
      <c r="BQ1" s="181" t="s">
        <v>174</v>
      </c>
      <c r="BR1" s="181" t="s">
        <v>175</v>
      </c>
      <c r="BS1" s="181" t="s">
        <v>176</v>
      </c>
      <c r="BT1" s="181" t="s">
        <v>177</v>
      </c>
      <c r="BU1" s="181" t="s">
        <v>178</v>
      </c>
      <c r="BV1" s="181" t="s">
        <v>179</v>
      </c>
      <c r="BW1" s="181" t="s">
        <v>180</v>
      </c>
      <c r="BX1" s="181" t="s">
        <v>181</v>
      </c>
      <c r="BY1" s="181" t="s">
        <v>182</v>
      </c>
      <c r="BZ1" s="181" t="s">
        <v>183</v>
      </c>
      <c r="CA1" s="181" t="s">
        <v>183</v>
      </c>
      <c r="CB1" s="181" t="s">
        <v>184</v>
      </c>
      <c r="CC1" s="181" t="s">
        <v>160</v>
      </c>
      <c r="CD1" s="181" t="s">
        <v>183</v>
      </c>
      <c r="CE1" s="181" t="s">
        <v>185</v>
      </c>
      <c r="CF1" s="181" t="s">
        <v>186</v>
      </c>
      <c r="CG1" s="181" t="s">
        <v>183</v>
      </c>
      <c r="CH1" s="181" t="s">
        <v>187</v>
      </c>
      <c r="CI1" s="181" t="s">
        <v>187</v>
      </c>
      <c r="CJ1" s="181" t="s">
        <v>183</v>
      </c>
      <c r="CK1" s="181" t="s">
        <v>187</v>
      </c>
      <c r="CL1" s="181" t="s">
        <v>188</v>
      </c>
      <c r="CM1" s="181" t="s">
        <v>189</v>
      </c>
      <c r="CN1" s="181" t="s">
        <v>188</v>
      </c>
      <c r="CO1" s="181" t="s">
        <v>188</v>
      </c>
      <c r="CP1" s="181" t="s">
        <v>190</v>
      </c>
      <c r="CQ1" s="181" t="s">
        <v>191</v>
      </c>
      <c r="CR1" s="181" t="s">
        <v>192</v>
      </c>
      <c r="CS1" s="181" t="s">
        <v>114</v>
      </c>
      <c r="CT1" s="181" t="s">
        <v>193</v>
      </c>
      <c r="CU1" s="181" t="s">
        <v>149</v>
      </c>
      <c r="CV1" s="181" t="s">
        <v>149</v>
      </c>
      <c r="CW1" s="181" t="s">
        <v>194</v>
      </c>
      <c r="CX1" s="181" t="s">
        <v>195</v>
      </c>
      <c r="CY1" s="181" t="s">
        <v>196</v>
      </c>
      <c r="CZ1" s="181" t="s">
        <v>182</v>
      </c>
      <c r="DA1" s="181" t="s">
        <v>149</v>
      </c>
      <c r="DB1" s="181" t="s">
        <v>197</v>
      </c>
      <c r="DC1" s="181" t="s">
        <v>198</v>
      </c>
      <c r="DD1" s="181" t="s">
        <v>149</v>
      </c>
      <c r="DE1" s="181" t="s">
        <v>199</v>
      </c>
      <c r="DF1" s="181" t="s">
        <v>149</v>
      </c>
      <c r="DG1" s="181" t="s">
        <v>200</v>
      </c>
      <c r="DH1" s="181" t="s">
        <v>201</v>
      </c>
      <c r="DI1" s="181" t="s">
        <v>117</v>
      </c>
      <c r="DJ1" s="181" t="s">
        <v>202</v>
      </c>
      <c r="DK1" s="181" t="s">
        <v>117</v>
      </c>
      <c r="DL1" s="181" t="s">
        <v>117</v>
      </c>
      <c r="DM1" s="181" t="s">
        <v>203</v>
      </c>
      <c r="DN1" s="181" t="s">
        <v>204</v>
      </c>
      <c r="DO1" s="181" t="s">
        <v>205</v>
      </c>
      <c r="DP1" s="181" t="s">
        <v>206</v>
      </c>
      <c r="DQ1" s="181" t="s">
        <v>207</v>
      </c>
      <c r="DR1" s="181" t="s">
        <v>208</v>
      </c>
      <c r="DS1" s="181" t="s">
        <v>209</v>
      </c>
      <c r="DT1" s="181" t="s">
        <v>6</v>
      </c>
      <c r="DU1" s="181" t="s">
        <v>210</v>
      </c>
      <c r="DV1" s="181" t="s">
        <v>211</v>
      </c>
    </row>
    <row r="2" spans="1:126">
      <c r="A2" s="6" t="s">
        <v>212</v>
      </c>
      <c r="B2"/>
      <c r="C2"/>
      <c r="D2"/>
      <c r="E2"/>
      <c r="F2"/>
      <c r="G2"/>
      <c r="H2"/>
      <c r="I2"/>
      <c r="J2"/>
      <c r="K2" s="3"/>
      <c r="L2"/>
      <c r="M2"/>
      <c r="N2"/>
      <c r="O2" s="913"/>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row>
    <row r="3" spans="1:126">
      <c r="A3" s="6" t="s">
        <v>212</v>
      </c>
      <c r="B3"/>
      <c r="C3"/>
      <c r="D3"/>
      <c r="E3"/>
      <c r="F3"/>
      <c r="G3"/>
      <c r="H3"/>
      <c r="I3"/>
      <c r="J3"/>
      <c r="K3"/>
      <c r="L3"/>
      <c r="M3"/>
      <c r="N3"/>
      <c r="O3" s="91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row>
    <row r="4" spans="1:126">
      <c r="A4" s="6" t="s">
        <v>212</v>
      </c>
      <c r="B4"/>
      <c r="C4"/>
      <c r="D4"/>
      <c r="E4"/>
      <c r="F4"/>
      <c r="G4"/>
      <c r="H4"/>
      <c r="I4"/>
      <c r="J4"/>
      <c r="K4"/>
      <c r="L4"/>
      <c r="M4"/>
      <c r="N4"/>
      <c r="O4" s="913"/>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row>
    <row r="5" spans="1:126">
      <c r="A5" s="6" t="s">
        <v>212</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row>
    <row r="6" spans="1:126">
      <c r="A6" s="6" t="s">
        <v>212</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row>
    <row r="7" spans="1:126">
      <c r="A7" s="6" t="s">
        <v>212</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row>
    <row r="8" spans="1:126">
      <c r="A8" s="6" t="s">
        <v>212</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row>
    <row r="9" spans="1:126">
      <c r="A9" s="6" t="s">
        <v>212</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row>
    <row r="10" spans="1:126">
      <c r="A10" s="6" t="s">
        <v>212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row>
    <row r="11" spans="1:126">
      <c r="A11" s="6" t="s">
        <v>212</v>
      </c>
      <c r="B11"/>
      <c r="C11"/>
      <c r="D11"/>
      <c r="E11"/>
      <c r="F11"/>
      <c r="G11"/>
      <c r="H11" s="3"/>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row>
    <row r="12" spans="1:126">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row>
    <row r="13" spans="1:126">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row>
    <row r="14" spans="1:126">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row>
    <row r="15" spans="1:126">
      <c r="B15"/>
      <c r="C15"/>
      <c r="D15" s="913"/>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row>
    <row r="16" spans="1:12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row>
    <row r="17" spans="2:126">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row>
    <row r="18" spans="2:126">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row>
    <row r="19" spans="2:126">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row>
    <row r="20" spans="2:126">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row>
    <row r="21" spans="2:126">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row>
    <row r="22" spans="2:126">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row>
    <row r="23" spans="2:126">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row>
    <row r="24" spans="2:126">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row>
    <row r="25" spans="2:126">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row>
    <row r="26" spans="2:1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row>
    <row r="27" spans="2:126">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row>
    <row r="28" spans="2:126">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row>
    <row r="29" spans="2:126">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row>
    <row r="30" spans="2:126">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row>
    <row r="31" spans="2:126">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row>
    <row r="32" spans="2:126">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row>
    <row r="33" spans="2:126">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row>
    <row r="34" spans="2:126">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row>
    <row r="35" spans="2:126">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row>
    <row r="36" spans="2:12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row>
    <row r="37" spans="2:126">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row>
    <row r="38" spans="2:126">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row>
    <row r="39" spans="2:126">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row>
    <row r="40" spans="2:126">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row>
    <row r="41" spans="2:126">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row>
    <row r="42" spans="2:126">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row>
    <row r="43" spans="2:126">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row>
    <row r="44" spans="2:126">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row>
    <row r="45" spans="2:126">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row>
    <row r="46" spans="2:12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row>
    <row r="47" spans="2:126">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row>
    <row r="48" spans="2:126">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row>
    <row r="49" spans="2:126">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row>
    <row r="50" spans="2:126">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row>
    <row r="51" spans="2:126">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row>
    <row r="52" spans="2:126">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row>
    <row r="53" spans="2:126">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row>
    <row r="54" spans="2:126">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row>
    <row r="55" spans="2:126">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row>
    <row r="56" spans="2:12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row>
    <row r="57" spans="2:126">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row>
    <row r="58" spans="2:126">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row>
    <row r="59" spans="2:126">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row>
    <row r="60" spans="2:126">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row>
    <row r="61" spans="2:126">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row>
    <row r="62" spans="2:126">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row>
    <row r="63" spans="2:126">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row>
    <row r="64" spans="2:126">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row>
    <row r="65" spans="2:126">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row>
    <row r="66" spans="2:12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row>
    <row r="67" spans="2:126">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row>
    <row r="68" spans="2:126">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row>
    <row r="69" spans="2:126">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row>
    <row r="70" spans="2:126">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row>
    <row r="71" spans="2:126">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row>
    <row r="72" spans="2:126">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row>
    <row r="73" spans="2:126">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row>
    <row r="74" spans="2:126">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row>
    <row r="75" spans="2:126">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row>
    <row r="76" spans="2:12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row>
    <row r="77" spans="2:126">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row>
    <row r="78" spans="2:126">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row>
    <row r="79" spans="2:126">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row>
    <row r="80" spans="2:126">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row>
    <row r="81" spans="2:126">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row>
    <row r="82" spans="2:126">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row>
    <row r="83" spans="2:126">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row>
    <row r="84" spans="2:126">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row>
    <row r="85" spans="2:126">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row>
    <row r="86" spans="2:12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row>
    <row r="87" spans="2:126">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row>
    <row r="88" spans="2:126">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row>
    <row r="89" spans="2:126">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row>
    <row r="90" spans="2:126">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row>
    <row r="91" spans="2:126">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row>
    <row r="92" spans="2:126">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row>
    <row r="93" spans="2:126">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row>
    <row r="94" spans="2:126">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row>
    <row r="95" spans="2:126">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row>
    <row r="96" spans="2:12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row>
    <row r="97" spans="2:126">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row>
    <row r="98" spans="2:126">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row>
    <row r="99" spans="2:126">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row>
    <row r="100" spans="2:126">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row>
    <row r="101" spans="2:126">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row>
    <row r="102" spans="2:126">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row>
    <row r="103" spans="2:126">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row>
    <row r="104" spans="2:126">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row>
    <row r="105" spans="2:126">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row>
    <row r="106" spans="2:12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row>
    <row r="107" spans="2:126">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row>
    <row r="108" spans="2:126">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row>
    <row r="109" spans="2:126">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row>
    <row r="110" spans="2:126">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row>
    <row r="111" spans="2:126">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row>
    <row r="112" spans="2:126">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row>
    <row r="113" spans="2:126">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row>
    <row r="114" spans="2:126">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row>
    <row r="115" spans="2:126">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row>
    <row r="116" spans="2:12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row>
    <row r="117" spans="2:126">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row>
    <row r="118" spans="2:126">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row>
    <row r="119" spans="2:126">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row>
    <row r="120" spans="2:126">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row>
    <row r="121" spans="2:126">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row>
    <row r="122" spans="2:126">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row>
    <row r="123" spans="2:126">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row>
    <row r="124" spans="2:126">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row>
    <row r="125" spans="2:126">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row>
    <row r="126" spans="2: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row>
    <row r="127" spans="2:126">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row>
    <row r="128" spans="2:126">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row>
    <row r="129" spans="2:126">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row>
    <row r="130" spans="2:126">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row>
    <row r="131" spans="2:126">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row>
    <row r="132" spans="2:126">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row>
    <row r="133" spans="2:126">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row>
    <row r="134" spans="2:126">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row>
    <row r="135" spans="2:126">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row>
    <row r="136" spans="2:12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row>
    <row r="137" spans="2:126">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row>
    <row r="138" spans="2:126">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row>
    <row r="139" spans="2:126">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row>
    <row r="140" spans="2:126">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row>
    <row r="141" spans="2:126">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row>
    <row r="142" spans="2:126">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row>
    <row r="143" spans="2:126">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row>
    <row r="144" spans="2:126">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row>
    <row r="145" spans="2:126">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row>
    <row r="146" spans="2:12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row>
    <row r="147" spans="2:126">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row>
    <row r="148" spans="2:126">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row>
    <row r="149" spans="2:126">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row>
    <row r="150" spans="2:126">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row>
    <row r="151" spans="2:126">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row>
    <row r="152" spans="2:126">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row>
    <row r="153" spans="2:126">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row>
    <row r="154" spans="2:126">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row>
    <row r="155" spans="2:126">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row>
    <row r="156" spans="2:12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row>
    <row r="157" spans="2:126">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row>
    <row r="158" spans="2:126">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row>
    <row r="159" spans="2:126">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row>
    <row r="160" spans="2:126">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row>
    <row r="161" spans="2:126">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row>
    <row r="162" spans="2:126">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row>
    <row r="163" spans="2:126">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row>
    <row r="164" spans="2:126">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row>
    <row r="165" spans="2:126">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row>
    <row r="166" spans="2:12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row>
    <row r="167" spans="2:126">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row>
    <row r="168" spans="2:126">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row>
    <row r="169" spans="2:126">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row>
    <row r="170" spans="2:126">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row>
    <row r="171" spans="2:126">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row>
    <row r="172" spans="2:126">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row>
    <row r="173" spans="2:126">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row>
    <row r="174" spans="2:126">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row>
    <row r="175" spans="2:126">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row>
    <row r="176" spans="2:12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row>
    <row r="177" spans="2:126">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row>
    <row r="178" spans="2:126">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row>
    <row r="179" spans="2:126">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row>
    <row r="180" spans="2:126">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row>
    <row r="181" spans="2:126">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row>
    <row r="182" spans="2:126">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row>
    <row r="183" spans="2:126">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row>
    <row r="184" spans="2:126">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row>
    <row r="185" spans="2:126">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row>
    <row r="186" spans="2:12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row>
    <row r="187" spans="2:126">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row>
    <row r="188" spans="2:126">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row>
    <row r="189" spans="2:126">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row>
    <row r="190" spans="2:126">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row>
    <row r="191" spans="2:126">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row>
    <row r="192" spans="2:126">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row>
    <row r="193" spans="2:126">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row>
    <row r="194" spans="2:126">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row>
    <row r="195" spans="2:126">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row>
    <row r="196" spans="2:12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row>
    <row r="197" spans="2:126">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row>
    <row r="198" spans="2:126">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row>
    <row r="199" spans="2:126">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row>
    <row r="200" spans="2:126">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row>
    <row r="201" spans="2:126">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row>
    <row r="202" spans="2:126">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row>
    <row r="203" spans="2:126">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row>
    <row r="204" spans="2:126">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row>
    <row r="205" spans="2:126">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row>
    <row r="206" spans="2:12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row>
    <row r="207" spans="2:126">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row>
    <row r="208" spans="2:126">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row>
    <row r="209" spans="2:126">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row>
    <row r="210" spans="2:126">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row>
    <row r="211" spans="2:126">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row>
    <row r="212" spans="2:126">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row>
    <row r="213" spans="2:126">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row>
    <row r="214" spans="2:126">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row>
    <row r="215" spans="2:126">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row>
    <row r="216" spans="2:12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row>
    <row r="217" spans="2:126">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row>
    <row r="218" spans="2:126">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row>
    <row r="219" spans="2:126">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row>
    <row r="220" spans="2:126">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row>
    <row r="221" spans="2:126">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row>
    <row r="222" spans="2:126">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row>
    <row r="223" spans="2:126">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row>
    <row r="224" spans="2:126">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row>
    <row r="225" spans="2:126">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row>
    <row r="226" spans="2:1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row>
    <row r="227" spans="2:126">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row>
    <row r="228" spans="2:126">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row>
    <row r="229" spans="2:126">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row>
    <row r="230" spans="2:126">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row>
    <row r="231" spans="2:126">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row>
    <row r="232" spans="2:126">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row>
    <row r="233" spans="2:126">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row>
    <row r="234" spans="2:126">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row>
    <row r="235" spans="2:126">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row>
    <row r="236" spans="2:12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row>
    <row r="237" spans="2:126">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row>
    <row r="238" spans="2:126">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row>
    <row r="239" spans="2:126">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row>
    <row r="240" spans="2:126">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row>
    <row r="241" spans="2:126">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row>
    <row r="242" spans="2:126">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row>
    <row r="243" spans="2:126">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row>
    <row r="244" spans="2:126">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row>
    <row r="245" spans="2:126">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row>
    <row r="246" spans="2:12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row>
    <row r="247" spans="2:126">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row>
    <row r="248" spans="2:126">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row>
    <row r="249" spans="2:126">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row>
    <row r="250" spans="2:126">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row>
    <row r="251" spans="2:126">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row>
    <row r="252" spans="2:126">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row>
    <row r="253" spans="2:126">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row>
    <row r="254" spans="2:126">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row>
    <row r="255" spans="2:126">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row>
    <row r="256" spans="2:12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row>
    <row r="257" spans="2:126">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row>
    <row r="258" spans="2:126">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row>
    <row r="259" spans="2:126">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row>
    <row r="260" spans="2:126">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row>
    <row r="261" spans="2:126">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row>
    <row r="262" spans="2:126">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row>
    <row r="263" spans="2:126">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row>
    <row r="264" spans="2:126">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row>
    <row r="265" spans="2:126">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row>
    <row r="266" spans="2:12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row>
    <row r="267" spans="2:126">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row>
    <row r="268" spans="2:126">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row>
    <row r="269" spans="2:126">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row>
    <row r="270" spans="2:126">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row>
    <row r="271" spans="2:126">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row>
    <row r="272" spans="2:126">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row>
    <row r="273" spans="2:126">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row>
    <row r="274" spans="2:126">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row>
    <row r="275" spans="2:126">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row>
    <row r="276" spans="2:12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row>
    <row r="277" spans="2:126">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row>
    <row r="278" spans="2:126">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row>
    <row r="279" spans="2:126">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row>
    <row r="280" spans="2:126">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row>
    <row r="281" spans="2:126">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row>
    <row r="282" spans="2:126">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row>
    <row r="283" spans="2:126">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row>
    <row r="284" spans="2:126">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row>
    <row r="285" spans="2:126">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row>
    <row r="286" spans="2:12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row>
    <row r="287" spans="2:126">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row>
    <row r="288" spans="2:126">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row>
    <row r="289" spans="2:126">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row>
    <row r="290" spans="2:126">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row>
    <row r="291" spans="2:126">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row>
    <row r="292" spans="2:126">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row>
    <row r="293" spans="2:126">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row>
    <row r="294" spans="2:126">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row>
    <row r="295" spans="2:126">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row>
    <row r="296" spans="2:12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row>
    <row r="297" spans="2:126">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row>
    <row r="298" spans="2:126">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row>
    <row r="299" spans="2:126">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row>
    <row r="300" spans="2:126">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row>
    <row r="301" spans="2:126">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row>
    <row r="302" spans="2:126">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row>
    <row r="303" spans="2:126">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row>
    <row r="304" spans="2:126">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row>
    <row r="305" spans="2:126">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row>
    <row r="306" spans="2:12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row>
    <row r="307" spans="2:126">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row>
    <row r="308" spans="2:126">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row>
    <row r="309" spans="2:126">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row>
    <row r="310" spans="2:126">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row>
    <row r="311" spans="2:126">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row>
    <row r="312" spans="2:126">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row>
    <row r="313" spans="2:126">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row>
    <row r="314" spans="2:126">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row>
    <row r="315" spans="2:126">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row>
    <row r="316" spans="2:12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row>
    <row r="317" spans="2:126">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row>
    <row r="318" spans="2:126">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row>
    <row r="319" spans="2:126">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row>
    <row r="320" spans="2:126">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row>
    <row r="321" spans="2:126">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row>
    <row r="322" spans="2:126">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row>
    <row r="323" spans="2:126">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row>
    <row r="324" spans="2:126">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row>
    <row r="325" spans="2:126">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row>
    <row r="326" spans="2:1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row>
    <row r="327" spans="2:126">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row>
    <row r="328" spans="2:126">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row>
    <row r="329" spans="2:126">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row>
    <row r="330" spans="2:126">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row>
    <row r="331" spans="2:126">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row>
    <row r="332" spans="2:126">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row>
    <row r="333" spans="2:126">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row>
    <row r="334" spans="2:126">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row>
    <row r="335" spans="2:126">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row>
    <row r="336" spans="2:12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row>
    <row r="337" spans="2:126">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row>
    <row r="338" spans="2:126">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row>
    <row r="339" spans="2:126">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row>
    <row r="340" spans="2:126">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row>
    <row r="341" spans="2:126">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row>
    <row r="342" spans="2:126">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row>
    <row r="343" spans="2:126">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row>
    <row r="344" spans="2:126">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row>
    <row r="345" spans="2:126">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row>
    <row r="346" spans="2:12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row>
    <row r="347" spans="2:126">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row>
    <row r="348" spans="2:126">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row>
    <row r="349" spans="2:126">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row>
    <row r="350" spans="2:126">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row>
    <row r="351" spans="2:126">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row>
    <row r="352" spans="2:126">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row>
    <row r="353" spans="2:126">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row>
    <row r="354" spans="2:126">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row>
    <row r="355" spans="2:126">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row>
    <row r="356" spans="2:12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row>
    <row r="357" spans="2:126">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row>
    <row r="358" spans="2:126">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row>
    <row r="359" spans="2:126">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row>
    <row r="360" spans="2:126">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row>
    <row r="361" spans="2:126">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row>
    <row r="362" spans="2:126">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row>
    <row r="363" spans="2:126">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row>
    <row r="364" spans="2:126">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row>
    <row r="365" spans="2:126">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row>
    <row r="366" spans="2:12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row>
    <row r="367" spans="2:126">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row>
    <row r="368" spans="2:126">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row>
    <row r="369" spans="2:126">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row>
    <row r="370" spans="2:126">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row>
    <row r="371" spans="2:126">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row>
    <row r="372" spans="2:126">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row>
    <row r="373" spans="2:126">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row>
    <row r="374" spans="2:126">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row>
    <row r="375" spans="2:126">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row>
    <row r="376" spans="2:12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row>
    <row r="377" spans="2:126">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row>
    <row r="378" spans="2:126">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row>
    <row r="379" spans="2:126">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row>
    <row r="380" spans="2:126">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row>
    <row r="381" spans="2:126">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row>
    <row r="382" spans="2:126">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row>
    <row r="383" spans="2:126">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row>
    <row r="384" spans="2:126">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row>
    <row r="385" spans="2:126">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row>
    <row r="386" spans="2:12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row>
    <row r="387" spans="2:126">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row>
    <row r="388" spans="2:126">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row>
    <row r="389" spans="2:126">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row>
    <row r="390" spans="2:126">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row>
    <row r="391" spans="2:126">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row>
    <row r="392" spans="2:126">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row>
    <row r="393" spans="2:126">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row>
    <row r="394" spans="2:126">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row>
    <row r="395" spans="2:126">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row>
    <row r="396" spans="2:12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row>
    <row r="397" spans="2:126">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row>
    <row r="398" spans="2:126">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row>
    <row r="399" spans="2:126">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row>
    <row r="400" spans="2:126">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row>
    <row r="401" spans="2:126">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row>
    <row r="402" spans="2:126">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row>
    <row r="403" spans="2:126">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row>
    <row r="404" spans="2:126">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row>
    <row r="405" spans="2:126">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row>
    <row r="406" spans="2:12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row>
    <row r="407" spans="2:126">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row>
    <row r="408" spans="2:126">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row>
    <row r="409" spans="2:126">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row>
    <row r="410" spans="2:126">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row>
    <row r="411" spans="2:126">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row>
    <row r="412" spans="2:126">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row>
    <row r="413" spans="2:126">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row>
    <row r="414" spans="2:126">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row>
    <row r="415" spans="2:126">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row>
    <row r="416" spans="2:12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row>
    <row r="417" spans="2:126">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row>
    <row r="418" spans="2:126">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row>
    <row r="419" spans="2:126">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row>
    <row r="420" spans="2:126">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row>
    <row r="421" spans="2:126">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row>
    <row r="422" spans="2:126">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row>
    <row r="423" spans="2:126">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row>
    <row r="424" spans="2:126">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row>
    <row r="425" spans="2:126">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row>
    <row r="426" spans="2:1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row>
    <row r="427" spans="2:126">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row>
    <row r="428" spans="2:126">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row>
    <row r="429" spans="2:126">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row>
    <row r="430" spans="2:126">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row>
    <row r="431" spans="2:126">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row>
    <row r="432" spans="2:126">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row>
    <row r="433" spans="2:126">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row>
    <row r="434" spans="2:126">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row>
    <row r="435" spans="2:126">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row>
    <row r="436" spans="2:12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row>
    <row r="437" spans="2:126">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row>
    <row r="438" spans="2:126">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row>
    <row r="439" spans="2:126">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row>
    <row r="440" spans="2:126">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row>
    <row r="441" spans="2:126">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row>
    <row r="442" spans="2:126">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row>
    <row r="443" spans="2:126">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row>
    <row r="444" spans="2:126">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row>
    <row r="445" spans="2:126">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row>
    <row r="446" spans="2:12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row>
    <row r="447" spans="2:126">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row>
    <row r="448" spans="2:126">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row>
    <row r="449" spans="2:126">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row>
    <row r="450" spans="2:126">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row>
    <row r="451" spans="2:126">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row>
    <row r="452" spans="2:126">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row>
    <row r="453" spans="2:126">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row>
    <row r="454" spans="2:126">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row>
    <row r="455" spans="2:126">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row>
    <row r="456" spans="2:12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row>
    <row r="457" spans="2:126">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row>
    <row r="458" spans="2:126">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row>
    <row r="459" spans="2:126">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row>
    <row r="460" spans="2:126">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row>
    <row r="461" spans="2:126">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row>
    <row r="462" spans="2:126">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row>
    <row r="463" spans="2:126">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row>
    <row r="464" spans="2:126">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row>
    <row r="465" spans="2:126">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row>
    <row r="466" spans="2:12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row>
    <row r="467" spans="2:126">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row>
    <row r="468" spans="2:126">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row>
    <row r="469" spans="2:126">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row>
    <row r="470" spans="2:126">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row>
    <row r="471" spans="2:126">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row>
    <row r="472" spans="2:126">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row>
    <row r="473" spans="2:126">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row>
    <row r="474" spans="2:126">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row>
    <row r="475" spans="2:126">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row>
    <row r="476" spans="2:12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row>
    <row r="477" spans="2:126">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row>
    <row r="478" spans="2:126">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row>
    <row r="479" spans="2:126">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row>
    <row r="480" spans="2:126">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row>
    <row r="481" spans="2:126">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row>
    <row r="482" spans="2:126">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row>
    <row r="483" spans="2:126">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row>
    <row r="484" spans="2:126">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row>
    <row r="485" spans="2:126">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row>
    <row r="486" spans="2:12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row>
    <row r="487" spans="2:126">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row>
    <row r="488" spans="2:126">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row>
    <row r="489" spans="2:126">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row>
    <row r="490" spans="2:126">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row>
    <row r="491" spans="2:126">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row>
    <row r="492" spans="2:126">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row>
    <row r="493" spans="2:126">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row>
    <row r="494" spans="2:126">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row>
    <row r="495" spans="2:126">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row>
    <row r="496" spans="2:12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row>
    <row r="497" spans="2:126">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row>
    <row r="498" spans="2:126">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row>
    <row r="499" spans="2:126">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row>
    <row r="500" spans="2:126">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row>
    <row r="501" spans="2:126">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row>
    <row r="502" spans="2:126">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row>
    <row r="503" spans="2:126">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row>
    <row r="504" spans="2:126">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row>
    <row r="505" spans="2:126">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row>
    <row r="506" spans="2:12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row>
    <row r="507" spans="2:126">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row>
    <row r="508" spans="2:126">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row>
    <row r="509" spans="2:126">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row>
    <row r="510" spans="2:126">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row>
    <row r="511" spans="2:126">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row>
    <row r="512" spans="2:126">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row>
    <row r="513" spans="2:126">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row>
    <row r="514" spans="2:126">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row>
    <row r="515" spans="2:126">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row>
    <row r="516" spans="2:12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row>
    <row r="517" spans="2:126">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row>
    <row r="518" spans="2:126">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row>
    <row r="519" spans="2:126">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row>
    <row r="520" spans="2:126">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row>
    <row r="521" spans="2:126">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row>
    <row r="522" spans="2:126">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row>
    <row r="523" spans="2:126">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row>
    <row r="524" spans="2:126">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row>
    <row r="525" spans="2:126">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row>
    <row r="526" spans="2:1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row>
    <row r="527" spans="2:126">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row>
    <row r="528" spans="2:126">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row>
    <row r="529" spans="2:126">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row>
    <row r="530" spans="2:126">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row>
    <row r="531" spans="2:126">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row>
    <row r="532" spans="2:126">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row>
    <row r="533" spans="2:126">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row>
    <row r="534" spans="2:126">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row>
    <row r="535" spans="2:126">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row>
    <row r="536" spans="2:12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row>
    <row r="537" spans="2:126">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row>
    <row r="538" spans="2:126">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row>
    <row r="539" spans="2:126">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row>
    <row r="540" spans="2:126">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row>
    <row r="541" spans="2:126">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row>
    <row r="542" spans="2:126">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row>
    <row r="543" spans="2:126">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row>
    <row r="544" spans="2:126">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row>
    <row r="545" spans="2:126">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row>
    <row r="546" spans="2:12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row>
    <row r="547" spans="2:126">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row>
    <row r="548" spans="2:126">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row>
    <row r="549" spans="2:126">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row>
    <row r="550" spans="2:126">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row>
    <row r="551" spans="2:126">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row>
    <row r="552" spans="2:126">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row>
    <row r="553" spans="2:126">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row>
    <row r="554" spans="2:126">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row>
    <row r="555" spans="2:126">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row>
    <row r="556" spans="2:12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row>
    <row r="557" spans="2:126">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row>
    <row r="558" spans="2:126">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row>
    <row r="559" spans="2:126">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row>
    <row r="560" spans="2:126">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row>
    <row r="561" spans="2:126">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row>
    <row r="562" spans="2:126">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row>
    <row r="563" spans="2:126">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row>
    <row r="564" spans="2:126">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row>
    <row r="565" spans="2:126">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row>
    <row r="566" spans="2:12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row>
    <row r="567" spans="2:126">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row>
    <row r="568" spans="2:126">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row>
    <row r="569" spans="2:126">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row>
    <row r="570" spans="2:126">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row>
    <row r="571" spans="2:126">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row>
    <row r="572" spans="2:126">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row>
    <row r="573" spans="2:126">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row>
    <row r="574" spans="2:126">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row>
    <row r="575" spans="2:126">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row>
    <row r="576" spans="2:12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row>
    <row r="577" spans="2:126">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row>
    <row r="578" spans="2:126">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row>
    <row r="579" spans="2:126">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row>
    <row r="580" spans="2:126">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row>
    <row r="581" spans="2:126">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row>
    <row r="582" spans="2:126">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row>
    <row r="583" spans="2:126">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row>
    <row r="584" spans="2:126">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row>
    <row r="585" spans="2:126">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row>
    <row r="586" spans="2:12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row>
    <row r="587" spans="2:126">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row>
    <row r="588" spans="2:126">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row>
    <row r="589" spans="2:126">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row>
    <row r="590" spans="2:126">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row>
    <row r="591" spans="2:126">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row>
    <row r="592" spans="2:126">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row>
    <row r="593" spans="2:126">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row>
    <row r="594" spans="2:126">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row>
    <row r="595" spans="2:126">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row>
    <row r="596" spans="2:12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row>
    <row r="597" spans="2:126">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row>
    <row r="598" spans="2:126">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row>
    <row r="599" spans="2:126">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row>
    <row r="600" spans="2:126">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row>
    <row r="601" spans="2:126">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row>
    <row r="602" spans="2:126">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row>
    <row r="603" spans="2:126">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row>
    <row r="604" spans="2:126">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row>
    <row r="605" spans="2:126">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row>
    <row r="606" spans="2:12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row>
    <row r="607" spans="2:126">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row>
    <row r="608" spans="2:126">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row>
    <row r="609" spans="2:126">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row>
    <row r="610" spans="2:126">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row>
    <row r="611" spans="2:126">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row>
    <row r="612" spans="2:126">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row>
    <row r="613" spans="2:126">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row>
    <row r="614" spans="2:126">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row>
    <row r="615" spans="2:126">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row>
    <row r="616" spans="2:12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row>
    <row r="617" spans="2:126">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row>
    <row r="618" spans="2:126">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row>
    <row r="619" spans="2:126">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row>
    <row r="620" spans="2:126">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row>
    <row r="621" spans="2:126">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row>
    <row r="622" spans="2:126">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row>
    <row r="623" spans="2:126">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row>
    <row r="624" spans="2:126">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row>
    <row r="625" spans="2:126">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row>
    <row r="626" spans="2:1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row>
    <row r="627" spans="2:126">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row>
    <row r="628" spans="2:126">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row>
    <row r="629" spans="2:126">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row>
    <row r="630" spans="2:126">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row>
    <row r="631" spans="2:126">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row>
    <row r="632" spans="2:126">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row>
    <row r="633" spans="2:126">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row>
    <row r="634" spans="2:126">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row>
    <row r="635" spans="2:126">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row>
    <row r="636" spans="2:12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row>
    <row r="637" spans="2:126">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row>
    <row r="638" spans="2:126">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row>
    <row r="639" spans="2:126">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row>
    <row r="640" spans="2:126">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row>
    <row r="641" spans="2:126">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row>
    <row r="642" spans="2:126">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row>
    <row r="643" spans="2:126">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row>
    <row r="644" spans="2:126">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row>
    <row r="645" spans="2:126">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row>
    <row r="646" spans="2:12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row>
    <row r="647" spans="2:126">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row>
    <row r="648" spans="2:126">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row>
    <row r="649" spans="2:126">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row>
    <row r="650" spans="2:126">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row>
    <row r="651" spans="2:126">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row>
    <row r="652" spans="2:126">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row>
    <row r="653" spans="2:126">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row>
    <row r="654" spans="2:126">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row>
    <row r="655" spans="2:126">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row>
    <row r="656" spans="2:12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row>
    <row r="657" spans="2:126">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row>
    <row r="658" spans="2:126">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row>
    <row r="659" spans="2:126">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row>
    <row r="660" spans="2:126">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row>
    <row r="661" spans="2:126">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row>
    <row r="662" spans="2:126">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row>
    <row r="663" spans="2:126">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row>
    <row r="664" spans="2:126">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row>
    <row r="665" spans="2:126">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row>
    <row r="666" spans="2:12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row>
    <row r="667" spans="2:126">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row>
    <row r="668" spans="2:126">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row>
    <row r="669" spans="2:126">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row>
    <row r="670" spans="2:126">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row>
    <row r="671" spans="2:126">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row>
    <row r="672" spans="2:126">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row>
    <row r="673" spans="2:126">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row>
    <row r="674" spans="2:126">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row>
    <row r="675" spans="2:126">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row>
    <row r="676" spans="2:12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row>
    <row r="677" spans="2:126">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row>
    <row r="678" spans="2:126">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row>
    <row r="679" spans="2:126">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row>
    <row r="680" spans="2:126">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row>
    <row r="681" spans="2:126">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row>
    <row r="682" spans="2:126">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row>
    <row r="683" spans="2:126">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row>
    <row r="684" spans="2:126">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row>
    <row r="685" spans="2:126">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row>
    <row r="686" spans="2:12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row>
    <row r="687" spans="2:126">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row>
    <row r="688" spans="2:126">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row>
    <row r="689" spans="2:126">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row>
    <row r="690" spans="2:126">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row>
    <row r="691" spans="2:126">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row>
    <row r="692" spans="2:126">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row>
    <row r="693" spans="2:126">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row>
    <row r="694" spans="2:126">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row>
    <row r="695" spans="2:126">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row>
    <row r="696" spans="2:12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row>
    <row r="697" spans="2:126">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row>
    <row r="698" spans="2:126">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row>
    <row r="699" spans="2:126">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row>
    <row r="700" spans="2:126">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row>
    <row r="701" spans="2:126">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row>
    <row r="702" spans="2:126">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row>
    <row r="703" spans="2:126">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row>
    <row r="704" spans="2:126">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row>
    <row r="705" spans="2:126">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row>
    <row r="706" spans="2:12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row>
    <row r="707" spans="2:126">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row>
    <row r="708" spans="2:126">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row>
    <row r="709" spans="2:126">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row>
    <row r="710" spans="2:126">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row>
    <row r="711" spans="2:126">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row>
    <row r="712" spans="2:126">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row>
    <row r="713" spans="2:126">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row>
    <row r="714" spans="2:126">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row>
    <row r="715" spans="2:126">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row>
    <row r="716" spans="2:12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row>
    <row r="717" spans="2:126">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row>
    <row r="718" spans="2:126">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row>
    <row r="719" spans="2:126">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row>
    <row r="720" spans="2:126">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row>
    <row r="721" spans="2:126">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row>
    <row r="722" spans="2:126">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row>
    <row r="723" spans="2:126">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row>
    <row r="724" spans="2:126">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row>
    <row r="725" spans="2:126">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row>
    <row r="726" spans="2:1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row>
    <row r="727" spans="2:126">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row>
    <row r="728" spans="2:126">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row>
    <row r="729" spans="2:126">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row>
    <row r="730" spans="2:126">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row>
    <row r="731" spans="2:126">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row>
    <row r="732" spans="2:126">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row>
    <row r="733" spans="2:126">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row>
    <row r="734" spans="2:126">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row>
    <row r="735" spans="2:126">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row>
    <row r="736" spans="2:12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row>
    <row r="737" spans="2:126">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row>
    <row r="738" spans="2:126">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row>
    <row r="739" spans="2:126">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row>
    <row r="740" spans="2:126">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row>
    <row r="741" spans="2:126">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row>
    <row r="742" spans="2:126">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row>
    <row r="743" spans="2:126">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row>
    <row r="744" spans="2:126">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row>
    <row r="745" spans="2:126">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row>
    <row r="746" spans="2:12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row>
    <row r="747" spans="2:126">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row>
    <row r="748" spans="2:126">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row>
    <row r="749" spans="2:126">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row>
    <row r="750" spans="2:126">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row>
    <row r="751" spans="2:126">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row>
    <row r="752" spans="2:126">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row>
    <row r="753" spans="2:126">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row>
    <row r="754" spans="2:126">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row>
    <row r="755" spans="2:126">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row>
    <row r="756" spans="2:12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row>
    <row r="757" spans="2:126">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row>
    <row r="758" spans="2:126">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row>
    <row r="759" spans="2:126">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row>
    <row r="760" spans="2:126">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row>
    <row r="761" spans="2:126">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row>
    <row r="762" spans="2:126">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row>
    <row r="763" spans="2:126">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row>
    <row r="764" spans="2:126">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row>
    <row r="765" spans="2:126">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row>
    <row r="766" spans="2:12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row>
    <row r="767" spans="2:126">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row>
    <row r="768" spans="2:126">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row>
    <row r="769" spans="2:126">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row>
    <row r="770" spans="2:126">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row>
    <row r="771" spans="2:126">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row>
    <row r="772" spans="2:126">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row>
    <row r="773" spans="2:126">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row>
    <row r="774" spans="2:126">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row>
    <row r="775" spans="2:126">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row>
    <row r="776" spans="2:12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row>
    <row r="777" spans="2:126">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row>
    <row r="778" spans="2:126">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row>
    <row r="779" spans="2:126">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row>
    <row r="780" spans="2:126">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row>
    <row r="781" spans="2:126">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row>
    <row r="782" spans="2:126">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row>
    <row r="783" spans="2:126">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row>
    <row r="784" spans="2:126">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row>
    <row r="785" spans="2:126">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row>
    <row r="786" spans="2:12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row>
    <row r="787" spans="2:126">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row>
    <row r="788" spans="2:126">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row>
    <row r="789" spans="2:126">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row>
    <row r="790" spans="2:126">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row>
    <row r="791" spans="2:126">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row>
    <row r="792" spans="2:126">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row>
    <row r="793" spans="2:126">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row>
    <row r="794" spans="2:126">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row>
    <row r="795" spans="2:126">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row>
    <row r="796" spans="2:12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row>
    <row r="797" spans="2:126">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row>
    <row r="798" spans="2:126">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row>
    <row r="799" spans="2:126">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row>
    <row r="800" spans="2:126">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row>
    <row r="801" spans="2:126">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row>
    <row r="802" spans="2:126">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row>
    <row r="803" spans="2:126">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row>
    <row r="804" spans="2:126">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row>
    <row r="805" spans="2:126">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row>
    <row r="806" spans="2:12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row>
    <row r="807" spans="2:126">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row>
    <row r="808" spans="2:126">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row>
    <row r="809" spans="2:126">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row>
    <row r="810" spans="2:126">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row>
    <row r="811" spans="2:126">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row>
    <row r="812" spans="2:126">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row>
    <row r="813" spans="2:126">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row>
    <row r="814" spans="2:126">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row>
    <row r="815" spans="2:126">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row>
    <row r="816" spans="2:12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row>
    <row r="817" spans="2:126">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row>
    <row r="818" spans="2:126">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row>
    <row r="819" spans="2:126">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row>
    <row r="820" spans="2:126">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row>
    <row r="821" spans="2:126">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row>
    <row r="822" spans="2:126">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row>
    <row r="823" spans="2:126">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row>
    <row r="824" spans="2:126">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row>
    <row r="825" spans="2:126">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row>
    <row r="826" spans="2:1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row>
    <row r="827" spans="2:126">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row>
    <row r="828" spans="2:126">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row>
    <row r="829" spans="2:126">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row>
    <row r="830" spans="2:126">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row>
    <row r="831" spans="2:126">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row>
    <row r="832" spans="2:126">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row>
    <row r="833" spans="2:126">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row>
    <row r="834" spans="2:126">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row>
    <row r="835" spans="2:126">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row>
    <row r="836" spans="2:12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row>
    <row r="837" spans="2:126">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row>
    <row r="838" spans="2:126">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row>
    <row r="839" spans="2:126">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row>
    <row r="840" spans="2:126">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row>
    <row r="841" spans="2:126">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row>
    <row r="842" spans="2:126">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row>
    <row r="843" spans="2:126">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row>
    <row r="844" spans="2:126">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row>
    <row r="845" spans="2:126">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row>
    <row r="846" spans="2:12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row>
    <row r="847" spans="2:126">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row>
    <row r="848" spans="2:126">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row>
    <row r="849" spans="2:126">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row>
    <row r="850" spans="2:126">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row>
    <row r="851" spans="2:126">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row>
    <row r="852" spans="2:126">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row>
    <row r="853" spans="2:126">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row>
    <row r="854" spans="2:126">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row>
    <row r="855" spans="2:126">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row>
    <row r="856" spans="2:12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row>
    <row r="857" spans="2:126">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row>
    <row r="858" spans="2:126">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row>
    <row r="859" spans="2:126">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row>
    <row r="860" spans="2:126">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row>
    <row r="861" spans="2:126">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row>
    <row r="862" spans="2:126">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row>
    <row r="863" spans="2:126">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row>
    <row r="864" spans="2:126">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row>
    <row r="865" spans="2:126">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row>
    <row r="866" spans="2:12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row>
    <row r="867" spans="2:126">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row>
    <row r="868" spans="2:126">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row>
    <row r="869" spans="2:126">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row>
    <row r="870" spans="2:126">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row>
    <row r="871" spans="2:126">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row>
    <row r="872" spans="2:126">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row>
    <row r="873" spans="2:126">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row>
    <row r="874" spans="2:126">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row>
    <row r="875" spans="2:126">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row>
    <row r="876" spans="2:12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row>
    <row r="877" spans="2:126">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row>
    <row r="878" spans="2:126">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row>
    <row r="879" spans="2:126">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row>
    <row r="880" spans="2:126">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row>
    <row r="881" spans="2:126">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row>
    <row r="882" spans="2:126">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row>
    <row r="883" spans="2:126">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row>
    <row r="884" spans="2:126">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row>
    <row r="885" spans="2:126">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row>
    <row r="886" spans="2:12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row>
    <row r="887" spans="2:126">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row>
    <row r="888" spans="2:126">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row>
    <row r="889" spans="2:126">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row>
    <row r="890" spans="2:126">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row>
    <row r="891" spans="2:126">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row>
    <row r="892" spans="2:126">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row>
    <row r="893" spans="2:126">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row>
    <row r="894" spans="2:126">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row>
    <row r="895" spans="2:126">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row>
    <row r="896" spans="2:12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row>
    <row r="897" spans="2:126">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row>
    <row r="898" spans="2:126">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row>
    <row r="899" spans="2:126">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row>
    <row r="900" spans="2:126">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row>
    <row r="901" spans="2:126">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row>
    <row r="902" spans="2:126">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row>
    <row r="903" spans="2:126">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row>
    <row r="904" spans="2:126">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row>
    <row r="905" spans="2:126">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row>
    <row r="906" spans="2:12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row>
    <row r="907" spans="2:126">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row>
    <row r="908" spans="2:126">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row>
    <row r="909" spans="2:126">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row>
    <row r="910" spans="2:126">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row>
    <row r="911" spans="2:126">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row>
    <row r="912" spans="2:126">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row>
    <row r="913" spans="2:126">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row>
    <row r="914" spans="2:126">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row>
    <row r="915" spans="2:126">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row>
    <row r="916" spans="2:12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row>
    <row r="917" spans="2:126">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row>
    <row r="918" spans="2:126">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row>
    <row r="919" spans="2:126">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row>
    <row r="920" spans="2:126">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row>
    <row r="921" spans="2:126">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row>
    <row r="922" spans="2:126">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row>
    <row r="923" spans="2:126">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row>
    <row r="924" spans="2:126">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row>
    <row r="925" spans="2:126">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row>
    <row r="926" spans="2:1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row>
    <row r="927" spans="2:126">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row>
    <row r="928" spans="2:126">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row>
    <row r="929" spans="2:126">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row>
    <row r="930" spans="2:126">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row>
    <row r="931" spans="2:126">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row>
    <row r="932" spans="2:126">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row>
    <row r="933" spans="2:126">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row>
    <row r="934" spans="2:126">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row>
    <row r="935" spans="2:126">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row>
    <row r="936" spans="2:12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row>
    <row r="937" spans="2:126">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row>
    <row r="938" spans="2:126">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row>
    <row r="939" spans="2:126">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row>
    <row r="940" spans="2:126">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row>
    <row r="941" spans="2:126">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row>
    <row r="942" spans="2:126">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row>
    <row r="943" spans="2:126">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row>
    <row r="944" spans="2:126">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row>
    <row r="945" spans="2:126">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row>
    <row r="946" spans="2:12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row>
    <row r="947" spans="2:126">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row>
    <row r="948" spans="2:126">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row>
    <row r="949" spans="2:126">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row>
    <row r="950" spans="2:126">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row>
    <row r="951" spans="2:126">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row>
    <row r="952" spans="2:126">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row>
    <row r="953" spans="2:126">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row>
    <row r="954" spans="2:126">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row>
    <row r="955" spans="2:126">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row>
    <row r="956" spans="2:12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row>
    <row r="957" spans="2:126">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row>
    <row r="958" spans="2:126">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row>
    <row r="959" spans="2:126">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row>
    <row r="960" spans="2:126">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row>
    <row r="961" spans="2:126">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row>
    <row r="962" spans="2:126">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row>
    <row r="963" spans="2:126">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row>
    <row r="964" spans="2:126">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row>
    <row r="965" spans="2:126">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row>
    <row r="966" spans="2:12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row>
    <row r="967" spans="2:126">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row>
    <row r="968" spans="2:126">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row>
    <row r="969" spans="2:126">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row>
    <row r="970" spans="2:126">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row>
    <row r="971" spans="2:126">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row>
    <row r="972" spans="2:126">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row>
    <row r="973" spans="2:126">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row>
    <row r="974" spans="2:126">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row>
    <row r="975" spans="2:126">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row>
    <row r="976" spans="2:12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row>
    <row r="977" spans="2:126">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row>
    <row r="978" spans="2:126">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row>
    <row r="979" spans="2:126">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row>
    <row r="980" spans="2:126">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row>
    <row r="981" spans="2:126">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row>
    <row r="982" spans="2:126">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row>
    <row r="983" spans="2:126">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row>
    <row r="984" spans="2:126">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row>
    <row r="985" spans="2:126">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row>
    <row r="986" spans="2:12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row>
    <row r="987" spans="2:126">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row>
    <row r="988" spans="2:126">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row>
    <row r="989" spans="2:126">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row>
    <row r="990" spans="2:126">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row>
    <row r="991" spans="2:126">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row>
    <row r="992" spans="2:126">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row>
    <row r="993" spans="2:126">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row>
    <row r="994" spans="2:126">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row>
    <row r="995" spans="2:126">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row>
    <row r="996" spans="2:12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row>
    <row r="997" spans="2:126">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row>
    <row r="998" spans="2:126">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row>
    <row r="999" spans="2:126">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row>
    <row r="1000" spans="2:126">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row>
    <row r="1001" spans="2:126">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row>
    <row r="1002" spans="2:126">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row>
    <row r="1003" spans="2:126">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row>
    <row r="1004" spans="2:126">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row>
    <row r="1005" spans="2:126">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row>
    <row r="1006" spans="2:12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row>
    <row r="1007" spans="2:126">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row>
    <row r="1008" spans="2:126">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row>
    <row r="1009" spans="2:126">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row>
    <row r="1010" spans="2:126">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row>
    <row r="1011" spans="2:126">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row>
    <row r="1012" spans="2:126">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row>
    <row r="1013" spans="2:126">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row>
    <row r="1014" spans="2:126">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row>
    <row r="1015" spans="2:126">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row>
    <row r="1016" spans="2:12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row>
    <row r="1017" spans="2:126">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row>
    <row r="1018" spans="2:126">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row>
    <row r="1019" spans="2:126">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row>
    <row r="1020" spans="2:126">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row>
    <row r="1021" spans="2:126">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row>
    <row r="1022" spans="2:126">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row>
    <row r="1023" spans="2:126">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row>
    <row r="1024" spans="2:126">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row>
    <row r="1025" spans="2:126">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row>
    <row r="1026" spans="2:1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row>
    <row r="1027" spans="2:126">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row>
    <row r="1028" spans="2:126">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row>
    <row r="1029" spans="2:126">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row>
    <row r="1030" spans="2:126">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row>
    <row r="1031" spans="2:126">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row>
    <row r="1032" spans="2:126">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row>
    <row r="1033" spans="2:126">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row>
    <row r="1034" spans="2:126">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row>
    <row r="1035" spans="2:126">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row>
    <row r="1036" spans="2:12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row>
    <row r="1037" spans="2:126">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row>
    <row r="1038" spans="2:126">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row>
    <row r="1039" spans="2:126">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row>
    <row r="1040" spans="2:126">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row>
    <row r="1041" spans="2:126">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row>
    <row r="1042" spans="2:126">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row>
    <row r="1043" spans="2:126">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row>
    <row r="1044" spans="2:126">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row>
    <row r="1045" spans="2:126">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row>
    <row r="1046" spans="2:12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row>
    <row r="1047" spans="2:126">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row>
    <row r="1048" spans="2:126">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row>
    <row r="1049" spans="2:126">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row>
    <row r="1050" spans="2:126">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row>
    <row r="1051" spans="2:126">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row>
    <row r="1052" spans="2:126">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row>
    <row r="1053" spans="2:126">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row>
    <row r="1054" spans="2:126">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row>
    <row r="1055" spans="2:126">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row>
    <row r="1056" spans="2:12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row>
    <row r="1057" spans="2:126">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row>
    <row r="1058" spans="2:126">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row>
    <row r="1059" spans="2:126">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row>
    <row r="1060" spans="2:126">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row>
    <row r="1061" spans="2:126">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row>
    <row r="1062" spans="2:126">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row>
    <row r="1063" spans="2:126">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row>
    <row r="1064" spans="2:126">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row>
    <row r="1065" spans="2:126">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row>
    <row r="1066" spans="2:12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row>
    <row r="1067" spans="2:126">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row>
    <row r="1068" spans="2:126">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row>
    <row r="1069" spans="2:126">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row>
    <row r="1070" spans="2:126">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row>
    <row r="1071" spans="2:126">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row>
    <row r="1072" spans="2:126">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row>
    <row r="1073" spans="2:126">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row>
    <row r="1074" spans="2:126">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row>
    <row r="1075" spans="2:126">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row>
    <row r="1076" spans="2:12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row>
    <row r="1077" spans="2:126">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row>
    <row r="1078" spans="2:126">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row>
    <row r="1079" spans="2:126">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row>
    <row r="1080" spans="2:126">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row>
    <row r="1081" spans="2:126">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row>
    <row r="1082" spans="2:126">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row>
    <row r="1083" spans="2:126">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row>
    <row r="1084" spans="2:126">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row>
    <row r="1085" spans="2:126">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row>
    <row r="1086" spans="2:12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row>
    <row r="1087" spans="2:126">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row>
    <row r="1088" spans="2:126">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row>
    <row r="1089" spans="2:126">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row>
    <row r="1090" spans="2:126">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row>
    <row r="1091" spans="2:126">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row>
    <row r="1092" spans="2:126">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row>
    <row r="1093" spans="2:126">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row>
    <row r="1094" spans="2:126">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row>
    <row r="1095" spans="2:126">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row>
    <row r="1096" spans="2:12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row>
    <row r="1097" spans="2:126">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row>
    <row r="1098" spans="2:126">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row>
    <row r="1099" spans="2:126">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row>
    <row r="1100" spans="2:126">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row>
    <row r="1101" spans="2:126">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row>
    <row r="1102" spans="2:126">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row>
    <row r="1103" spans="2:126">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row>
    <row r="1104" spans="2:126">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row>
    <row r="1105" spans="2:126">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row>
    <row r="1106" spans="2:12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row>
    <row r="1107" spans="2:126">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row>
    <row r="1108" spans="2:126">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row>
    <row r="1109" spans="2:126">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row>
    <row r="1110" spans="2:126">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row>
    <row r="1111" spans="2:126">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row>
    <row r="1112" spans="2:126">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row>
    <row r="1113" spans="2:126">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row>
    <row r="1114" spans="2:126">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row>
    <row r="1115" spans="2:126">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row>
    <row r="1116" spans="2:12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row>
    <row r="1117" spans="2:126">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row>
    <row r="1118" spans="2:126">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row>
    <row r="1119" spans="2:126">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row>
    <row r="1120" spans="2:126">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row>
    <row r="1121" spans="2:126">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row>
    <row r="1122" spans="2:126">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row>
    <row r="1123" spans="2:126">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row>
    <row r="1124" spans="2:126">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row>
    <row r="1125" spans="2:126">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row>
    <row r="1126" spans="2: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row>
    <row r="1127" spans="2:126">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row>
    <row r="1128" spans="2:126">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row>
    <row r="1129" spans="2:126">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row>
    <row r="1130" spans="2:126">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row>
    <row r="1131" spans="2:126">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row>
    <row r="1132" spans="2:126">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row>
    <row r="1133" spans="2:126">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row>
    <row r="1134" spans="2:126">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row>
    <row r="1135" spans="2:126">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row>
    <row r="1136" spans="2:12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row>
    <row r="1137" spans="2:126">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row>
    <row r="1138" spans="2:126">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row>
    <row r="1139" spans="2:126">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row>
    <row r="1140" spans="2:126">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row>
    <row r="1141" spans="2:126">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row>
    <row r="1142" spans="2:126">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row>
    <row r="1143" spans="2:126">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row>
    <row r="1144" spans="2:126">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row>
    <row r="1145" spans="2:126">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row>
    <row r="1146" spans="2:12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row>
    <row r="1147" spans="2:126">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row>
    <row r="1148" spans="2:126">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row>
    <row r="1149" spans="2:126">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row>
    <row r="1150" spans="2:126">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row>
    <row r="1151" spans="2:126">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row>
    <row r="1152" spans="2:126">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row>
    <row r="1153" spans="2:126">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row>
    <row r="1154" spans="2:126">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row>
    <row r="1155" spans="2:126">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row>
    <row r="1156" spans="2:12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row>
    <row r="1157" spans="2:126">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row>
    <row r="1158" spans="2:126">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row>
    <row r="1159" spans="2:126">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row>
    <row r="1160" spans="2:126">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row>
    <row r="1161" spans="2:126">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row>
    <row r="1162" spans="2:126">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row>
    <row r="1163" spans="2:126">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row>
    <row r="1164" spans="2:126">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row>
    <row r="1165" spans="2:126">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row>
    <row r="1166" spans="2:12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row>
    <row r="1167" spans="2:126">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row>
    <row r="1168" spans="2:126">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row>
    <row r="1169" spans="2:126">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row>
    <row r="1170" spans="2:126">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row>
    <row r="1171" spans="2:126">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row>
    <row r="1172" spans="2:126">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row>
    <row r="1173" spans="2:126">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row>
    <row r="1174" spans="2:126">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row>
    <row r="1175" spans="2:126">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row>
    <row r="1176" spans="2:12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row>
    <row r="1177" spans="2:126">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row>
    <row r="1178" spans="2:126">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row>
    <row r="1179" spans="2:126">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row>
    <row r="1180" spans="2:126">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row>
    <row r="1181" spans="2:126">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row>
    <row r="1182" spans="2:126">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row>
    <row r="1183" spans="2:126">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row>
    <row r="1184" spans="2:126">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row>
    <row r="1185" spans="2:126">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row>
    <row r="1186" spans="2:12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row>
    <row r="1187" spans="2:126">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row>
    <row r="1188" spans="2:126">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row>
    <row r="1189" spans="2:126">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row>
    <row r="1190" spans="2:126">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row>
    <row r="1191" spans="2:126">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row>
    <row r="1192" spans="2:126">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row>
    <row r="1193" spans="2:126">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row>
    <row r="1194" spans="2:126">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row>
    <row r="1195" spans="2:126">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row>
    <row r="1196" spans="2:12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row>
    <row r="1197" spans="2:126">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row>
    <row r="1198" spans="2:126">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row>
    <row r="1199" spans="2:126">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row>
    <row r="1200" spans="2:126">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row>
    <row r="1201" spans="2:126">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row>
    <row r="1202" spans="2:126">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row>
    <row r="1203" spans="2:126">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row>
    <row r="1204" spans="2:126">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row>
    <row r="1205" spans="2:126">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row>
    <row r="1206" spans="2:12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row>
    <row r="1207" spans="2:126">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row>
    <row r="1208" spans="2:126">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row>
    <row r="1209" spans="2:126">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row>
    <row r="1210" spans="2:126">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row>
    <row r="1211" spans="2:126">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row>
    <row r="1212" spans="2:126">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row>
    <row r="1213" spans="2:126">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row>
    <row r="1214" spans="2:126">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row>
    <row r="1215" spans="2:126">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row>
    <row r="1216" spans="2:12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row>
    <row r="1217" spans="2:126">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row>
    <row r="1218" spans="2:126">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row>
    <row r="1219" spans="2:126">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row>
    <row r="1220" spans="2:126">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row>
    <row r="1221" spans="2:126">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row>
    <row r="1222" spans="2:126">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row>
    <row r="1223" spans="2:126">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row>
    <row r="1224" spans="2:126">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row>
    <row r="1225" spans="2:126">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row>
    <row r="1226" spans="2:1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row>
    <row r="1227" spans="2:126">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row>
    <row r="1228" spans="2:126">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row>
    <row r="1229" spans="2:126">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row>
    <row r="1230" spans="2:126">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row>
    <row r="1231" spans="2:126">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row>
    <row r="1232" spans="2:126">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row>
    <row r="1233" spans="2:126">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row>
    <row r="1234" spans="2:126">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row>
    <row r="1235" spans="2:126">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row>
    <row r="1236" spans="2:12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row>
    <row r="1237" spans="2:126">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row>
    <row r="1238" spans="2:126">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row>
    <row r="1239" spans="2:126">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row>
    <row r="1240" spans="2:126">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row>
    <row r="1241" spans="2:126">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row>
    <row r="1242" spans="2:126">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row>
    <row r="1243" spans="2:126">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row>
    <row r="1244" spans="2:126">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row>
    <row r="1245" spans="2:126">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row>
    <row r="1246" spans="2:12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row>
    <row r="1247" spans="2:126">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row>
    <row r="1248" spans="2:126">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row>
    <row r="1249" spans="2:126">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row>
    <row r="1250" spans="2:126">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row>
    <row r="1251" spans="2:126">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row>
    <row r="1252" spans="2:126">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row>
    <row r="1253" spans="2:126">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row>
    <row r="1254" spans="2:126">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row>
    <row r="1255" spans="2:126">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row>
    <row r="1256" spans="2:12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row>
    <row r="1257" spans="2:126">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row>
    <row r="1258" spans="2:126">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row>
    <row r="1259" spans="2:126">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row>
    <row r="1260" spans="2:126">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row>
    <row r="1261" spans="2:126">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row>
    <row r="1262" spans="2:126">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row>
    <row r="1263" spans="2:126">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row>
    <row r="1264" spans="2:126">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row>
    <row r="1265" spans="2:126">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row>
    <row r="1266" spans="2:12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row>
    <row r="1267" spans="2:126">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row>
    <row r="1268" spans="2:126">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row>
    <row r="1269" spans="2:126">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row>
    <row r="1270" spans="2:126">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row>
    <row r="1271" spans="2:126">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row>
    <row r="1272" spans="2:126">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row>
    <row r="1273" spans="2:126">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row>
    <row r="1274" spans="2:126">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row>
    <row r="1275" spans="2:126">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row>
    <row r="1276" spans="2:12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row>
    <row r="1277" spans="2:126">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row>
    <row r="1278" spans="2:126">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row>
    <row r="1279" spans="2:126">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row>
    <row r="1280" spans="2:126">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row>
    <row r="1281" spans="2:126">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row>
    <row r="1282" spans="2:126">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row>
    <row r="1283" spans="2:126">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row>
    <row r="1284" spans="2:126">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row>
    <row r="1285" spans="2:126">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row>
    <row r="1286" spans="2:12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row>
    <row r="1287" spans="2:126">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row>
    <row r="1288" spans="2:126">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row>
    <row r="1289" spans="2:126">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row>
    <row r="1290" spans="2:126">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row>
    <row r="1291" spans="2:126">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row>
    <row r="1292" spans="2:126">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row>
    <row r="1293" spans="2:126">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row>
    <row r="1294" spans="2:126">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row>
    <row r="1295" spans="2:126">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row>
    <row r="1296" spans="2:12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row>
    <row r="1297" spans="2:126">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row>
    <row r="1298" spans="2:126">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row>
    <row r="1299" spans="2:126">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row>
    <row r="1300" spans="2:126">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row>
    <row r="1301" spans="2:126">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row>
    <row r="1302" spans="2:126">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row>
    <row r="1303" spans="2:126">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row>
    <row r="1304" spans="2:126">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row>
    <row r="1305" spans="2:126">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row>
    <row r="1306" spans="2:12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row>
    <row r="1307" spans="2:126">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row>
    <row r="1308" spans="2:126">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row>
    <row r="1309" spans="2:126">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row>
    <row r="1310" spans="2:126">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row>
    <row r="1311" spans="2:126">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row>
    <row r="1312" spans="2:126">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row>
    <row r="1313" spans="2:126">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row>
    <row r="1314" spans="2:126">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row>
    <row r="1315" spans="2:126">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row>
    <row r="1316" spans="2:12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row>
    <row r="1317" spans="2:126">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row>
    <row r="1318" spans="2:126">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row>
    <row r="1319" spans="2:126">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row>
    <row r="1320" spans="2:126">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row>
    <row r="1321" spans="2:126">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row>
    <row r="1322" spans="2:126">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row>
    <row r="1323" spans="2:126">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row>
    <row r="1324" spans="2:126">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row>
    <row r="1325" spans="2:126">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row>
    <row r="1326" spans="2:1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row>
    <row r="1327" spans="2:126">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row>
    <row r="1328" spans="2:126">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row>
    <row r="1329" spans="2:126">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row>
    <row r="1330" spans="2:126">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row>
    <row r="1331" spans="2:126">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row>
    <row r="1332" spans="2:126">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row>
    <row r="1333" spans="2:126">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row>
    <row r="1334" spans="2:126">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row>
    <row r="1335" spans="2:126">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row>
    <row r="1336" spans="2:12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row>
    <row r="1337" spans="2:126">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row>
    <row r="1338" spans="2:126">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row>
    <row r="1339" spans="2:126">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row>
    <row r="1340" spans="2:126">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row>
    <row r="1341" spans="2:126">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row>
    <row r="1342" spans="2:126">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row>
    <row r="1343" spans="2:126">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row>
    <row r="1344" spans="2:126">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row>
    <row r="1345" spans="2:126">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row>
    <row r="1346" spans="2:12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row>
    <row r="1347" spans="2:126">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row>
    <row r="1348" spans="2:126">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row>
    <row r="1349" spans="2:126">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row>
    <row r="1350" spans="2:126">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row>
    <row r="1351" spans="2:126">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row>
    <row r="1352" spans="2:126">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row>
    <row r="1353" spans="2:126">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row>
    <row r="1354" spans="2:126">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row>
    <row r="1355" spans="2:126">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row>
    <row r="1356" spans="2:12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row>
    <row r="1357" spans="2:126">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row>
    <row r="1358" spans="2:126">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row>
    <row r="1359" spans="2:126">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row>
    <row r="1360" spans="2:126">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row>
    <row r="1361" spans="2:126">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row>
    <row r="1362" spans="2:126">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row>
    <row r="1363" spans="2:126">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row>
    <row r="1364" spans="2:126">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row>
    <row r="1365" spans="2:126">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row>
    <row r="1366" spans="2:12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row>
    <row r="1367" spans="2:126">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row>
    <row r="1368" spans="2:126">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row>
    <row r="1369" spans="2:126">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row>
    <row r="1370" spans="2:126">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row>
    <row r="1371" spans="2:126">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row>
    <row r="1372" spans="2:126">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row>
    <row r="1373" spans="2:126">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row>
    <row r="1374" spans="2:126">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row>
    <row r="1375" spans="2:126">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row>
    <row r="1376" spans="2:12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row>
    <row r="1377" spans="2:126">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row>
    <row r="1378" spans="2:126">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row>
    <row r="1379" spans="2:126">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row>
    <row r="1380" spans="2:126">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row>
    <row r="1381" spans="2:126">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row>
    <row r="1382" spans="2:126">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row>
    <row r="1383" spans="2:126">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row>
    <row r="1384" spans="2:126">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row>
    <row r="1385" spans="2:126">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row>
    <row r="1386" spans="2:12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row>
    <row r="1387" spans="2:126">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row>
    <row r="1388" spans="2:126">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row>
    <row r="1389" spans="2:126">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row>
    <row r="1390" spans="2:126">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row>
    <row r="1391" spans="2:126">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row>
    <row r="1392" spans="2:126">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row>
    <row r="1393" spans="2:126">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row>
    <row r="1394" spans="2:126">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row>
    <row r="1395" spans="2:126">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row>
    <row r="1396" spans="2:12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row>
    <row r="1397" spans="2:126">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row>
    <row r="1398" spans="2:126">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row>
    <row r="1399" spans="2:126">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row>
    <row r="1400" spans="2:126">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row>
    <row r="1401" spans="2:126">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row>
    <row r="1402" spans="2:126">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row>
    <row r="1403" spans="2:126">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row>
    <row r="1404" spans="2:126">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row>
    <row r="1405" spans="2:126">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row>
    <row r="1406" spans="2:12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row>
    <row r="1407" spans="2:126">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row>
    <row r="1408" spans="2:126">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row>
    <row r="1409" spans="2:126">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row>
    <row r="1410" spans="2:126">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row>
    <row r="1411" spans="2:126">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row>
    <row r="1412" spans="2:126">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row>
    <row r="1413" spans="2:126">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row>
    <row r="1414" spans="2:126">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row>
    <row r="1415" spans="2:126">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row>
    <row r="1416" spans="2:12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row>
    <row r="1417" spans="2:126">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row>
    <row r="1418" spans="2:126">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row>
    <row r="1419" spans="2:126">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row>
    <row r="1420" spans="2:126">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row>
    <row r="1421" spans="2:126">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row>
    <row r="1422" spans="2:126">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row>
    <row r="1423" spans="2:126">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row>
    <row r="1424" spans="2:126">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row>
    <row r="1425" spans="2:126">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row>
    <row r="1426" spans="2:1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row>
    <row r="1427" spans="2:126">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row>
    <row r="1428" spans="2:126">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row>
    <row r="1429" spans="2:126">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row>
    <row r="1430" spans="2:126">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row>
    <row r="1431" spans="2:126">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row>
    <row r="1432" spans="2:126">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row>
    <row r="1433" spans="2:126">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row>
    <row r="1434" spans="2:126">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row>
    <row r="1435" spans="2:126">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row>
    <row r="1436" spans="2:12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row>
    <row r="1437" spans="2:126">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row>
    <row r="1438" spans="2:126">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row>
    <row r="1439" spans="2:126">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row>
    <row r="1440" spans="2:126">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row>
    <row r="1441" spans="2:126">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row>
    <row r="1442" spans="2:126">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row>
    <row r="1443" spans="2:126">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row>
    <row r="1444" spans="2:126">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row>
    <row r="1445" spans="2:126">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row>
    <row r="1446" spans="2:12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row>
    <row r="1447" spans="2:126">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row>
    <row r="1448" spans="2:126">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row>
    <row r="1449" spans="2:126">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row>
    <row r="1450" spans="2:126">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row>
    <row r="1451" spans="2:126">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row>
    <row r="1452" spans="2:126">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row>
    <row r="1453" spans="2:126">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row>
    <row r="1454" spans="2:126">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row>
    <row r="1455" spans="2:126">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row>
    <row r="1456" spans="2:12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row>
    <row r="1457" spans="2:126">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row>
    <row r="1458" spans="2:126">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row>
    <row r="1459" spans="2:126">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row>
    <row r="1460" spans="2:126">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row>
    <row r="1461" spans="2:126">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row>
    <row r="1462" spans="2:126">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row>
    <row r="1463" spans="2:126">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row>
    <row r="1464" spans="2:126">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row>
    <row r="1465" spans="2:126">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row>
    <row r="1466" spans="2:12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row>
    <row r="1467" spans="2:126">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row>
    <row r="1468" spans="2:126">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row>
    <row r="1469" spans="2:126">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row>
    <row r="1470" spans="2:126">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row>
    <row r="1471" spans="2:126">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row>
    <row r="1472" spans="2:126">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row>
    <row r="1473" spans="2:126">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row>
    <row r="1474" spans="2:126">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row>
    <row r="1475" spans="2:126">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row>
    <row r="1476" spans="2:12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row>
    <row r="1477" spans="2:126">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row>
    <row r="1478" spans="2:126">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row>
    <row r="1479" spans="2:126">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row>
    <row r="1480" spans="2:126">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row>
    <row r="1481" spans="2:126">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row>
    <row r="1482" spans="2:126">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row>
    <row r="1483" spans="2:126">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row>
    <row r="1484" spans="2:126">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row>
    <row r="1485" spans="2:126">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row>
    <row r="1486" spans="2:12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row>
    <row r="1487" spans="2:126">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row>
    <row r="1488" spans="2:126">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row>
    <row r="1489" spans="2:126">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row>
    <row r="1490" spans="2:126">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row>
    <row r="1491" spans="2:126">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row>
    <row r="1492" spans="2:126">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row>
    <row r="1493" spans="2:126">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row>
    <row r="1494" spans="2:126">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row>
    <row r="1495" spans="2:126">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row>
    <row r="1496" spans="2:12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row>
    <row r="1497" spans="2:126">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row>
    <row r="1498" spans="2:126">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row>
    <row r="1499" spans="2:126">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row>
    <row r="1500" spans="2:126">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E5_Epicor_Group"/>
  <dimension ref="A1:C25"/>
  <sheetViews>
    <sheetView workbookViewId="0">
      <selection activeCell="J17" sqref="J17"/>
    </sheetView>
  </sheetViews>
  <sheetFormatPr defaultRowHeight="15"/>
  <cols>
    <col min="2" max="2" width="21" customWidth="1"/>
    <col min="3" max="3" width="28.85546875" customWidth="1"/>
  </cols>
  <sheetData>
    <row r="1" spans="1:3">
      <c r="A1" s="1896"/>
      <c r="B1" s="1896"/>
      <c r="C1" s="1896"/>
    </row>
    <row r="2" spans="1:3">
      <c r="A2" s="1896"/>
      <c r="B2" s="1896"/>
      <c r="C2" s="1896"/>
    </row>
    <row r="3" spans="1:3">
      <c r="A3" s="1896"/>
      <c r="B3" s="1896"/>
      <c r="C3" s="1896"/>
    </row>
    <row r="4" spans="1:3" ht="15.75" thickBot="1"/>
    <row r="5" spans="1:3" ht="15.75" customHeight="1" thickBot="1">
      <c r="A5" s="176"/>
      <c r="B5" s="177" t="s">
        <v>213</v>
      </c>
      <c r="C5" s="178" t="s">
        <v>117</v>
      </c>
    </row>
    <row r="6" spans="1:3" ht="17.25" thickBot="1">
      <c r="A6" s="1893" t="s">
        <v>214</v>
      </c>
      <c r="B6" s="179" t="s">
        <v>215</v>
      </c>
      <c r="C6" s="180" t="s">
        <v>216</v>
      </c>
    </row>
    <row r="7" spans="1:3" ht="17.25" thickBot="1">
      <c r="A7" s="1894"/>
      <c r="B7" s="179" t="s">
        <v>217</v>
      </c>
      <c r="C7" s="180" t="s">
        <v>218</v>
      </c>
    </row>
    <row r="8" spans="1:3" ht="17.25" thickBot="1">
      <c r="A8" s="1894"/>
      <c r="B8" s="179" t="s">
        <v>219</v>
      </c>
      <c r="C8" s="180" t="s">
        <v>220</v>
      </c>
    </row>
    <row r="9" spans="1:3" ht="17.25" thickBot="1">
      <c r="A9" s="1894"/>
      <c r="B9" s="179" t="s">
        <v>221</v>
      </c>
      <c r="C9" s="180" t="s">
        <v>222</v>
      </c>
    </row>
    <row r="10" spans="1:3" ht="17.25" thickBot="1">
      <c r="A10" s="1894"/>
      <c r="B10" s="179" t="s">
        <v>223</v>
      </c>
      <c r="C10" s="180" t="s">
        <v>224</v>
      </c>
    </row>
    <row r="11" spans="1:3" ht="17.25" thickBot="1">
      <c r="A11" s="1894"/>
      <c r="B11" s="179" t="s">
        <v>225</v>
      </c>
      <c r="C11" s="180" t="s">
        <v>226</v>
      </c>
    </row>
    <row r="12" spans="1:3" ht="17.25" thickBot="1">
      <c r="A12" s="1894"/>
      <c r="B12" s="179" t="s">
        <v>227</v>
      </c>
      <c r="C12" s="180" t="s">
        <v>228</v>
      </c>
    </row>
    <row r="13" spans="1:3" ht="17.25" thickBot="1">
      <c r="A13" s="1894"/>
      <c r="B13" s="179" t="s">
        <v>229</v>
      </c>
      <c r="C13" s="180" t="s">
        <v>230</v>
      </c>
    </row>
    <row r="14" spans="1:3" ht="17.25" thickBot="1">
      <c r="A14" s="1894"/>
      <c r="B14" s="179" t="s">
        <v>231</v>
      </c>
      <c r="C14" s="180" t="s">
        <v>232</v>
      </c>
    </row>
    <row r="15" spans="1:3" ht="17.25" thickBot="1">
      <c r="A15" s="1894"/>
      <c r="B15" s="179" t="s">
        <v>233</v>
      </c>
      <c r="C15" s="180" t="s">
        <v>234</v>
      </c>
    </row>
    <row r="16" spans="1:3" ht="17.25" thickBot="1">
      <c r="A16" s="1894"/>
      <c r="B16" s="179" t="s">
        <v>235</v>
      </c>
      <c r="C16" s="180" t="s">
        <v>236</v>
      </c>
    </row>
    <row r="17" spans="1:3" ht="17.25" thickBot="1">
      <c r="A17" s="1894"/>
      <c r="B17" s="179" t="s">
        <v>237</v>
      </c>
      <c r="C17" s="180" t="s">
        <v>238</v>
      </c>
    </row>
    <row r="18" spans="1:3" ht="17.25" thickBot="1">
      <c r="A18" s="1894"/>
      <c r="B18" s="179" t="s">
        <v>239</v>
      </c>
      <c r="C18" s="180" t="s">
        <v>240</v>
      </c>
    </row>
    <row r="19" spans="1:3" ht="17.25" thickBot="1">
      <c r="A19" s="1894"/>
      <c r="B19" s="179" t="s">
        <v>241</v>
      </c>
      <c r="C19" s="180" t="s">
        <v>242</v>
      </c>
    </row>
    <row r="20" spans="1:3" ht="17.25" thickBot="1">
      <c r="A20" s="1894"/>
      <c r="B20" s="179" t="s">
        <v>243</v>
      </c>
      <c r="C20" s="180" t="s">
        <v>244</v>
      </c>
    </row>
    <row r="21" spans="1:3" ht="17.25" thickBot="1">
      <c r="A21" s="1894"/>
      <c r="B21" s="179" t="s">
        <v>245</v>
      </c>
      <c r="C21" s="180" t="s">
        <v>246</v>
      </c>
    </row>
    <row r="22" spans="1:3" ht="17.25" thickBot="1">
      <c r="A22" s="1894"/>
      <c r="B22" s="179" t="s">
        <v>247</v>
      </c>
      <c r="C22" s="180" t="s">
        <v>248</v>
      </c>
    </row>
    <row r="23" spans="1:3" ht="17.25" thickBot="1">
      <c r="A23" s="1894"/>
      <c r="B23" s="179" t="s">
        <v>2504</v>
      </c>
      <c r="C23" s="180" t="s">
        <v>2505</v>
      </c>
    </row>
    <row r="24" spans="1:3" ht="17.25" thickBot="1">
      <c r="A24" s="1894"/>
      <c r="B24" s="179" t="s">
        <v>249</v>
      </c>
      <c r="C24" s="180" t="s">
        <v>250</v>
      </c>
    </row>
    <row r="25" spans="1:3" ht="17.25" thickBot="1">
      <c r="A25" s="1895"/>
      <c r="B25" s="179" t="s">
        <v>251</v>
      </c>
      <c r="C25" s="180" t="s">
        <v>252</v>
      </c>
    </row>
  </sheetData>
  <mergeCells count="2">
    <mergeCell ref="A6:A25"/>
    <mergeCell ref="A1:C3"/>
  </mergeCells>
  <pageMargins left="0.7" right="0.7" top="0.75" bottom="0.75" header="0.3" footer="0.3"/>
  <drawing r:id="rId1"/>
  <legacyDrawing r:id="rId2"/>
  <controls>
    <mc:AlternateContent xmlns:mc="http://schemas.openxmlformats.org/markup-compatibility/2006">
      <mc:Choice Requires="x14">
        <control shapeId="112641" r:id="rId3" name="EPICOR_AUTO_DATA_FILL">
          <controlPr defaultSize="0" autoLine="0" autoPict="0" r:id="rId4">
            <anchor moveWithCells="1">
              <from>
                <xdr:col>0</xdr:col>
                <xdr:colOff>0</xdr:colOff>
                <xdr:row>0</xdr:row>
                <xdr:rowOff>0</xdr:rowOff>
              </from>
              <to>
                <xdr:col>2</xdr:col>
                <xdr:colOff>1905000</xdr:colOff>
                <xdr:row>2</xdr:row>
                <xdr:rowOff>161925</xdr:rowOff>
              </to>
            </anchor>
          </controlPr>
        </control>
      </mc:Choice>
      <mc:Fallback>
        <control shapeId="112641" r:id="rId3" name="EPICOR_AUTO_DATA_FILL"/>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2_Unit_Specs"/>
  <dimension ref="A1:JJ302"/>
  <sheetViews>
    <sheetView topLeftCell="A2" workbookViewId="0">
      <selection activeCell="C49" sqref="C49:C142"/>
    </sheetView>
  </sheetViews>
  <sheetFormatPr defaultColWidth="9" defaultRowHeight="15"/>
  <cols>
    <col min="1" max="1" width="37.5703125" style="163" customWidth="1"/>
    <col min="2" max="11" width="9" style="163" customWidth="1"/>
    <col min="12" max="270" width="9" style="163" hidden="1" customWidth="1"/>
    <col min="271" max="16384" width="9" style="163"/>
  </cols>
  <sheetData>
    <row r="1" spans="1:260" ht="24.75" customHeight="1" thickBot="1">
      <c r="A1" s="62"/>
      <c r="C1" s="1897" t="s">
        <v>253</v>
      </c>
      <c r="D1" s="1897"/>
      <c r="E1" s="1897"/>
      <c r="F1" s="1897"/>
      <c r="G1" s="1897"/>
      <c r="N1" s="1897" t="s">
        <v>258</v>
      </c>
      <c r="O1" s="1897"/>
      <c r="P1" s="1897"/>
      <c r="Q1" s="1897"/>
      <c r="R1" s="1897"/>
      <c r="Y1" s="1897" t="s">
        <v>274</v>
      </c>
      <c r="Z1" s="1897"/>
      <c r="AA1" s="1897"/>
      <c r="AB1" s="1897"/>
      <c r="AC1" s="1897"/>
      <c r="AJ1" s="1897" t="s">
        <v>285</v>
      </c>
      <c r="AK1" s="1897"/>
      <c r="AL1" s="1897"/>
      <c r="AM1" s="1897"/>
      <c r="AN1" s="1897"/>
      <c r="AU1" s="1897" t="s">
        <v>359</v>
      </c>
      <c r="AV1" s="1897"/>
      <c r="AW1" s="1897"/>
      <c r="AX1" s="1897"/>
      <c r="AY1" s="1897"/>
      <c r="BF1" s="1897" t="s">
        <v>360</v>
      </c>
      <c r="BG1" s="1897"/>
      <c r="BH1" s="1897"/>
      <c r="BI1" s="1897"/>
      <c r="BJ1" s="1897"/>
      <c r="BQ1" s="1897" t="s">
        <v>299</v>
      </c>
      <c r="BR1" s="1897"/>
      <c r="BS1" s="1897"/>
      <c r="BT1" s="1897"/>
      <c r="BU1" s="1897"/>
      <c r="CB1" s="1897" t="s">
        <v>315</v>
      </c>
      <c r="CC1" s="1897"/>
      <c r="CD1" s="1897"/>
      <c r="CE1" s="1897"/>
      <c r="CF1" s="1897"/>
      <c r="CM1" s="1897" t="s">
        <v>316</v>
      </c>
      <c r="CN1" s="1897"/>
      <c r="CO1" s="1897"/>
      <c r="CP1" s="1897"/>
      <c r="CQ1" s="1897"/>
      <c r="CX1" s="1897" t="s">
        <v>320</v>
      </c>
      <c r="CY1" s="1897"/>
      <c r="CZ1" s="1897"/>
      <c r="DA1" s="1897"/>
      <c r="DB1" s="1897"/>
      <c r="DI1" s="1897" t="s">
        <v>322</v>
      </c>
      <c r="DJ1" s="1897"/>
      <c r="DK1" s="1897"/>
      <c r="DL1" s="1897"/>
      <c r="DM1" s="1897"/>
      <c r="DT1" s="1897" t="s">
        <v>323</v>
      </c>
      <c r="DU1" s="1897"/>
      <c r="DV1" s="1897"/>
      <c r="DW1" s="1897"/>
      <c r="DX1" s="1897"/>
      <c r="EE1" s="1897" t="s">
        <v>335</v>
      </c>
      <c r="EF1" s="1897"/>
      <c r="EG1" s="1897"/>
      <c r="EH1" s="1897"/>
      <c r="EI1" s="1897"/>
      <c r="EP1" s="1897" t="s">
        <v>336</v>
      </c>
      <c r="EQ1" s="1897"/>
      <c r="ER1" s="1897"/>
      <c r="ES1" s="1897"/>
      <c r="ET1" s="1897"/>
      <c r="FA1" s="1897" t="s">
        <v>337</v>
      </c>
      <c r="FB1" s="1897"/>
      <c r="FC1" s="1897"/>
      <c r="FD1" s="1897"/>
      <c r="FE1" s="1897"/>
      <c r="FL1" s="1897" t="s">
        <v>324</v>
      </c>
      <c r="FM1" s="1897"/>
      <c r="FN1" s="1897"/>
      <c r="FO1" s="1897"/>
      <c r="FP1" s="1897"/>
      <c r="FW1" s="1897" t="s">
        <v>334</v>
      </c>
      <c r="FX1" s="1897"/>
      <c r="FY1" s="1897"/>
      <c r="FZ1" s="1897"/>
      <c r="GA1" s="1897"/>
      <c r="GH1" s="1897" t="s">
        <v>402</v>
      </c>
      <c r="GI1" s="1897"/>
      <c r="GJ1" s="1897"/>
      <c r="GK1" s="1897"/>
      <c r="GL1" s="1897"/>
      <c r="GS1" s="1897" t="s">
        <v>403</v>
      </c>
      <c r="GT1" s="1897"/>
      <c r="GU1" s="1897"/>
      <c r="GV1" s="1897"/>
      <c r="GW1" s="1897"/>
      <c r="HD1" s="1897" t="s">
        <v>404</v>
      </c>
      <c r="HE1" s="1897"/>
      <c r="HF1" s="1897"/>
      <c r="HG1" s="1897"/>
      <c r="HH1" s="1897"/>
      <c r="HO1" s="1897" t="s">
        <v>2736</v>
      </c>
      <c r="HP1" s="1897"/>
      <c r="HQ1" s="1897"/>
      <c r="HR1" s="1897"/>
      <c r="HS1" s="1897"/>
      <c r="HZ1" s="1897" t="s">
        <v>2737</v>
      </c>
      <c r="IA1" s="1897"/>
      <c r="IB1" s="1897"/>
      <c r="IC1" s="1897"/>
      <c r="ID1" s="1897"/>
      <c r="IK1" s="1897" t="s">
        <v>2769</v>
      </c>
      <c r="IL1" s="1897"/>
      <c r="IM1" s="1897"/>
      <c r="IN1" s="1897"/>
      <c r="IO1" s="1897"/>
      <c r="IV1" s="1897" t="s">
        <v>2770</v>
      </c>
      <c r="IW1" s="1897"/>
      <c r="IX1" s="1897"/>
      <c r="IY1" s="1897"/>
      <c r="IZ1" s="1897"/>
    </row>
    <row r="2" spans="1:260" ht="19.5" thickTop="1" thickBot="1">
      <c r="A2" s="60" t="s">
        <v>2115</v>
      </c>
      <c r="AJ2" s="1139"/>
      <c r="CB2" s="164"/>
      <c r="CC2" s="164"/>
      <c r="CD2" s="164"/>
      <c r="CE2" s="164"/>
      <c r="CF2" s="164"/>
    </row>
    <row r="3" spans="1:260" ht="17.25" thickTop="1">
      <c r="A3" s="61"/>
      <c r="B3" s="169" t="s">
        <v>395</v>
      </c>
      <c r="C3" s="167" t="s">
        <v>2842</v>
      </c>
      <c r="M3" s="169" t="s">
        <v>395</v>
      </c>
      <c r="N3" s="165" t="s">
        <v>259</v>
      </c>
      <c r="X3" s="169" t="s">
        <v>395</v>
      </c>
      <c r="Y3" s="1454" t="s">
        <v>2842</v>
      </c>
      <c r="AI3" s="169" t="s">
        <v>395</v>
      </c>
      <c r="AJ3" s="1454" t="s">
        <v>2875</v>
      </c>
      <c r="AT3" s="169" t="s">
        <v>395</v>
      </c>
      <c r="AU3" s="1450" t="s">
        <v>254</v>
      </c>
      <c r="BE3" s="169" t="s">
        <v>395</v>
      </c>
      <c r="BF3" s="897" t="s">
        <v>2923</v>
      </c>
      <c r="BP3" s="169" t="s">
        <v>395</v>
      </c>
      <c r="BQ3" s="167" t="s">
        <v>2875</v>
      </c>
      <c r="CA3" s="169" t="s">
        <v>395</v>
      </c>
      <c r="CB3" s="167" t="s">
        <v>2842</v>
      </c>
      <c r="CC3"/>
      <c r="CL3" s="169" t="s">
        <v>395</v>
      </c>
      <c r="CM3" s="1454" t="s">
        <v>2875</v>
      </c>
      <c r="CW3" s="169" t="s">
        <v>395</v>
      </c>
      <c r="CX3" s="167" t="s">
        <v>2875</v>
      </c>
      <c r="DH3" s="169" t="s">
        <v>395</v>
      </c>
      <c r="DI3" s="1454" t="s">
        <v>2842</v>
      </c>
      <c r="DS3" s="169" t="s">
        <v>395</v>
      </c>
      <c r="DT3" s="1454" t="s">
        <v>2845</v>
      </c>
      <c r="ED3" s="169" t="s">
        <v>395</v>
      </c>
      <c r="EE3" s="167" t="s">
        <v>2875</v>
      </c>
      <c r="EO3" s="169" t="s">
        <v>395</v>
      </c>
      <c r="EP3" s="1178" t="s">
        <v>370</v>
      </c>
      <c r="EZ3" s="169" t="s">
        <v>395</v>
      </c>
      <c r="FA3" s="1454" t="s">
        <v>2842</v>
      </c>
      <c r="FK3" s="169" t="s">
        <v>395</v>
      </c>
      <c r="FL3" s="1454" t="s">
        <v>2842</v>
      </c>
      <c r="FV3" s="169" t="s">
        <v>395</v>
      </c>
      <c r="FW3" s="1454" t="s">
        <v>2842</v>
      </c>
      <c r="GG3" s="169" t="s">
        <v>395</v>
      </c>
      <c r="GR3" s="169" t="s">
        <v>395</v>
      </c>
      <c r="HC3" s="169" t="s">
        <v>395</v>
      </c>
      <c r="HN3" s="169" t="s">
        <v>395</v>
      </c>
      <c r="HO3" s="1454" t="s">
        <v>2738</v>
      </c>
      <c r="HY3" s="169" t="s">
        <v>395</v>
      </c>
      <c r="HZ3" s="167" t="s">
        <v>2738</v>
      </c>
      <c r="IJ3" s="169" t="s">
        <v>395</v>
      </c>
      <c r="IK3" s="165" t="s">
        <v>2798</v>
      </c>
      <c r="IU3" s="169" t="s">
        <v>395</v>
      </c>
    </row>
    <row r="4" spans="1:260" ht="16.5">
      <c r="A4" s="62"/>
      <c r="B4" s="169" t="s">
        <v>395</v>
      </c>
      <c r="C4" s="1449" t="s">
        <v>2843</v>
      </c>
      <c r="M4" s="169" t="s">
        <v>395</v>
      </c>
      <c r="N4" s="1450" t="s">
        <v>2865</v>
      </c>
      <c r="X4" s="169" t="s">
        <v>395</v>
      </c>
      <c r="Y4" s="897" t="s">
        <v>317</v>
      </c>
      <c r="AI4" s="169" t="s">
        <v>395</v>
      </c>
      <c r="AJ4" s="897" t="s">
        <v>2876</v>
      </c>
      <c r="AT4" s="169" t="s">
        <v>395</v>
      </c>
      <c r="AU4" s="1450" t="s">
        <v>292</v>
      </c>
      <c r="BE4" s="169" t="s">
        <v>395</v>
      </c>
      <c r="BF4" s="897" t="s">
        <v>2924</v>
      </c>
      <c r="BP4" s="169" t="s">
        <v>395</v>
      </c>
      <c r="BQ4" s="1450" t="s">
        <v>2935</v>
      </c>
      <c r="CA4" s="169" t="s">
        <v>395</v>
      </c>
      <c r="CB4" s="1450" t="s">
        <v>300</v>
      </c>
      <c r="CC4"/>
      <c r="CL4" s="169" t="s">
        <v>395</v>
      </c>
      <c r="CM4" s="897" t="s">
        <v>2972</v>
      </c>
      <c r="CW4" s="169" t="s">
        <v>395</v>
      </c>
      <c r="CX4" s="1450" t="s">
        <v>2991</v>
      </c>
      <c r="DH4" s="169" t="s">
        <v>395</v>
      </c>
      <c r="DI4" s="897" t="s">
        <v>317</v>
      </c>
      <c r="DS4" s="169" t="s">
        <v>395</v>
      </c>
      <c r="DT4" s="1454" t="s">
        <v>3027</v>
      </c>
      <c r="ED4" s="169" t="s">
        <v>395</v>
      </c>
      <c r="EE4" s="1450" t="s">
        <v>2771</v>
      </c>
      <c r="EO4" s="169" t="s">
        <v>395</v>
      </c>
      <c r="EP4" s="1179" t="s">
        <v>388</v>
      </c>
      <c r="EZ4" s="169" t="s">
        <v>395</v>
      </c>
      <c r="FA4" s="897" t="s">
        <v>286</v>
      </c>
      <c r="FK4" s="169" t="s">
        <v>395</v>
      </c>
      <c r="FL4" s="897" t="s">
        <v>325</v>
      </c>
      <c r="FV4" s="169" t="s">
        <v>395</v>
      </c>
      <c r="FW4" s="897" t="s">
        <v>325</v>
      </c>
      <c r="GG4" s="169" t="s">
        <v>395</v>
      </c>
      <c r="GR4" s="169" t="s">
        <v>395</v>
      </c>
      <c r="HC4" s="169" t="s">
        <v>395</v>
      </c>
      <c r="HN4" s="169" t="s">
        <v>395</v>
      </c>
      <c r="HO4" s="897" t="s">
        <v>2739</v>
      </c>
      <c r="HY4" s="169" t="s">
        <v>395</v>
      </c>
      <c r="HZ4" s="1450" t="s">
        <v>2771</v>
      </c>
      <c r="IJ4" s="169" t="s">
        <v>395</v>
      </c>
      <c r="IU4" s="169" t="s">
        <v>395</v>
      </c>
    </row>
    <row r="5" spans="1:260" ht="16.5">
      <c r="A5" s="62"/>
      <c r="B5" s="169" t="s">
        <v>395</v>
      </c>
      <c r="C5" s="1450" t="s">
        <v>260</v>
      </c>
      <c r="M5" s="169" t="s">
        <v>395</v>
      </c>
      <c r="N5" s="1450" t="s">
        <v>260</v>
      </c>
      <c r="X5" s="169" t="s">
        <v>395</v>
      </c>
      <c r="Y5" s="897" t="s">
        <v>260</v>
      </c>
      <c r="AI5" s="169" t="s">
        <v>395</v>
      </c>
      <c r="AJ5" s="897" t="s">
        <v>2877</v>
      </c>
      <c r="AT5" s="169" t="s">
        <v>395</v>
      </c>
      <c r="AU5" s="1450" t="s">
        <v>2880</v>
      </c>
      <c r="BE5" s="169" t="s">
        <v>395</v>
      </c>
      <c r="BF5" s="897" t="s">
        <v>2925</v>
      </c>
      <c r="BP5" s="169" t="s">
        <v>395</v>
      </c>
      <c r="BQ5" s="1450" t="s">
        <v>2936</v>
      </c>
      <c r="CA5" s="169" t="s">
        <v>395</v>
      </c>
      <c r="CB5" s="1450" t="s">
        <v>301</v>
      </c>
      <c r="CC5"/>
      <c r="CL5" s="169" t="s">
        <v>395</v>
      </c>
      <c r="CM5" s="897" t="s">
        <v>2973</v>
      </c>
      <c r="CW5" s="169" t="s">
        <v>395</v>
      </c>
      <c r="CX5" s="1450" t="s">
        <v>2992</v>
      </c>
      <c r="DH5" s="169" t="s">
        <v>395</v>
      </c>
      <c r="DI5" s="897" t="s">
        <v>2973</v>
      </c>
      <c r="DS5" s="169" t="s">
        <v>395</v>
      </c>
      <c r="DT5" s="897" t="s">
        <v>3028</v>
      </c>
      <c r="ED5" s="169" t="s">
        <v>395</v>
      </c>
      <c r="EE5" s="1450" t="s">
        <v>2772</v>
      </c>
      <c r="EO5" s="169" t="s">
        <v>395</v>
      </c>
      <c r="EP5" s="1179" t="s">
        <v>389</v>
      </c>
      <c r="EZ5" s="169" t="s">
        <v>395</v>
      </c>
      <c r="FA5" s="897" t="s">
        <v>287</v>
      </c>
      <c r="FK5" s="169" t="s">
        <v>395</v>
      </c>
      <c r="FL5" s="897" t="s">
        <v>326</v>
      </c>
      <c r="FV5" s="169" t="s">
        <v>395</v>
      </c>
      <c r="FW5" s="897" t="s">
        <v>351</v>
      </c>
      <c r="GG5" s="169" t="s">
        <v>395</v>
      </c>
      <c r="GR5" s="169" t="s">
        <v>395</v>
      </c>
      <c r="HC5" s="169" t="s">
        <v>395</v>
      </c>
      <c r="HN5" s="169" t="s">
        <v>395</v>
      </c>
      <c r="HO5" s="897" t="s">
        <v>2740</v>
      </c>
      <c r="HY5" s="169" t="s">
        <v>395</v>
      </c>
      <c r="HZ5" s="1450" t="s">
        <v>2772</v>
      </c>
      <c r="IJ5" s="169" t="s">
        <v>395</v>
      </c>
      <c r="IK5" s="897" t="s">
        <v>2799</v>
      </c>
      <c r="IU5" s="169" t="s">
        <v>395</v>
      </c>
    </row>
    <row r="6" spans="1:260" ht="16.5">
      <c r="A6" s="62"/>
      <c r="B6" s="169" t="s">
        <v>395</v>
      </c>
      <c r="C6" s="1449" t="s">
        <v>2844</v>
      </c>
      <c r="M6" s="169" t="s">
        <v>395</v>
      </c>
      <c r="N6" s="1449" t="s">
        <v>2866</v>
      </c>
      <c r="X6" s="169" t="s">
        <v>395</v>
      </c>
      <c r="Y6" s="1454"/>
      <c r="AI6" s="169" t="s">
        <v>395</v>
      </c>
      <c r="AJ6" s="1454"/>
      <c r="AT6" s="169" t="s">
        <v>395</v>
      </c>
      <c r="AU6" s="1450" t="s">
        <v>293</v>
      </c>
      <c r="BE6" s="169" t="s">
        <v>395</v>
      </c>
      <c r="BF6" s="897" t="s">
        <v>2926</v>
      </c>
      <c r="BP6" s="169" t="s">
        <v>395</v>
      </c>
      <c r="BQ6" s="167"/>
      <c r="CA6" s="169" t="s">
        <v>395</v>
      </c>
      <c r="CB6" s="1450" t="s">
        <v>302</v>
      </c>
      <c r="CC6"/>
      <c r="CL6" s="169" t="s">
        <v>395</v>
      </c>
      <c r="CM6" s="1454"/>
      <c r="CW6" s="169" t="s">
        <v>395</v>
      </c>
      <c r="CX6" s="167"/>
      <c r="DH6" s="169" t="s">
        <v>395</v>
      </c>
      <c r="DI6" s="897" t="s">
        <v>2773</v>
      </c>
      <c r="DS6" s="169" t="s">
        <v>395</v>
      </c>
      <c r="DT6" s="897" t="s">
        <v>3029</v>
      </c>
      <c r="ED6" s="169" t="s">
        <v>395</v>
      </c>
      <c r="EE6" s="1450" t="s">
        <v>2773</v>
      </c>
      <c r="EO6" s="169" t="s">
        <v>395</v>
      </c>
      <c r="EP6" s="166"/>
      <c r="EZ6" s="169" t="s">
        <v>395</v>
      </c>
      <c r="FA6" s="1454"/>
      <c r="FK6" s="169" t="s">
        <v>395</v>
      </c>
      <c r="FL6" s="897" t="s">
        <v>3062</v>
      </c>
      <c r="FV6" s="169" t="s">
        <v>395</v>
      </c>
      <c r="FW6" s="897" t="s">
        <v>3062</v>
      </c>
      <c r="GG6" s="169" t="s">
        <v>395</v>
      </c>
      <c r="GR6" s="169" t="s">
        <v>395</v>
      </c>
      <c r="HC6" s="169" t="s">
        <v>395</v>
      </c>
      <c r="HN6" s="169" t="s">
        <v>395</v>
      </c>
      <c r="HO6" s="1454"/>
      <c r="HY6" s="169" t="s">
        <v>395</v>
      </c>
      <c r="HZ6" s="1450" t="s">
        <v>2773</v>
      </c>
      <c r="IJ6" s="169" t="s">
        <v>395</v>
      </c>
      <c r="IK6" s="897" t="s">
        <v>2800</v>
      </c>
      <c r="IU6" s="169" t="s">
        <v>395</v>
      </c>
    </row>
    <row r="7" spans="1:260" ht="16.5">
      <c r="A7" s="62"/>
      <c r="B7" s="169" t="s">
        <v>395</v>
      </c>
      <c r="C7" s="167"/>
      <c r="M7" s="169" t="s">
        <v>395</v>
      </c>
      <c r="N7" s="166"/>
      <c r="X7" s="169" t="s">
        <v>395</v>
      </c>
      <c r="Y7" s="1454" t="s">
        <v>2845</v>
      </c>
      <c r="AI7" s="169" t="s">
        <v>395</v>
      </c>
      <c r="AJ7" s="1460" t="s">
        <v>2878</v>
      </c>
      <c r="AT7" s="169" t="s">
        <v>395</v>
      </c>
      <c r="AU7" s="1450" t="s">
        <v>2910</v>
      </c>
      <c r="BE7" s="169" t="s">
        <v>395</v>
      </c>
      <c r="BF7" s="897" t="s">
        <v>2927</v>
      </c>
      <c r="BP7" s="169" t="s">
        <v>395</v>
      </c>
      <c r="BQ7" s="167" t="s">
        <v>2845</v>
      </c>
      <c r="CA7" s="169" t="s">
        <v>395</v>
      </c>
      <c r="CB7" s="1450" t="s">
        <v>303</v>
      </c>
      <c r="CC7"/>
      <c r="CL7" s="169" t="s">
        <v>395</v>
      </c>
      <c r="CM7" s="1454" t="s">
        <v>2845</v>
      </c>
      <c r="CW7" s="169" t="s">
        <v>395</v>
      </c>
      <c r="CX7" s="167" t="s">
        <v>2845</v>
      </c>
      <c r="DH7" s="169" t="s">
        <v>395</v>
      </c>
      <c r="DI7" s="1454"/>
      <c r="DS7" s="169" t="s">
        <v>395</v>
      </c>
      <c r="DT7" s="897" t="s">
        <v>264</v>
      </c>
      <c r="ED7" s="169" t="s">
        <v>395</v>
      </c>
      <c r="EE7" s="167"/>
      <c r="EO7" s="169" t="s">
        <v>395</v>
      </c>
      <c r="EP7" s="1178" t="s">
        <v>371</v>
      </c>
      <c r="EZ7" s="169" t="s">
        <v>395</v>
      </c>
      <c r="FA7" s="1460" t="s">
        <v>3060</v>
      </c>
      <c r="FK7" s="169" t="s">
        <v>395</v>
      </c>
      <c r="FL7" s="897" t="s">
        <v>2773</v>
      </c>
      <c r="FV7" s="169" t="s">
        <v>395</v>
      </c>
      <c r="FW7" s="897" t="s">
        <v>2773</v>
      </c>
      <c r="GG7" s="169" t="s">
        <v>395</v>
      </c>
      <c r="GR7" s="169" t="s">
        <v>395</v>
      </c>
      <c r="HC7" s="169" t="s">
        <v>395</v>
      </c>
      <c r="HN7" s="169" t="s">
        <v>395</v>
      </c>
      <c r="HO7" s="1454" t="s">
        <v>2741</v>
      </c>
      <c r="HY7" s="169" t="s">
        <v>395</v>
      </c>
      <c r="HZ7" s="167"/>
      <c r="IJ7" s="169" t="s">
        <v>395</v>
      </c>
      <c r="IK7" s="897" t="s">
        <v>2801</v>
      </c>
      <c r="IU7" s="169" t="s">
        <v>395</v>
      </c>
    </row>
    <row r="8" spans="1:260" ht="16.5">
      <c r="A8" s="62"/>
      <c r="B8" s="169" t="s">
        <v>395</v>
      </c>
      <c r="C8" s="167" t="s">
        <v>2845</v>
      </c>
      <c r="M8" s="169" t="s">
        <v>395</v>
      </c>
      <c r="N8" s="165" t="s">
        <v>261</v>
      </c>
      <c r="X8" s="169" t="s">
        <v>395</v>
      </c>
      <c r="Y8" s="897" t="s">
        <v>275</v>
      </c>
      <c r="AI8" s="169" t="s">
        <v>395</v>
      </c>
      <c r="AJ8" s="897" t="s">
        <v>2879</v>
      </c>
      <c r="AT8" s="169" t="s">
        <v>395</v>
      </c>
      <c r="AU8" s="1450" t="s">
        <v>2911</v>
      </c>
      <c r="BE8" s="169" t="s">
        <v>395</v>
      </c>
      <c r="BF8" s="897" t="s">
        <v>2928</v>
      </c>
      <c r="BP8" s="169" t="s">
        <v>395</v>
      </c>
      <c r="BQ8" s="1450" t="s">
        <v>2937</v>
      </c>
      <c r="CA8" s="169" t="s">
        <v>395</v>
      </c>
      <c r="CB8" s="167"/>
      <c r="CC8"/>
      <c r="CL8" s="169" t="s">
        <v>395</v>
      </c>
      <c r="CM8" s="897" t="s">
        <v>2512</v>
      </c>
      <c r="CW8" s="169" t="s">
        <v>395</v>
      </c>
      <c r="CX8" s="1450" t="s">
        <v>2993</v>
      </c>
      <c r="DH8" s="169" t="s">
        <v>395</v>
      </c>
      <c r="DI8" s="1454" t="s">
        <v>2845</v>
      </c>
      <c r="DS8" s="169" t="s">
        <v>395</v>
      </c>
      <c r="DT8" s="897" t="s">
        <v>318</v>
      </c>
      <c r="ED8" s="169" t="s">
        <v>395</v>
      </c>
      <c r="EE8" s="167" t="s">
        <v>2774</v>
      </c>
      <c r="EO8" s="169" t="s">
        <v>395</v>
      </c>
      <c r="EP8" s="1179" t="s">
        <v>390</v>
      </c>
      <c r="EZ8" s="169" t="s">
        <v>395</v>
      </c>
      <c r="FA8" s="1462"/>
      <c r="FK8" s="169" t="s">
        <v>395</v>
      </c>
      <c r="FL8" s="1454"/>
      <c r="FV8" s="169" t="s">
        <v>395</v>
      </c>
      <c r="FW8" s="1454"/>
      <c r="GG8" s="169" t="s">
        <v>395</v>
      </c>
      <c r="GR8" s="169" t="s">
        <v>395</v>
      </c>
      <c r="HC8" s="169" t="s">
        <v>395</v>
      </c>
      <c r="HN8" s="169" t="s">
        <v>395</v>
      </c>
      <c r="HO8" s="897" t="s">
        <v>2742</v>
      </c>
      <c r="HY8" s="169" t="s">
        <v>395</v>
      </c>
      <c r="HZ8" s="167" t="s">
        <v>2774</v>
      </c>
      <c r="IJ8" s="169" t="s">
        <v>395</v>
      </c>
      <c r="IK8" s="897" t="s">
        <v>2802</v>
      </c>
      <c r="IU8" s="169" t="s">
        <v>395</v>
      </c>
    </row>
    <row r="9" spans="1:260" ht="16.5">
      <c r="A9" s="62"/>
      <c r="B9" s="169" t="s">
        <v>395</v>
      </c>
      <c r="C9" s="1449" t="s">
        <v>2846</v>
      </c>
      <c r="M9" s="169" t="s">
        <v>395</v>
      </c>
      <c r="N9" s="1450" t="s">
        <v>2867</v>
      </c>
      <c r="X9" s="169" t="s">
        <v>395</v>
      </c>
      <c r="Y9" s="897" t="s">
        <v>276</v>
      </c>
      <c r="AI9" s="169" t="s">
        <v>395</v>
      </c>
      <c r="AJ9" s="897" t="s">
        <v>2880</v>
      </c>
      <c r="AT9" s="169" t="s">
        <v>395</v>
      </c>
      <c r="AU9" s="1450" t="s">
        <v>2912</v>
      </c>
      <c r="BE9" s="169" t="s">
        <v>395</v>
      </c>
      <c r="BF9" s="897" t="s">
        <v>2929</v>
      </c>
      <c r="BP9" s="169" t="s">
        <v>395</v>
      </c>
      <c r="BQ9" s="1450" t="s">
        <v>2938</v>
      </c>
      <c r="CA9" s="169" t="s">
        <v>395</v>
      </c>
      <c r="CB9" s="166"/>
      <c r="CC9"/>
      <c r="CL9" s="169" t="s">
        <v>395</v>
      </c>
      <c r="CM9" s="897" t="s">
        <v>2513</v>
      </c>
      <c r="CW9" s="169" t="s">
        <v>395</v>
      </c>
      <c r="CX9" s="1450" t="s">
        <v>2513</v>
      </c>
      <c r="DH9" s="169" t="s">
        <v>395</v>
      </c>
      <c r="DI9" s="1454" t="s">
        <v>3027</v>
      </c>
      <c r="DS9" s="169" t="s">
        <v>395</v>
      </c>
      <c r="DT9" s="897" t="s">
        <v>267</v>
      </c>
      <c r="ED9" s="169" t="s">
        <v>395</v>
      </c>
      <c r="EE9" s="1450" t="s">
        <v>3029</v>
      </c>
      <c r="EO9" s="169" t="s">
        <v>395</v>
      </c>
      <c r="EP9" s="1179" t="s">
        <v>372</v>
      </c>
      <c r="EZ9" s="169" t="s">
        <v>395</v>
      </c>
      <c r="FA9" s="1460" t="s">
        <v>338</v>
      </c>
      <c r="FK9" s="169" t="s">
        <v>395</v>
      </c>
      <c r="FL9" s="1460" t="s">
        <v>2845</v>
      </c>
      <c r="FV9" s="169" t="s">
        <v>395</v>
      </c>
      <c r="FW9" s="1454" t="s">
        <v>2845</v>
      </c>
      <c r="GG9" s="169" t="s">
        <v>395</v>
      </c>
      <c r="GR9" s="169" t="s">
        <v>395</v>
      </c>
      <c r="HC9" s="169" t="s">
        <v>395</v>
      </c>
      <c r="HN9" s="169" t="s">
        <v>395</v>
      </c>
      <c r="HO9" s="897" t="s">
        <v>2743</v>
      </c>
      <c r="HY9" s="169" t="s">
        <v>395</v>
      </c>
      <c r="HZ9" s="1450" t="s">
        <v>2775</v>
      </c>
      <c r="IJ9" s="169" t="s">
        <v>395</v>
      </c>
      <c r="IK9" s="897" t="s">
        <v>2803</v>
      </c>
      <c r="IU9" s="169" t="s">
        <v>395</v>
      </c>
    </row>
    <row r="10" spans="1:260" ht="16.5">
      <c r="A10" s="62"/>
      <c r="B10" s="169" t="s">
        <v>395</v>
      </c>
      <c r="C10" s="1450" t="s">
        <v>2847</v>
      </c>
      <c r="M10" s="169" t="s">
        <v>395</v>
      </c>
      <c r="N10" s="1450" t="s">
        <v>262</v>
      </c>
      <c r="X10" s="169" t="s">
        <v>395</v>
      </c>
      <c r="Y10" s="897" t="s">
        <v>277</v>
      </c>
      <c r="AI10" s="169" t="s">
        <v>395</v>
      </c>
      <c r="AJ10" s="897" t="s">
        <v>293</v>
      </c>
      <c r="AT10" s="169" t="s">
        <v>395</v>
      </c>
      <c r="AU10" s="1450" t="s">
        <v>2913</v>
      </c>
      <c r="BE10" s="169" t="s">
        <v>395</v>
      </c>
      <c r="BF10" s="1464"/>
      <c r="BP10" s="169" t="s">
        <v>395</v>
      </c>
      <c r="BQ10" s="1450" t="s">
        <v>2939</v>
      </c>
      <c r="CA10" s="169" t="s">
        <v>395</v>
      </c>
      <c r="CB10" s="167" t="s">
        <v>2951</v>
      </c>
      <c r="CC10"/>
      <c r="CL10" s="169" t="s">
        <v>395</v>
      </c>
      <c r="CM10" s="897" t="s">
        <v>264</v>
      </c>
      <c r="CW10" s="169" t="s">
        <v>395</v>
      </c>
      <c r="CX10" s="1450" t="s">
        <v>362</v>
      </c>
      <c r="DH10" s="169" t="s">
        <v>395</v>
      </c>
      <c r="DI10" s="897" t="s">
        <v>3028</v>
      </c>
      <c r="DS10" s="169" t="s">
        <v>395</v>
      </c>
      <c r="DT10" s="897" t="s">
        <v>3030</v>
      </c>
      <c r="ED10" s="169" t="s">
        <v>395</v>
      </c>
      <c r="EE10" s="1450" t="s">
        <v>362</v>
      </c>
      <c r="EO10" s="169" t="s">
        <v>395</v>
      </c>
      <c r="EP10" s="1179" t="s">
        <v>373</v>
      </c>
      <c r="EZ10" s="169" t="s">
        <v>395</v>
      </c>
      <c r="FA10" s="897" t="s">
        <v>292</v>
      </c>
      <c r="FK10" s="169" t="s">
        <v>395</v>
      </c>
      <c r="FL10" s="1460" t="s">
        <v>327</v>
      </c>
      <c r="FV10" s="169" t="s">
        <v>395</v>
      </c>
      <c r="FW10" s="897" t="s">
        <v>352</v>
      </c>
      <c r="GG10" s="169" t="s">
        <v>395</v>
      </c>
      <c r="GR10" s="169" t="s">
        <v>395</v>
      </c>
      <c r="HC10" s="169" t="s">
        <v>395</v>
      </c>
      <c r="HN10" s="169" t="s">
        <v>395</v>
      </c>
      <c r="HO10" s="897" t="s">
        <v>2744</v>
      </c>
      <c r="HY10" s="169" t="s">
        <v>395</v>
      </c>
      <c r="HZ10" s="1450" t="s">
        <v>2776</v>
      </c>
      <c r="IJ10" s="169" t="s">
        <v>395</v>
      </c>
      <c r="IK10" s="897" t="s">
        <v>2804</v>
      </c>
      <c r="IU10" s="169" t="s">
        <v>395</v>
      </c>
    </row>
    <row r="11" spans="1:260" ht="16.5">
      <c r="A11" s="62"/>
      <c r="B11" s="169" t="s">
        <v>395</v>
      </c>
      <c r="C11" s="1450" t="s">
        <v>263</v>
      </c>
      <c r="M11" s="169" t="s">
        <v>395</v>
      </c>
      <c r="N11" s="1450" t="s">
        <v>263</v>
      </c>
      <c r="X11" s="169" t="s">
        <v>395</v>
      </c>
      <c r="Y11" s="897" t="s">
        <v>264</v>
      </c>
      <c r="AI11" s="169" t="s">
        <v>395</v>
      </c>
      <c r="AJ11" s="897" t="s">
        <v>2881</v>
      </c>
      <c r="AT11" s="169" t="s">
        <v>395</v>
      </c>
      <c r="AU11" s="166"/>
      <c r="BE11" s="169" t="s">
        <v>395</v>
      </c>
      <c r="BF11" s="897" t="s">
        <v>361</v>
      </c>
      <c r="BP11" s="169" t="s">
        <v>395</v>
      </c>
      <c r="BQ11" s="1450" t="s">
        <v>2940</v>
      </c>
      <c r="CA11" s="169" t="s">
        <v>395</v>
      </c>
      <c r="CB11" s="1450" t="s">
        <v>304</v>
      </c>
      <c r="CC11" s="714"/>
      <c r="CL11" s="169" t="s">
        <v>395</v>
      </c>
      <c r="CM11" s="897" t="s">
        <v>2974</v>
      </c>
      <c r="CW11" s="169" t="s">
        <v>395</v>
      </c>
      <c r="CX11" s="1450" t="s">
        <v>256</v>
      </c>
      <c r="DH11" s="169" t="s">
        <v>395</v>
      </c>
      <c r="DI11" s="897" t="s">
        <v>3029</v>
      </c>
      <c r="DS11" s="169" t="s">
        <v>395</v>
      </c>
      <c r="DT11" s="897" t="s">
        <v>3031</v>
      </c>
      <c r="ED11" s="169" t="s">
        <v>395</v>
      </c>
      <c r="EE11" s="1450" t="s">
        <v>2777</v>
      </c>
      <c r="EO11" s="169" t="s">
        <v>395</v>
      </c>
      <c r="EP11" s="1179" t="s">
        <v>374</v>
      </c>
      <c r="EZ11" s="169" t="s">
        <v>395</v>
      </c>
      <c r="FA11" s="897" t="s">
        <v>367</v>
      </c>
      <c r="FK11" s="169" t="s">
        <v>395</v>
      </c>
      <c r="FL11" s="897" t="s">
        <v>321</v>
      </c>
      <c r="FV11" s="169" t="s">
        <v>395</v>
      </c>
      <c r="FW11" s="897" t="s">
        <v>328</v>
      </c>
      <c r="GG11" s="169" t="s">
        <v>395</v>
      </c>
      <c r="GR11" s="169" t="s">
        <v>395</v>
      </c>
      <c r="HC11" s="169" t="s">
        <v>395</v>
      </c>
      <c r="HN11" s="169" t="s">
        <v>395</v>
      </c>
      <c r="HO11" s="897" t="s">
        <v>266</v>
      </c>
      <c r="HY11" s="169" t="s">
        <v>395</v>
      </c>
      <c r="HZ11" s="1450" t="s">
        <v>362</v>
      </c>
      <c r="IJ11" s="169" t="s">
        <v>395</v>
      </c>
      <c r="IU11" s="169" t="s">
        <v>395</v>
      </c>
    </row>
    <row r="12" spans="1:260" ht="16.5">
      <c r="A12" s="62"/>
      <c r="B12" s="169" t="s">
        <v>395</v>
      </c>
      <c r="C12" s="1449" t="s">
        <v>2848</v>
      </c>
      <c r="M12" s="169" t="s">
        <v>395</v>
      </c>
      <c r="N12" s="1450" t="s">
        <v>277</v>
      </c>
      <c r="X12" s="169" t="s">
        <v>395</v>
      </c>
      <c r="Y12" s="897" t="s">
        <v>278</v>
      </c>
      <c r="AI12" s="169" t="s">
        <v>395</v>
      </c>
      <c r="AJ12" s="897" t="s">
        <v>288</v>
      </c>
      <c r="AT12" s="169" t="s">
        <v>395</v>
      </c>
      <c r="AU12" s="1450" t="s">
        <v>361</v>
      </c>
      <c r="BE12" s="169" t="s">
        <v>395</v>
      </c>
      <c r="BF12" s="1458"/>
      <c r="BP12" s="169" t="s">
        <v>395</v>
      </c>
      <c r="BQ12" s="1450" t="s">
        <v>365</v>
      </c>
      <c r="CA12" s="169" t="s">
        <v>395</v>
      </c>
      <c r="CB12" s="1450" t="s">
        <v>2952</v>
      </c>
      <c r="CC12"/>
      <c r="CL12" s="169" t="s">
        <v>395</v>
      </c>
      <c r="CM12" s="897" t="s">
        <v>2975</v>
      </c>
      <c r="CW12" s="169" t="s">
        <v>395</v>
      </c>
      <c r="CX12" s="1450" t="s">
        <v>2975</v>
      </c>
      <c r="DH12" s="169" t="s">
        <v>395</v>
      </c>
      <c r="DI12" s="897" t="s">
        <v>264</v>
      </c>
      <c r="DS12" s="169" t="s">
        <v>395</v>
      </c>
      <c r="DT12" s="897" t="s">
        <v>3032</v>
      </c>
      <c r="ED12" s="169" t="s">
        <v>395</v>
      </c>
      <c r="EE12" s="167"/>
      <c r="EO12" s="169" t="s">
        <v>395</v>
      </c>
      <c r="EP12" s="1179" t="s">
        <v>375</v>
      </c>
      <c r="EZ12" s="169" t="s">
        <v>395</v>
      </c>
      <c r="FA12" s="897" t="s">
        <v>293</v>
      </c>
      <c r="FK12" s="169" t="s">
        <v>395</v>
      </c>
      <c r="FL12" s="897" t="s">
        <v>328</v>
      </c>
      <c r="FV12" s="169" t="s">
        <v>395</v>
      </c>
      <c r="FW12" s="897" t="s">
        <v>353</v>
      </c>
      <c r="GG12" s="169" t="s">
        <v>395</v>
      </c>
      <c r="GR12" s="169" t="s">
        <v>395</v>
      </c>
      <c r="HC12" s="169" t="s">
        <v>395</v>
      </c>
      <c r="HN12" s="169" t="s">
        <v>395</v>
      </c>
      <c r="HO12" s="897" t="s">
        <v>267</v>
      </c>
      <c r="HY12" s="169" t="s">
        <v>395</v>
      </c>
      <c r="HZ12" s="1450" t="s">
        <v>2777</v>
      </c>
      <c r="IJ12" s="169" t="s">
        <v>395</v>
      </c>
      <c r="IU12" s="169" t="s">
        <v>395</v>
      </c>
    </row>
    <row r="13" spans="1:260" ht="16.5">
      <c r="A13" s="62"/>
      <c r="B13" s="169" t="s">
        <v>395</v>
      </c>
      <c r="C13" s="1449" t="s">
        <v>2849</v>
      </c>
      <c r="M13" s="169" t="s">
        <v>395</v>
      </c>
      <c r="N13" s="1450" t="s">
        <v>264</v>
      </c>
      <c r="X13" s="169" t="s">
        <v>395</v>
      </c>
      <c r="Y13" s="897" t="s">
        <v>265</v>
      </c>
      <c r="AI13" s="169" t="s">
        <v>395</v>
      </c>
      <c r="AJ13" s="1461" t="s">
        <v>2882</v>
      </c>
      <c r="AT13" s="169" t="s">
        <v>395</v>
      </c>
      <c r="AU13" s="1450" t="s">
        <v>2914</v>
      </c>
      <c r="BE13" s="169" t="s">
        <v>395</v>
      </c>
      <c r="BF13" s="1454" t="s">
        <v>2930</v>
      </c>
      <c r="BP13" s="169" t="s">
        <v>395</v>
      </c>
      <c r="BQ13" s="1449" t="s">
        <v>2882</v>
      </c>
      <c r="CA13" s="169" t="s">
        <v>395</v>
      </c>
      <c r="CB13" s="1450" t="s">
        <v>2953</v>
      </c>
      <c r="CC13"/>
      <c r="CL13" s="169" t="s">
        <v>395</v>
      </c>
      <c r="CM13" s="897" t="s">
        <v>2976</v>
      </c>
      <c r="CW13" s="169" t="s">
        <v>395</v>
      </c>
      <c r="CX13" s="1450" t="s">
        <v>2976</v>
      </c>
      <c r="DH13" s="169" t="s">
        <v>395</v>
      </c>
      <c r="DI13" s="897" t="s">
        <v>318</v>
      </c>
      <c r="DS13" s="169" t="s">
        <v>395</v>
      </c>
      <c r="DT13" s="1454"/>
      <c r="ED13" s="169" t="s">
        <v>395</v>
      </c>
      <c r="EE13" s="167" t="s">
        <v>2779</v>
      </c>
      <c r="EO13" s="169" t="s">
        <v>395</v>
      </c>
      <c r="EZ13" s="169" t="s">
        <v>395</v>
      </c>
      <c r="FA13" s="897" t="s">
        <v>368</v>
      </c>
      <c r="FK13" s="169" t="s">
        <v>395</v>
      </c>
      <c r="FL13" s="897" t="s">
        <v>277</v>
      </c>
      <c r="FV13" s="169" t="s">
        <v>395</v>
      </c>
      <c r="FW13" s="897" t="s">
        <v>354</v>
      </c>
      <c r="GG13" s="169" t="s">
        <v>395</v>
      </c>
      <c r="GR13" s="169" t="s">
        <v>395</v>
      </c>
      <c r="HC13" s="169" t="s">
        <v>395</v>
      </c>
      <c r="HN13" s="169" t="s">
        <v>395</v>
      </c>
      <c r="HO13" s="897" t="s">
        <v>2745</v>
      </c>
      <c r="HY13" s="169" t="s">
        <v>395</v>
      </c>
      <c r="HZ13" s="1450" t="s">
        <v>2778</v>
      </c>
      <c r="IJ13" s="169" t="s">
        <v>395</v>
      </c>
      <c r="IU13" s="169" t="s">
        <v>395</v>
      </c>
    </row>
    <row r="14" spans="1:260" ht="16.5">
      <c r="A14" s="62"/>
      <c r="B14" s="169" t="s">
        <v>395</v>
      </c>
      <c r="C14" s="1450" t="s">
        <v>2743</v>
      </c>
      <c r="M14" s="169" t="s">
        <v>395</v>
      </c>
      <c r="N14" s="1450" t="s">
        <v>265</v>
      </c>
      <c r="X14" s="169" t="s">
        <v>395</v>
      </c>
      <c r="Y14" s="897" t="s">
        <v>266</v>
      </c>
      <c r="AI14" s="169" t="s">
        <v>395</v>
      </c>
      <c r="AJ14" s="897" t="s">
        <v>294</v>
      </c>
      <c r="AT14" s="169" t="s">
        <v>395</v>
      </c>
      <c r="AU14" s="1450" t="s">
        <v>2915</v>
      </c>
      <c r="BE14" s="169" t="s">
        <v>395</v>
      </c>
      <c r="BF14" s="897" t="s">
        <v>2915</v>
      </c>
      <c r="BP14" s="169" t="s">
        <v>395</v>
      </c>
      <c r="BQ14" s="1450" t="s">
        <v>2941</v>
      </c>
      <c r="CA14" s="169" t="s">
        <v>395</v>
      </c>
      <c r="CB14" s="1450" t="s">
        <v>2954</v>
      </c>
      <c r="CC14"/>
      <c r="CL14" s="169" t="s">
        <v>395</v>
      </c>
      <c r="CM14" s="897" t="s">
        <v>2977</v>
      </c>
      <c r="CW14" s="169" t="s">
        <v>395</v>
      </c>
      <c r="CX14" s="1450" t="s">
        <v>2514</v>
      </c>
      <c r="DH14" s="169" t="s">
        <v>395</v>
      </c>
      <c r="DI14" s="897" t="s">
        <v>267</v>
      </c>
      <c r="DS14" s="169" t="s">
        <v>395</v>
      </c>
      <c r="DT14" s="1455" t="s">
        <v>3033</v>
      </c>
      <c r="ED14" s="169" t="s">
        <v>395</v>
      </c>
      <c r="EE14" s="1450" t="s">
        <v>3040</v>
      </c>
      <c r="EO14" s="169" t="s">
        <v>395</v>
      </c>
      <c r="EP14" s="1178" t="s">
        <v>376</v>
      </c>
      <c r="EZ14" s="169" t="s">
        <v>395</v>
      </c>
      <c r="FA14" s="897" t="s">
        <v>339</v>
      </c>
      <c r="FK14" s="169" t="s">
        <v>395</v>
      </c>
      <c r="FL14" s="897" t="s">
        <v>264</v>
      </c>
      <c r="FV14" s="169" t="s">
        <v>395</v>
      </c>
      <c r="FW14" s="897" t="s">
        <v>355</v>
      </c>
      <c r="GG14" s="169" t="s">
        <v>395</v>
      </c>
      <c r="GR14" s="169" t="s">
        <v>395</v>
      </c>
      <c r="HC14" s="169" t="s">
        <v>395</v>
      </c>
      <c r="HN14" s="169" t="s">
        <v>395</v>
      </c>
      <c r="HO14" s="897" t="s">
        <v>2746</v>
      </c>
      <c r="HY14" s="169" t="s">
        <v>395</v>
      </c>
      <c r="HZ14" s="167"/>
      <c r="IJ14" s="169" t="s">
        <v>395</v>
      </c>
      <c r="IU14" s="169" t="s">
        <v>395</v>
      </c>
    </row>
    <row r="15" spans="1:260" ht="16.5">
      <c r="A15" s="62"/>
      <c r="B15" s="169" t="s">
        <v>395</v>
      </c>
      <c r="C15" s="1450" t="s">
        <v>277</v>
      </c>
      <c r="M15" s="169" t="s">
        <v>395</v>
      </c>
      <c r="N15" s="1450" t="s">
        <v>266</v>
      </c>
      <c r="X15" s="169" t="s">
        <v>395</v>
      </c>
      <c r="Y15" s="897" t="s">
        <v>267</v>
      </c>
      <c r="AI15" s="169" t="s">
        <v>395</v>
      </c>
      <c r="AJ15" s="897" t="s">
        <v>295</v>
      </c>
      <c r="AT15" s="169" t="s">
        <v>395</v>
      </c>
      <c r="AU15" s="1450" t="s">
        <v>2916</v>
      </c>
      <c r="BE15" s="169" t="s">
        <v>395</v>
      </c>
      <c r="BF15" s="897" t="s">
        <v>2931</v>
      </c>
      <c r="BP15" s="169" t="s">
        <v>395</v>
      </c>
      <c r="BQ15" s="1450" t="s">
        <v>2942</v>
      </c>
      <c r="CA15" s="169" t="s">
        <v>395</v>
      </c>
      <c r="CB15" s="1450" t="s">
        <v>2955</v>
      </c>
      <c r="CC15"/>
      <c r="CL15" s="169" t="s">
        <v>395</v>
      </c>
      <c r="CM15" s="897" t="s">
        <v>267</v>
      </c>
      <c r="CW15" s="169" t="s">
        <v>395</v>
      </c>
      <c r="CX15" s="1450" t="s">
        <v>255</v>
      </c>
      <c r="DH15" s="169" t="s">
        <v>395</v>
      </c>
      <c r="DI15" s="897" t="s">
        <v>3030</v>
      </c>
      <c r="DS15" s="169" t="s">
        <v>395</v>
      </c>
      <c r="DT15" s="1458"/>
      <c r="ED15" s="169" t="s">
        <v>395</v>
      </c>
      <c r="EE15" s="1450" t="s">
        <v>3041</v>
      </c>
      <c r="EO15" s="169" t="s">
        <v>395</v>
      </c>
      <c r="EP15" s="1179" t="s">
        <v>377</v>
      </c>
      <c r="EZ15" s="169" t="s">
        <v>395</v>
      </c>
      <c r="FA15" s="897" t="s">
        <v>267</v>
      </c>
      <c r="FK15" s="169" t="s">
        <v>395</v>
      </c>
      <c r="FL15" s="897" t="s">
        <v>318</v>
      </c>
      <c r="FV15" s="169" t="s">
        <v>395</v>
      </c>
      <c r="FW15" s="897" t="s">
        <v>356</v>
      </c>
      <c r="GG15" s="169" t="s">
        <v>395</v>
      </c>
      <c r="GR15" s="169" t="s">
        <v>395</v>
      </c>
      <c r="HC15" s="169" t="s">
        <v>395</v>
      </c>
      <c r="HN15" s="169" t="s">
        <v>395</v>
      </c>
      <c r="HO15" s="897" t="s">
        <v>2747</v>
      </c>
      <c r="HY15" s="169" t="s">
        <v>395</v>
      </c>
      <c r="HZ15" s="167" t="s">
        <v>2779</v>
      </c>
      <c r="IJ15" s="169" t="s">
        <v>395</v>
      </c>
      <c r="IU15" s="169" t="s">
        <v>395</v>
      </c>
    </row>
    <row r="16" spans="1:260" ht="16.5">
      <c r="A16" s="62"/>
      <c r="B16" s="169" t="s">
        <v>395</v>
      </c>
      <c r="C16" s="1450" t="s">
        <v>264</v>
      </c>
      <c r="M16" s="169" t="s">
        <v>395</v>
      </c>
      <c r="N16" s="1450" t="s">
        <v>267</v>
      </c>
      <c r="X16" s="169" t="s">
        <v>395</v>
      </c>
      <c r="Y16" s="897" t="s">
        <v>279</v>
      </c>
      <c r="AI16" s="169" t="s">
        <v>395</v>
      </c>
      <c r="AJ16" s="897" t="s">
        <v>2883</v>
      </c>
      <c r="AT16" s="169" t="s">
        <v>395</v>
      </c>
      <c r="AU16" s="1450" t="s">
        <v>2917</v>
      </c>
      <c r="BE16" s="169" t="s">
        <v>395</v>
      </c>
      <c r="BF16" s="897" t="s">
        <v>2932</v>
      </c>
      <c r="BP16" s="169" t="s">
        <v>395</v>
      </c>
      <c r="BQ16" s="1450" t="s">
        <v>2943</v>
      </c>
      <c r="CA16" s="169" t="s">
        <v>395</v>
      </c>
      <c r="CB16" s="1450" t="s">
        <v>2956</v>
      </c>
      <c r="CC16"/>
      <c r="CD16" s="168"/>
      <c r="CL16" s="169" t="s">
        <v>395</v>
      </c>
      <c r="CM16" s="897" t="s">
        <v>364</v>
      </c>
      <c r="CW16" s="169" t="s">
        <v>395</v>
      </c>
      <c r="CX16" s="1450" t="s">
        <v>364</v>
      </c>
      <c r="DH16" s="169" t="s">
        <v>395</v>
      </c>
      <c r="DI16" s="897" t="s">
        <v>3031</v>
      </c>
      <c r="DS16" s="169" t="s">
        <v>395</v>
      </c>
      <c r="DT16" s="1468" t="s">
        <v>3520</v>
      </c>
      <c r="ED16" s="169" t="s">
        <v>395</v>
      </c>
      <c r="EE16" s="1450" t="s">
        <v>3042</v>
      </c>
      <c r="EO16" s="169" t="s">
        <v>395</v>
      </c>
      <c r="EP16" s="1179" t="s">
        <v>393</v>
      </c>
      <c r="EZ16" s="169" t="s">
        <v>395</v>
      </c>
      <c r="FA16" s="897" t="s">
        <v>340</v>
      </c>
      <c r="FK16" s="169" t="s">
        <v>395</v>
      </c>
      <c r="FL16" s="897" t="s">
        <v>267</v>
      </c>
      <c r="FV16" s="169" t="s">
        <v>395</v>
      </c>
      <c r="FW16" s="897" t="s">
        <v>357</v>
      </c>
      <c r="GG16" s="169" t="s">
        <v>395</v>
      </c>
      <c r="GR16" s="169" t="s">
        <v>395</v>
      </c>
      <c r="HC16" s="169" t="s">
        <v>395</v>
      </c>
      <c r="HN16" s="169" t="s">
        <v>395</v>
      </c>
      <c r="HO16" s="897" t="s">
        <v>271</v>
      </c>
      <c r="HY16" s="169" t="s">
        <v>395</v>
      </c>
      <c r="HZ16" s="1450" t="s">
        <v>2780</v>
      </c>
      <c r="IJ16" s="169" t="s">
        <v>395</v>
      </c>
      <c r="IU16" s="169" t="s">
        <v>395</v>
      </c>
    </row>
    <row r="17" spans="1:255" ht="16.5">
      <c r="A17" s="62"/>
      <c r="B17" s="169" t="s">
        <v>395</v>
      </c>
      <c r="C17" s="1450" t="s">
        <v>265</v>
      </c>
      <c r="M17" s="169" t="s">
        <v>395</v>
      </c>
      <c r="N17" s="1450" t="s">
        <v>268</v>
      </c>
      <c r="X17" s="169" t="s">
        <v>395</v>
      </c>
      <c r="Y17" s="897" t="s">
        <v>280</v>
      </c>
      <c r="AI17" s="169" t="s">
        <v>395</v>
      </c>
      <c r="AJ17" s="897" t="s">
        <v>273</v>
      </c>
      <c r="AT17" s="169" t="s">
        <v>395</v>
      </c>
      <c r="AU17" s="1450" t="s">
        <v>298</v>
      </c>
      <c r="BE17" s="169" t="s">
        <v>395</v>
      </c>
      <c r="BF17" s="897" t="s">
        <v>2933</v>
      </c>
      <c r="BP17" s="169" t="s">
        <v>395</v>
      </c>
      <c r="BQ17" s="1450" t="s">
        <v>257</v>
      </c>
      <c r="CA17" s="169" t="s">
        <v>395</v>
      </c>
      <c r="CB17" s="1450" t="s">
        <v>2957</v>
      </c>
      <c r="CC17"/>
      <c r="CD17" s="168"/>
      <c r="CL17" s="169" t="s">
        <v>395</v>
      </c>
      <c r="CM17" s="1461" t="s">
        <v>2978</v>
      </c>
      <c r="CW17" s="169" t="s">
        <v>395</v>
      </c>
      <c r="CX17" s="1450" t="s">
        <v>363</v>
      </c>
      <c r="DH17" s="169" t="s">
        <v>395</v>
      </c>
      <c r="DI17" s="897" t="s">
        <v>3032</v>
      </c>
      <c r="DS17" s="169" t="s">
        <v>395</v>
      </c>
      <c r="DT17" s="1455" t="s">
        <v>2870</v>
      </c>
      <c r="ED17" s="169" t="s">
        <v>395</v>
      </c>
      <c r="EE17" s="1450" t="s">
        <v>3043</v>
      </c>
      <c r="EO17" s="169" t="s">
        <v>395</v>
      </c>
      <c r="EP17" s="1179" t="s">
        <v>378</v>
      </c>
      <c r="EZ17" s="169" t="s">
        <v>395</v>
      </c>
      <c r="FA17" s="897" t="s">
        <v>341</v>
      </c>
      <c r="FK17" s="169" t="s">
        <v>395</v>
      </c>
      <c r="FL17" s="897" t="s">
        <v>329</v>
      </c>
      <c r="FV17" s="169" t="s">
        <v>395</v>
      </c>
      <c r="FW17" s="897" t="s">
        <v>3063</v>
      </c>
      <c r="GG17" s="169" t="s">
        <v>395</v>
      </c>
      <c r="GR17" s="169" t="s">
        <v>395</v>
      </c>
      <c r="HC17" s="169" t="s">
        <v>395</v>
      </c>
      <c r="HN17" s="169" t="s">
        <v>395</v>
      </c>
      <c r="HO17" s="897" t="s">
        <v>2748</v>
      </c>
      <c r="HY17" s="169" t="s">
        <v>395</v>
      </c>
      <c r="HZ17" s="1450" t="s">
        <v>2781</v>
      </c>
      <c r="IJ17" s="169" t="s">
        <v>395</v>
      </c>
      <c r="IU17" s="169" t="s">
        <v>395</v>
      </c>
    </row>
    <row r="18" spans="1:255" ht="16.5">
      <c r="A18" s="62"/>
      <c r="B18" s="169" t="s">
        <v>395</v>
      </c>
      <c r="C18" s="1450" t="s">
        <v>266</v>
      </c>
      <c r="M18" s="169" t="s">
        <v>395</v>
      </c>
      <c r="N18" s="1450" t="s">
        <v>269</v>
      </c>
      <c r="X18" s="169" t="s">
        <v>395</v>
      </c>
      <c r="Y18" s="897" t="s">
        <v>281</v>
      </c>
      <c r="AI18" s="169" t="s">
        <v>395</v>
      </c>
      <c r="AJ18" s="897" t="s">
        <v>2884</v>
      </c>
      <c r="AT18" s="169" t="s">
        <v>395</v>
      </c>
      <c r="AU18" s="167"/>
      <c r="BE18" s="169" t="s">
        <v>395</v>
      </c>
      <c r="BF18" s="1465"/>
      <c r="BP18" s="169" t="s">
        <v>395</v>
      </c>
      <c r="BQ18" s="167"/>
      <c r="CA18" s="169" t="s">
        <v>395</v>
      </c>
      <c r="CB18" s="1450" t="s">
        <v>2958</v>
      </c>
      <c r="CC18"/>
      <c r="CD18" s="168"/>
      <c r="CL18" s="169" t="s">
        <v>395</v>
      </c>
      <c r="CM18" s="897" t="s">
        <v>363</v>
      </c>
      <c r="CW18" s="169" t="s">
        <v>395</v>
      </c>
      <c r="CX18" s="1450" t="s">
        <v>2994</v>
      </c>
      <c r="DH18" s="169" t="s">
        <v>395</v>
      </c>
      <c r="DI18" s="1454"/>
      <c r="DS18" s="169" t="s">
        <v>395</v>
      </c>
      <c r="DT18" s="1455" t="s">
        <v>2896</v>
      </c>
      <c r="ED18" s="169" t="s">
        <v>395</v>
      </c>
      <c r="EE18" s="1450" t="s">
        <v>3044</v>
      </c>
      <c r="EO18" s="169" t="s">
        <v>395</v>
      </c>
      <c r="EP18" s="1179" t="s">
        <v>379</v>
      </c>
      <c r="EZ18" s="169" t="s">
        <v>395</v>
      </c>
      <c r="FA18" s="897" t="s">
        <v>342</v>
      </c>
      <c r="FK18" s="169" t="s">
        <v>395</v>
      </c>
      <c r="FL18" s="897" t="s">
        <v>330</v>
      </c>
      <c r="FV18" s="169" t="s">
        <v>395</v>
      </c>
      <c r="FW18" s="897" t="s">
        <v>3064</v>
      </c>
      <c r="GG18" s="169" t="s">
        <v>395</v>
      </c>
      <c r="GR18" s="169" t="s">
        <v>395</v>
      </c>
      <c r="HC18" s="169" t="s">
        <v>395</v>
      </c>
      <c r="HN18" s="169" t="s">
        <v>395</v>
      </c>
      <c r="HO18" s="897" t="s">
        <v>2749</v>
      </c>
      <c r="HY18" s="169" t="s">
        <v>395</v>
      </c>
      <c r="HZ18" s="1450" t="s">
        <v>2782</v>
      </c>
      <c r="IJ18" s="169" t="s">
        <v>395</v>
      </c>
      <c r="IU18" s="169" t="s">
        <v>395</v>
      </c>
    </row>
    <row r="19" spans="1:255" ht="16.5">
      <c r="A19" s="62"/>
      <c r="B19" s="169" t="s">
        <v>395</v>
      </c>
      <c r="C19" s="1449" t="s">
        <v>2850</v>
      </c>
      <c r="M19" s="169" t="s">
        <v>395</v>
      </c>
      <c r="N19" s="1450" t="s">
        <v>270</v>
      </c>
      <c r="X19" s="169" t="s">
        <v>395</v>
      </c>
      <c r="Y19" s="897" t="s">
        <v>282</v>
      </c>
      <c r="AI19" s="169" t="s">
        <v>395</v>
      </c>
      <c r="AJ19" s="1462"/>
      <c r="AT19" s="169" t="s">
        <v>395</v>
      </c>
      <c r="AU19" s="1451" t="s">
        <v>2918</v>
      </c>
      <c r="BE19" s="169" t="s">
        <v>395</v>
      </c>
      <c r="BF19" s="1455" t="s">
        <v>2934</v>
      </c>
      <c r="BP19" s="169" t="s">
        <v>395</v>
      </c>
      <c r="BQ19" s="167" t="s">
        <v>2885</v>
      </c>
      <c r="CA19" s="169" t="s">
        <v>395</v>
      </c>
      <c r="CB19" s="1450" t="s">
        <v>2959</v>
      </c>
      <c r="CC19"/>
      <c r="CD19" s="168"/>
      <c r="CL19" s="169" t="s">
        <v>395</v>
      </c>
      <c r="CM19" s="897" t="s">
        <v>319</v>
      </c>
      <c r="CW19" s="169" t="s">
        <v>395</v>
      </c>
      <c r="CX19" s="1450" t="s">
        <v>2995</v>
      </c>
      <c r="DH19" s="169" t="s">
        <v>395</v>
      </c>
      <c r="DI19" s="1455" t="s">
        <v>3033</v>
      </c>
      <c r="DS19" s="169" t="s">
        <v>395</v>
      </c>
      <c r="DT19" s="1457"/>
      <c r="ED19" s="169" t="s">
        <v>395</v>
      </c>
      <c r="EE19" s="1450" t="s">
        <v>3045</v>
      </c>
      <c r="EO19" s="169" t="s">
        <v>395</v>
      </c>
      <c r="EP19" s="1179" t="s">
        <v>380</v>
      </c>
      <c r="EZ19" s="169" t="s">
        <v>395</v>
      </c>
      <c r="FA19" s="897" t="s">
        <v>343</v>
      </c>
      <c r="FK19" s="169" t="s">
        <v>395</v>
      </c>
      <c r="FL19" s="897" t="s">
        <v>331</v>
      </c>
      <c r="FV19" s="169" t="s">
        <v>395</v>
      </c>
      <c r="FW19" s="897" t="s">
        <v>3065</v>
      </c>
      <c r="GG19" s="169" t="s">
        <v>395</v>
      </c>
      <c r="GR19" s="169" t="s">
        <v>395</v>
      </c>
      <c r="HC19" s="169" t="s">
        <v>395</v>
      </c>
      <c r="HN19" s="169" t="s">
        <v>395</v>
      </c>
      <c r="HO19" s="897" t="s">
        <v>366</v>
      </c>
      <c r="HY19" s="169" t="s">
        <v>395</v>
      </c>
      <c r="HZ19" s="1450" t="s">
        <v>339</v>
      </c>
      <c r="IJ19" s="169" t="s">
        <v>395</v>
      </c>
      <c r="IU19" s="169" t="s">
        <v>395</v>
      </c>
    </row>
    <row r="20" spans="1:255" ht="16.5">
      <c r="A20" s="62"/>
      <c r="B20" s="169" t="s">
        <v>395</v>
      </c>
      <c r="C20" s="1449" t="s">
        <v>2851</v>
      </c>
      <c r="M20" s="169" t="s">
        <v>395</v>
      </c>
      <c r="N20" s="1450" t="s">
        <v>271</v>
      </c>
      <c r="X20" s="169" t="s">
        <v>395</v>
      </c>
      <c r="Y20" s="897" t="s">
        <v>283</v>
      </c>
      <c r="AI20" s="169" t="s">
        <v>395</v>
      </c>
      <c r="AJ20" s="1454" t="s">
        <v>2885</v>
      </c>
      <c r="AT20" s="169" t="s">
        <v>395</v>
      </c>
      <c r="AU20" s="1452"/>
      <c r="BE20" s="169" t="s">
        <v>395</v>
      </c>
      <c r="BF20" s="1456"/>
      <c r="BP20" s="169" t="s">
        <v>395</v>
      </c>
      <c r="BQ20" s="1450" t="s">
        <v>2944</v>
      </c>
      <c r="CA20" s="169" t="s">
        <v>395</v>
      </c>
      <c r="CB20" s="167"/>
      <c r="CC20"/>
      <c r="CL20" s="169" t="s">
        <v>395</v>
      </c>
      <c r="CM20" s="897" t="s">
        <v>2516</v>
      </c>
      <c r="CW20" s="169" t="s">
        <v>395</v>
      </c>
      <c r="CX20" s="1450" t="s">
        <v>2996</v>
      </c>
      <c r="DH20" s="169" t="s">
        <v>395</v>
      </c>
      <c r="DI20" s="1458"/>
      <c r="DS20" s="169" t="s">
        <v>395</v>
      </c>
      <c r="DT20" s="1468" t="s">
        <v>3522</v>
      </c>
      <c r="ED20" s="169" t="s">
        <v>395</v>
      </c>
      <c r="EE20" s="1450" t="s">
        <v>255</v>
      </c>
      <c r="EO20" s="169" t="s">
        <v>395</v>
      </c>
      <c r="EP20" s="1179" t="s">
        <v>381</v>
      </c>
      <c r="EZ20" s="169" t="s">
        <v>395</v>
      </c>
      <c r="FA20" s="897" t="s">
        <v>344</v>
      </c>
      <c r="FK20" s="169" t="s">
        <v>395</v>
      </c>
      <c r="FL20" s="897" t="s">
        <v>332</v>
      </c>
      <c r="FV20" s="169" t="s">
        <v>395</v>
      </c>
      <c r="FW20" s="897" t="s">
        <v>358</v>
      </c>
      <c r="GG20" s="169" t="s">
        <v>395</v>
      </c>
      <c r="GR20" s="169" t="s">
        <v>395</v>
      </c>
      <c r="HC20" s="169" t="s">
        <v>395</v>
      </c>
      <c r="HN20" s="169" t="s">
        <v>395</v>
      </c>
      <c r="HO20" s="897" t="s">
        <v>2750</v>
      </c>
      <c r="HY20" s="169" t="s">
        <v>395</v>
      </c>
      <c r="HZ20" s="1450" t="s">
        <v>267</v>
      </c>
      <c r="IJ20" s="169" t="s">
        <v>395</v>
      </c>
      <c r="IU20" s="169" t="s">
        <v>395</v>
      </c>
    </row>
    <row r="21" spans="1:255" ht="16.5">
      <c r="A21" s="62"/>
      <c r="B21" s="169" t="s">
        <v>395</v>
      </c>
      <c r="C21" s="1450" t="s">
        <v>2746</v>
      </c>
      <c r="M21" s="169" t="s">
        <v>395</v>
      </c>
      <c r="N21" s="1450" t="s">
        <v>272</v>
      </c>
      <c r="X21" s="169" t="s">
        <v>395</v>
      </c>
      <c r="Y21" s="897" t="s">
        <v>284</v>
      </c>
      <c r="AI21" s="169" t="s">
        <v>395</v>
      </c>
      <c r="AJ21" s="1454" t="s">
        <v>296</v>
      </c>
      <c r="AT21" s="169" t="s">
        <v>395</v>
      </c>
      <c r="AU21" s="1453" t="s">
        <v>3520</v>
      </c>
      <c r="BE21" s="169" t="s">
        <v>395</v>
      </c>
      <c r="BF21" s="1457" t="s">
        <v>3520</v>
      </c>
      <c r="BP21" s="169" t="s">
        <v>395</v>
      </c>
      <c r="BQ21" s="1450" t="s">
        <v>2945</v>
      </c>
      <c r="CA21" s="169" t="s">
        <v>395</v>
      </c>
      <c r="CB21" s="166"/>
      <c r="CC21"/>
      <c r="CL21" s="169" t="s">
        <v>395</v>
      </c>
      <c r="CM21" s="897" t="s">
        <v>2943</v>
      </c>
      <c r="CW21" s="169" t="s">
        <v>395</v>
      </c>
      <c r="CX21" s="1450" t="s">
        <v>366</v>
      </c>
      <c r="DH21" s="169" t="s">
        <v>395</v>
      </c>
      <c r="DI21" s="1468" t="s">
        <v>3520</v>
      </c>
      <c r="DS21" s="169" t="s">
        <v>395</v>
      </c>
      <c r="DT21" s="1455" t="s">
        <v>2871</v>
      </c>
      <c r="ED21" s="169" t="s">
        <v>395</v>
      </c>
      <c r="EE21" s="1450" t="s">
        <v>3046</v>
      </c>
      <c r="EO21" s="169" t="s">
        <v>395</v>
      </c>
      <c r="EP21" s="1179" t="s">
        <v>382</v>
      </c>
      <c r="EZ21" s="169" t="s">
        <v>395</v>
      </c>
      <c r="FA21" s="897" t="s">
        <v>345</v>
      </c>
      <c r="FK21" s="169" t="s">
        <v>395</v>
      </c>
      <c r="FL21" s="897" t="s">
        <v>3063</v>
      </c>
      <c r="FV21" s="169" t="s">
        <v>395</v>
      </c>
      <c r="FW21" s="1458"/>
      <c r="GG21" s="169" t="s">
        <v>395</v>
      </c>
      <c r="GR21" s="169" t="s">
        <v>395</v>
      </c>
      <c r="HC21" s="169" t="s">
        <v>395</v>
      </c>
      <c r="HN21" s="169" t="s">
        <v>395</v>
      </c>
      <c r="HO21" s="1454"/>
      <c r="HY21" s="169" t="s">
        <v>395</v>
      </c>
      <c r="HZ21" s="1450" t="s">
        <v>2783</v>
      </c>
      <c r="IJ21" s="169" t="s">
        <v>395</v>
      </c>
      <c r="IU21" s="169" t="s">
        <v>395</v>
      </c>
    </row>
    <row r="22" spans="1:255" ht="16.5">
      <c r="A22" s="62"/>
      <c r="B22" s="169" t="s">
        <v>395</v>
      </c>
      <c r="C22" s="1450" t="s">
        <v>269</v>
      </c>
      <c r="M22" s="169" t="s">
        <v>395</v>
      </c>
      <c r="N22" s="1450" t="s">
        <v>273</v>
      </c>
      <c r="X22" s="169" t="s">
        <v>395</v>
      </c>
      <c r="Y22" s="1454"/>
      <c r="AI22" s="169" t="s">
        <v>395</v>
      </c>
      <c r="AJ22" s="897" t="s">
        <v>2518</v>
      </c>
      <c r="AT22" s="169" t="s">
        <v>395</v>
      </c>
      <c r="AU22" s="1451" t="s">
        <v>2919</v>
      </c>
      <c r="BE22" s="169" t="s">
        <v>395</v>
      </c>
      <c r="BF22" s="1455" t="s">
        <v>2919</v>
      </c>
      <c r="BP22" s="169" t="s">
        <v>395</v>
      </c>
      <c r="BQ22" s="1450" t="s">
        <v>2515</v>
      </c>
      <c r="CA22" s="169" t="s">
        <v>395</v>
      </c>
      <c r="CB22" s="167" t="s">
        <v>2960</v>
      </c>
      <c r="CC22"/>
      <c r="CL22" s="169" t="s">
        <v>395</v>
      </c>
      <c r="CM22" s="897" t="s">
        <v>2517</v>
      </c>
      <c r="CW22" s="169" t="s">
        <v>395</v>
      </c>
      <c r="CX22" s="1450" t="s">
        <v>2997</v>
      </c>
      <c r="DH22" s="169" t="s">
        <v>395</v>
      </c>
      <c r="DI22" s="1455" t="s">
        <v>2870</v>
      </c>
      <c r="DS22" s="169" t="s">
        <v>395</v>
      </c>
      <c r="DT22" s="1455" t="s">
        <v>2982</v>
      </c>
      <c r="ED22" s="169" t="s">
        <v>395</v>
      </c>
      <c r="EE22" s="1450" t="s">
        <v>3047</v>
      </c>
      <c r="EO22" s="169" t="s">
        <v>395</v>
      </c>
      <c r="EP22" s="1179" t="s">
        <v>383</v>
      </c>
      <c r="EZ22" s="169" t="s">
        <v>395</v>
      </c>
      <c r="FA22" s="897" t="s">
        <v>346</v>
      </c>
      <c r="FK22" s="169" t="s">
        <v>395</v>
      </c>
      <c r="FL22" s="897" t="s">
        <v>3064</v>
      </c>
      <c r="FV22" s="169" t="s">
        <v>395</v>
      </c>
      <c r="FW22" s="1455" t="s">
        <v>3068</v>
      </c>
      <c r="GG22" s="169" t="s">
        <v>395</v>
      </c>
      <c r="GR22" s="169" t="s">
        <v>395</v>
      </c>
      <c r="HC22" s="169" t="s">
        <v>395</v>
      </c>
      <c r="HN22" s="169" t="s">
        <v>395</v>
      </c>
      <c r="HO22" s="1455" t="s">
        <v>2751</v>
      </c>
      <c r="HY22" s="169" t="s">
        <v>395</v>
      </c>
      <c r="HZ22" s="1450" t="s">
        <v>341</v>
      </c>
      <c r="IJ22" s="169" t="s">
        <v>395</v>
      </c>
      <c r="IU22" s="169" t="s">
        <v>395</v>
      </c>
    </row>
    <row r="23" spans="1:255" ht="16.5">
      <c r="A23" s="62"/>
      <c r="B23" s="169" t="s">
        <v>395</v>
      </c>
      <c r="C23" s="1450" t="s">
        <v>271</v>
      </c>
      <c r="M23" s="169" t="s">
        <v>395</v>
      </c>
      <c r="N23" s="1450" t="s">
        <v>2868</v>
      </c>
      <c r="X23" s="169" t="s">
        <v>395</v>
      </c>
      <c r="Y23" s="1455" t="s">
        <v>2874</v>
      </c>
      <c r="AI23" s="169" t="s">
        <v>395</v>
      </c>
      <c r="AJ23" s="897" t="s">
        <v>297</v>
      </c>
      <c r="AT23" s="169" t="s">
        <v>395</v>
      </c>
      <c r="AU23" s="1451" t="s">
        <v>2891</v>
      </c>
      <c r="BE23" s="169" t="s">
        <v>395</v>
      </c>
      <c r="BF23" s="1455" t="s">
        <v>2891</v>
      </c>
      <c r="BP23" s="169" t="s">
        <v>395</v>
      </c>
      <c r="BQ23" s="1450" t="s">
        <v>2946</v>
      </c>
      <c r="CA23" s="169" t="s">
        <v>395</v>
      </c>
      <c r="CB23" s="1450" t="s">
        <v>305</v>
      </c>
      <c r="CC23"/>
      <c r="CL23" s="169" t="s">
        <v>395</v>
      </c>
      <c r="CM23" s="1454"/>
      <c r="CW23" s="169" t="s">
        <v>395</v>
      </c>
      <c r="CX23" s="1450" t="s">
        <v>2998</v>
      </c>
      <c r="DH23" s="169" t="s">
        <v>395</v>
      </c>
      <c r="DI23" s="1455" t="s">
        <v>2896</v>
      </c>
      <c r="DS23" s="169" t="s">
        <v>395</v>
      </c>
      <c r="DT23" s="1455" t="s">
        <v>2758</v>
      </c>
      <c r="ED23" s="169" t="s">
        <v>395</v>
      </c>
      <c r="EE23" s="1450" t="s">
        <v>3048</v>
      </c>
      <c r="EO23" s="169" t="s">
        <v>395</v>
      </c>
      <c r="EP23" s="1179" t="s">
        <v>391</v>
      </c>
      <c r="EZ23" s="169" t="s">
        <v>395</v>
      </c>
      <c r="FA23" s="897" t="s">
        <v>347</v>
      </c>
      <c r="FK23" s="169" t="s">
        <v>395</v>
      </c>
      <c r="FL23" s="897" t="s">
        <v>3065</v>
      </c>
      <c r="FV23" s="169" t="s">
        <v>395</v>
      </c>
      <c r="FW23" s="1455" t="s">
        <v>3069</v>
      </c>
      <c r="GG23" s="169" t="s">
        <v>395</v>
      </c>
      <c r="GR23" s="169" t="s">
        <v>395</v>
      </c>
      <c r="HC23" s="169" t="s">
        <v>395</v>
      </c>
      <c r="HN23" s="169" t="s">
        <v>395</v>
      </c>
      <c r="HO23" s="1456"/>
      <c r="HY23" s="169" t="s">
        <v>395</v>
      </c>
      <c r="HZ23" s="1450" t="s">
        <v>342</v>
      </c>
      <c r="IJ23" s="169" t="s">
        <v>395</v>
      </c>
      <c r="IU23" s="169" t="s">
        <v>395</v>
      </c>
    </row>
    <row r="24" spans="1:255" ht="16.5">
      <c r="A24" s="62"/>
      <c r="B24" s="169" t="s">
        <v>395</v>
      </c>
      <c r="C24" s="1450" t="s">
        <v>2852</v>
      </c>
      <c r="M24" s="169" t="s">
        <v>395</v>
      </c>
      <c r="N24" s="166"/>
      <c r="X24" s="169" t="s">
        <v>395</v>
      </c>
      <c r="Y24" s="1456"/>
      <c r="AI24" s="169" t="s">
        <v>395</v>
      </c>
      <c r="AJ24" s="897" t="s">
        <v>290</v>
      </c>
      <c r="AT24" s="169" t="s">
        <v>395</v>
      </c>
      <c r="AU24" s="1451" t="s">
        <v>2892</v>
      </c>
      <c r="BE24" s="169" t="s">
        <v>395</v>
      </c>
      <c r="BF24" s="1455" t="s">
        <v>2892</v>
      </c>
      <c r="BP24" s="169" t="s">
        <v>395</v>
      </c>
      <c r="BQ24" s="167"/>
      <c r="CA24" s="169" t="s">
        <v>395</v>
      </c>
      <c r="CB24" s="1450" t="s">
        <v>288</v>
      </c>
      <c r="CC24"/>
      <c r="CL24" s="169" t="s">
        <v>395</v>
      </c>
      <c r="CM24" s="1454" t="s">
        <v>2885</v>
      </c>
      <c r="CW24" s="169" t="s">
        <v>395</v>
      </c>
      <c r="CX24" s="167"/>
      <c r="DH24" s="169" t="s">
        <v>395</v>
      </c>
      <c r="DI24" s="1457"/>
      <c r="DS24" s="169" t="s">
        <v>395</v>
      </c>
      <c r="DT24" s="1455" t="s">
        <v>2760</v>
      </c>
      <c r="ED24" s="169" t="s">
        <v>395</v>
      </c>
      <c r="EE24" s="1450" t="s">
        <v>3049</v>
      </c>
      <c r="EO24" s="169" t="s">
        <v>395</v>
      </c>
      <c r="EP24" s="1179" t="s">
        <v>384</v>
      </c>
      <c r="EZ24" s="169" t="s">
        <v>395</v>
      </c>
      <c r="FA24" s="897" t="s">
        <v>348</v>
      </c>
      <c r="FK24" s="169" t="s">
        <v>395</v>
      </c>
      <c r="FL24" s="897" t="s">
        <v>3066</v>
      </c>
      <c r="FV24" s="169" t="s">
        <v>395</v>
      </c>
      <c r="FW24" s="1454"/>
      <c r="GG24" s="169" t="s">
        <v>395</v>
      </c>
      <c r="GR24" s="169" t="s">
        <v>395</v>
      </c>
      <c r="HC24" s="169" t="s">
        <v>395</v>
      </c>
      <c r="HN24" s="169" t="s">
        <v>395</v>
      </c>
      <c r="HO24" s="1457" t="s">
        <v>3520</v>
      </c>
      <c r="HY24" s="169" t="s">
        <v>395</v>
      </c>
      <c r="HZ24" s="1450" t="s">
        <v>343</v>
      </c>
      <c r="IJ24" s="169" t="s">
        <v>395</v>
      </c>
      <c r="IU24" s="169" t="s">
        <v>395</v>
      </c>
    </row>
    <row r="25" spans="1:255" ht="16.5">
      <c r="A25" s="62"/>
      <c r="B25" s="169" t="s">
        <v>395</v>
      </c>
      <c r="C25" s="1450" t="s">
        <v>2853</v>
      </c>
      <c r="M25" s="169" t="s">
        <v>395</v>
      </c>
      <c r="N25" s="1451" t="s">
        <v>2869</v>
      </c>
      <c r="X25" s="169" t="s">
        <v>395</v>
      </c>
      <c r="Y25" s="1457" t="s">
        <v>3520</v>
      </c>
      <c r="AI25" s="169" t="s">
        <v>395</v>
      </c>
      <c r="AJ25" s="897" t="s">
        <v>2886</v>
      </c>
      <c r="AT25" s="169" t="s">
        <v>395</v>
      </c>
      <c r="AU25" s="1451" t="s">
        <v>2920</v>
      </c>
      <c r="BE25" s="169" t="s">
        <v>395</v>
      </c>
      <c r="BF25" s="1455" t="s">
        <v>2920</v>
      </c>
      <c r="BP25" s="169" t="s">
        <v>395</v>
      </c>
      <c r="BQ25" s="1451" t="s">
        <v>2947</v>
      </c>
      <c r="CA25" s="169" t="s">
        <v>395</v>
      </c>
      <c r="CB25" s="1450" t="s">
        <v>2961</v>
      </c>
      <c r="CC25"/>
      <c r="CL25" s="169" t="s">
        <v>395</v>
      </c>
      <c r="CM25" s="1454" t="s">
        <v>296</v>
      </c>
      <c r="CW25" s="169" t="s">
        <v>395</v>
      </c>
      <c r="CX25" s="167" t="s">
        <v>2885</v>
      </c>
      <c r="DH25" s="169" t="s">
        <v>395</v>
      </c>
      <c r="DI25" s="1468" t="s">
        <v>3522</v>
      </c>
      <c r="DS25" s="169" t="s">
        <v>395</v>
      </c>
      <c r="DT25" s="1455" t="s">
        <v>2761</v>
      </c>
      <c r="ED25" s="169" t="s">
        <v>395</v>
      </c>
      <c r="EE25" s="1450" t="s">
        <v>3050</v>
      </c>
      <c r="EO25" s="169" t="s">
        <v>395</v>
      </c>
      <c r="EP25" s="1179" t="s">
        <v>385</v>
      </c>
      <c r="EZ25" s="169" t="s">
        <v>395</v>
      </c>
      <c r="FA25" s="1470" t="s">
        <v>349</v>
      </c>
      <c r="FK25" s="169" t="s">
        <v>395</v>
      </c>
      <c r="FL25" s="1454"/>
      <c r="FV25" s="169" t="s">
        <v>395</v>
      </c>
      <c r="FW25" s="1457" t="s">
        <v>2797</v>
      </c>
      <c r="GG25" s="169" t="s">
        <v>395</v>
      </c>
      <c r="GR25" s="169" t="s">
        <v>395</v>
      </c>
      <c r="HC25" s="169" t="s">
        <v>395</v>
      </c>
      <c r="HN25" s="169" t="s">
        <v>395</v>
      </c>
      <c r="HO25" s="1455" t="s">
        <v>2753</v>
      </c>
      <c r="HY25" s="169" t="s">
        <v>395</v>
      </c>
      <c r="HZ25" s="1450" t="s">
        <v>344</v>
      </c>
      <c r="IJ25" s="169" t="s">
        <v>395</v>
      </c>
      <c r="IU25" s="169" t="s">
        <v>395</v>
      </c>
    </row>
    <row r="26" spans="1:255" ht="16.5">
      <c r="A26" s="62"/>
      <c r="B26" s="169" t="s">
        <v>395</v>
      </c>
      <c r="C26" s="167" t="s">
        <v>2854</v>
      </c>
      <c r="M26" s="169" t="s">
        <v>395</v>
      </c>
      <c r="N26" s="1459"/>
      <c r="X26" s="169" t="s">
        <v>395</v>
      </c>
      <c r="Y26" s="1455" t="s">
        <v>2870</v>
      </c>
      <c r="AI26" s="169" t="s">
        <v>395</v>
      </c>
      <c r="AJ26" s="897" t="s">
        <v>2887</v>
      </c>
      <c r="AT26" s="169" t="s">
        <v>395</v>
      </c>
      <c r="AU26" s="1451" t="s">
        <v>2894</v>
      </c>
      <c r="BE26" s="169" t="s">
        <v>395</v>
      </c>
      <c r="BF26" s="1455" t="s">
        <v>2894</v>
      </c>
      <c r="BP26" s="169" t="s">
        <v>395</v>
      </c>
      <c r="BQ26" s="167"/>
      <c r="CA26" s="169" t="s">
        <v>395</v>
      </c>
      <c r="CB26" s="1450" t="s">
        <v>306</v>
      </c>
      <c r="CC26"/>
      <c r="CL26" s="169" t="s">
        <v>395</v>
      </c>
      <c r="CM26" s="897" t="s">
        <v>2518</v>
      </c>
      <c r="CW26" s="169" t="s">
        <v>395</v>
      </c>
      <c r="CX26" s="1450" t="s">
        <v>2999</v>
      </c>
      <c r="DH26" s="169" t="s">
        <v>395</v>
      </c>
      <c r="DI26" s="1455" t="s">
        <v>2871</v>
      </c>
      <c r="DS26" s="169" t="s">
        <v>395</v>
      </c>
      <c r="DT26" s="1455" t="s">
        <v>3034</v>
      </c>
      <c r="ED26" s="169" t="s">
        <v>395</v>
      </c>
      <c r="EE26" s="1450" t="s">
        <v>3051</v>
      </c>
      <c r="EO26" s="169" t="s">
        <v>395</v>
      </c>
      <c r="EP26" s="1179" t="s">
        <v>386</v>
      </c>
      <c r="EZ26" s="169" t="s">
        <v>395</v>
      </c>
      <c r="FA26" s="1470" t="s">
        <v>350</v>
      </c>
      <c r="FK26" s="169" t="s">
        <v>395</v>
      </c>
      <c r="FL26" s="1460" t="s">
        <v>333</v>
      </c>
      <c r="FV26" s="169" t="s">
        <v>395</v>
      </c>
      <c r="FW26" s="897" t="s">
        <v>2768</v>
      </c>
      <c r="GG26" s="169" t="s">
        <v>395</v>
      </c>
      <c r="GR26" s="169" t="s">
        <v>395</v>
      </c>
      <c r="HC26" s="169" t="s">
        <v>395</v>
      </c>
      <c r="HN26" s="169" t="s">
        <v>395</v>
      </c>
      <c r="HO26" s="1457"/>
      <c r="HY26" s="169" t="s">
        <v>395</v>
      </c>
      <c r="HZ26" s="1450" t="s">
        <v>2784</v>
      </c>
      <c r="IJ26" s="169" t="s">
        <v>395</v>
      </c>
      <c r="IU26" s="169" t="s">
        <v>395</v>
      </c>
    </row>
    <row r="27" spans="1:255" ht="16.5">
      <c r="A27" s="62"/>
      <c r="B27" s="169" t="s">
        <v>395</v>
      </c>
      <c r="C27" s="167" t="s">
        <v>2855</v>
      </c>
      <c r="M27" s="169" t="s">
        <v>395</v>
      </c>
      <c r="N27" s="1453" t="s">
        <v>3520</v>
      </c>
      <c r="X27" s="169" t="s">
        <v>395</v>
      </c>
      <c r="Y27" s="1455" t="s">
        <v>2860</v>
      </c>
      <c r="AI27" s="169" t="s">
        <v>395</v>
      </c>
      <c r="AJ27" s="897" t="s">
        <v>291</v>
      </c>
      <c r="AT27" s="169" t="s">
        <v>395</v>
      </c>
      <c r="AU27" s="1451" t="s">
        <v>2895</v>
      </c>
      <c r="BE27" s="169" t="s">
        <v>395</v>
      </c>
      <c r="BF27" s="1455" t="s">
        <v>2895</v>
      </c>
      <c r="BP27" s="169" t="s">
        <v>395</v>
      </c>
      <c r="BQ27" s="1453" t="s">
        <v>3520</v>
      </c>
      <c r="CA27" s="169" t="s">
        <v>395</v>
      </c>
      <c r="CB27" s="1450" t="s">
        <v>307</v>
      </c>
      <c r="CC27"/>
      <c r="CL27" s="169" t="s">
        <v>395</v>
      </c>
      <c r="CM27" s="897" t="s">
        <v>297</v>
      </c>
      <c r="CW27" s="169" t="s">
        <v>395</v>
      </c>
      <c r="CX27" s="1450" t="s">
        <v>3000</v>
      </c>
      <c r="DH27" s="169" t="s">
        <v>395</v>
      </c>
      <c r="DI27" s="1455" t="s">
        <v>2982</v>
      </c>
      <c r="DS27" s="169" t="s">
        <v>395</v>
      </c>
      <c r="DT27" s="1455" t="s">
        <v>2984</v>
      </c>
      <c r="ED27" s="169" t="s">
        <v>395</v>
      </c>
      <c r="EE27" s="1450" t="s">
        <v>3052</v>
      </c>
      <c r="EO27" s="169" t="s">
        <v>395</v>
      </c>
      <c r="EP27" s="1179" t="s">
        <v>392</v>
      </c>
      <c r="EZ27" s="169" t="s">
        <v>395</v>
      </c>
      <c r="FA27" s="897" t="s">
        <v>369</v>
      </c>
      <c r="FK27" s="169" t="s">
        <v>395</v>
      </c>
      <c r="FL27" s="897" t="s">
        <v>305</v>
      </c>
      <c r="FV27" s="169" t="s">
        <v>395</v>
      </c>
      <c r="GG27" s="169" t="s">
        <v>395</v>
      </c>
      <c r="GR27" s="169" t="s">
        <v>395</v>
      </c>
      <c r="HC27" s="169" t="s">
        <v>395</v>
      </c>
      <c r="HN27" s="169" t="s">
        <v>395</v>
      </c>
      <c r="HO27" s="1457" t="s">
        <v>3521</v>
      </c>
      <c r="HY27" s="169" t="s">
        <v>395</v>
      </c>
      <c r="HZ27" s="1450" t="s">
        <v>2785</v>
      </c>
      <c r="IJ27" s="169" t="s">
        <v>395</v>
      </c>
      <c r="IU27" s="169" t="s">
        <v>395</v>
      </c>
    </row>
    <row r="28" spans="1:255" ht="16.5">
      <c r="A28" s="62"/>
      <c r="B28" s="169" t="s">
        <v>395</v>
      </c>
      <c r="C28" s="1450" t="s">
        <v>2856</v>
      </c>
      <c r="M28" s="169" t="s">
        <v>395</v>
      </c>
      <c r="N28" s="1451" t="s">
        <v>2870</v>
      </c>
      <c r="X28" s="169" t="s">
        <v>395</v>
      </c>
      <c r="Y28" s="1455" t="s">
        <v>2861</v>
      </c>
      <c r="AI28" s="169" t="s">
        <v>395</v>
      </c>
      <c r="AJ28" s="1454"/>
      <c r="AT28" s="169" t="s">
        <v>395</v>
      </c>
      <c r="AU28" s="1451" t="s">
        <v>2896</v>
      </c>
      <c r="BE28" s="169" t="s">
        <v>395</v>
      </c>
      <c r="BF28" s="1455" t="s">
        <v>2896</v>
      </c>
      <c r="BP28" s="169" t="s">
        <v>395</v>
      </c>
      <c r="BQ28" s="1451" t="s">
        <v>2948</v>
      </c>
      <c r="CA28" s="169" t="s">
        <v>395</v>
      </c>
      <c r="CB28" s="1450" t="s">
        <v>308</v>
      </c>
      <c r="CC28"/>
      <c r="CL28" s="169" t="s">
        <v>395</v>
      </c>
      <c r="CM28" s="897" t="s">
        <v>290</v>
      </c>
      <c r="CW28" s="169" t="s">
        <v>395</v>
      </c>
      <c r="CX28" s="1450" t="s">
        <v>3001</v>
      </c>
      <c r="DH28" s="169" t="s">
        <v>395</v>
      </c>
      <c r="DI28" s="1455" t="s">
        <v>2758</v>
      </c>
      <c r="DS28" s="169" t="s">
        <v>395</v>
      </c>
      <c r="DT28" s="1455" t="s">
        <v>2863</v>
      </c>
      <c r="ED28" s="169" t="s">
        <v>395</v>
      </c>
      <c r="EE28" s="1450" t="s">
        <v>364</v>
      </c>
      <c r="EO28" s="169" t="s">
        <v>395</v>
      </c>
      <c r="EP28" s="1179" t="s">
        <v>375</v>
      </c>
      <c r="EZ28" s="169" t="s">
        <v>395</v>
      </c>
      <c r="FA28" s="897" t="s">
        <v>2112</v>
      </c>
      <c r="FK28" s="169" t="s">
        <v>395</v>
      </c>
      <c r="FL28" s="897" t="s">
        <v>288</v>
      </c>
      <c r="FV28" s="169" t="s">
        <v>395</v>
      </c>
      <c r="GG28" s="169" t="s">
        <v>395</v>
      </c>
      <c r="GR28" s="169" t="s">
        <v>395</v>
      </c>
      <c r="HC28" s="169" t="s">
        <v>395</v>
      </c>
      <c r="HN28" s="169" t="s">
        <v>395</v>
      </c>
      <c r="HO28" s="1455" t="s">
        <v>2755</v>
      </c>
      <c r="HY28" s="169" t="s">
        <v>395</v>
      </c>
      <c r="HZ28" s="1450" t="s">
        <v>2786</v>
      </c>
      <c r="IJ28" s="169" t="s">
        <v>395</v>
      </c>
      <c r="IU28" s="169" t="s">
        <v>395</v>
      </c>
    </row>
    <row r="29" spans="1:255" ht="16.5">
      <c r="A29" s="62"/>
      <c r="B29" s="169" t="s">
        <v>395</v>
      </c>
      <c r="C29" s="1450" t="s">
        <v>283</v>
      </c>
      <c r="M29" s="169" t="s">
        <v>395</v>
      </c>
      <c r="N29" s="1451" t="s">
        <v>2860</v>
      </c>
      <c r="X29" s="169" t="s">
        <v>395</v>
      </c>
      <c r="Y29" s="1455" t="s">
        <v>2862</v>
      </c>
      <c r="AI29" s="169" t="s">
        <v>395</v>
      </c>
      <c r="AJ29" s="1455" t="s">
        <v>2888</v>
      </c>
      <c r="AT29" s="169" t="s">
        <v>395</v>
      </c>
      <c r="AU29" s="1451" t="s">
        <v>2921</v>
      </c>
      <c r="BE29" s="169" t="s">
        <v>395</v>
      </c>
      <c r="BF29" s="1455" t="s">
        <v>2921</v>
      </c>
      <c r="BP29" s="169" t="s">
        <v>395</v>
      </c>
      <c r="BQ29" s="1451" t="s">
        <v>2949</v>
      </c>
      <c r="CA29" s="169" t="s">
        <v>395</v>
      </c>
      <c r="CB29" s="1450" t="s">
        <v>309</v>
      </c>
      <c r="CC29"/>
      <c r="CL29" s="169" t="s">
        <v>395</v>
      </c>
      <c r="CM29" s="897" t="s">
        <v>2519</v>
      </c>
      <c r="CW29" s="169" t="s">
        <v>395</v>
      </c>
      <c r="CX29" s="1450" t="s">
        <v>3002</v>
      </c>
      <c r="DH29" s="169" t="s">
        <v>395</v>
      </c>
      <c r="DI29" s="1455" t="s">
        <v>2760</v>
      </c>
      <c r="DS29" s="169" t="s">
        <v>395</v>
      </c>
      <c r="DT29" s="1457"/>
      <c r="ED29" s="169" t="s">
        <v>395</v>
      </c>
      <c r="EE29" s="1450" t="s">
        <v>3053</v>
      </c>
      <c r="EO29" s="169" t="s">
        <v>395</v>
      </c>
      <c r="EP29" s="1179" t="s">
        <v>387</v>
      </c>
      <c r="EZ29" s="169" t="s">
        <v>395</v>
      </c>
      <c r="FA29" s="897" t="s">
        <v>2113</v>
      </c>
      <c r="FK29" s="169" t="s">
        <v>395</v>
      </c>
      <c r="FL29" s="897" t="s">
        <v>306</v>
      </c>
      <c r="FV29" s="169" t="s">
        <v>395</v>
      </c>
      <c r="GG29" s="169" t="s">
        <v>395</v>
      </c>
      <c r="GR29" s="169" t="s">
        <v>395</v>
      </c>
      <c r="HC29" s="169" t="s">
        <v>395</v>
      </c>
      <c r="HN29" s="169" t="s">
        <v>395</v>
      </c>
      <c r="HO29" s="1455" t="s">
        <v>2756</v>
      </c>
      <c r="HY29" s="169" t="s">
        <v>395</v>
      </c>
      <c r="HZ29" s="1450" t="s">
        <v>348</v>
      </c>
      <c r="IJ29" s="169" t="s">
        <v>395</v>
      </c>
      <c r="IU29" s="169" t="s">
        <v>395</v>
      </c>
    </row>
    <row r="30" spans="1:255" ht="16.5">
      <c r="A30" s="62"/>
      <c r="B30" s="169" t="s">
        <v>395</v>
      </c>
      <c r="C30" s="1450" t="s">
        <v>2857</v>
      </c>
      <c r="M30" s="169" t="s">
        <v>395</v>
      </c>
      <c r="N30" s="1451" t="s">
        <v>2861</v>
      </c>
      <c r="X30" s="169" t="s">
        <v>395</v>
      </c>
      <c r="Y30" s="1457"/>
      <c r="AI30" s="169" t="s">
        <v>395</v>
      </c>
      <c r="AJ30" s="1458"/>
      <c r="AT30" s="169" t="s">
        <v>395</v>
      </c>
      <c r="AU30" s="1453"/>
      <c r="BE30" s="169" t="s">
        <v>395</v>
      </c>
      <c r="BF30" s="1457"/>
      <c r="BP30" s="169" t="s">
        <v>395</v>
      </c>
      <c r="BQ30" s="1451" t="s">
        <v>2891</v>
      </c>
      <c r="CA30" s="169" t="s">
        <v>395</v>
      </c>
      <c r="CB30" s="1450" t="s">
        <v>310</v>
      </c>
      <c r="CC30"/>
      <c r="CL30" s="169" t="s">
        <v>395</v>
      </c>
      <c r="CM30" s="897" t="s">
        <v>2515</v>
      </c>
      <c r="CW30" s="169" t="s">
        <v>395</v>
      </c>
      <c r="CX30" s="1450" t="s">
        <v>3003</v>
      </c>
      <c r="DH30" s="169" t="s">
        <v>395</v>
      </c>
      <c r="DI30" s="1455" t="s">
        <v>2761</v>
      </c>
      <c r="DS30" s="169" t="s">
        <v>395</v>
      </c>
      <c r="DT30" s="1468" t="s">
        <v>3521</v>
      </c>
      <c r="ED30" s="169" t="s">
        <v>395</v>
      </c>
      <c r="EE30" s="1450" t="s">
        <v>3054</v>
      </c>
      <c r="EO30" s="169" t="s">
        <v>395</v>
      </c>
      <c r="EZ30" s="169" t="s">
        <v>395</v>
      </c>
      <c r="FA30" s="897" t="s">
        <v>283</v>
      </c>
      <c r="FK30" s="169" t="s">
        <v>395</v>
      </c>
      <c r="FL30" s="897" t="s">
        <v>3067</v>
      </c>
      <c r="FV30" s="169" t="s">
        <v>395</v>
      </c>
      <c r="GG30" s="169" t="s">
        <v>395</v>
      </c>
      <c r="GR30" s="169" t="s">
        <v>395</v>
      </c>
      <c r="HC30" s="169" t="s">
        <v>395</v>
      </c>
      <c r="HN30" s="169" t="s">
        <v>395</v>
      </c>
      <c r="HO30" s="1457"/>
      <c r="HY30" s="169" t="s">
        <v>395</v>
      </c>
      <c r="HZ30" s="1450" t="s">
        <v>2787</v>
      </c>
      <c r="IJ30" s="169" t="s">
        <v>395</v>
      </c>
      <c r="IU30" s="169" t="s">
        <v>395</v>
      </c>
    </row>
    <row r="31" spans="1:255" ht="16.5">
      <c r="A31" s="62"/>
      <c r="B31" s="169" t="s">
        <v>395</v>
      </c>
      <c r="C31" s="167"/>
      <c r="M31" s="169" t="s">
        <v>395</v>
      </c>
      <c r="N31" s="1451" t="s">
        <v>2862</v>
      </c>
      <c r="X31" s="169" t="s">
        <v>395</v>
      </c>
      <c r="Y31" s="1457" t="s">
        <v>3521</v>
      </c>
      <c r="AI31" s="169" t="s">
        <v>395</v>
      </c>
      <c r="AJ31" s="1457" t="s">
        <v>3520</v>
      </c>
      <c r="AT31" s="169" t="s">
        <v>395</v>
      </c>
      <c r="AU31" s="1453" t="s">
        <v>3522</v>
      </c>
      <c r="BE31" s="169" t="s">
        <v>395</v>
      </c>
      <c r="BF31" s="1457" t="s">
        <v>3522</v>
      </c>
      <c r="BP31" s="169" t="s">
        <v>395</v>
      </c>
      <c r="BQ31" s="1451" t="s">
        <v>2893</v>
      </c>
      <c r="CA31" s="169" t="s">
        <v>395</v>
      </c>
      <c r="CB31" s="167"/>
      <c r="CC31"/>
      <c r="CL31" s="169" t="s">
        <v>395</v>
      </c>
      <c r="CM31" s="897" t="s">
        <v>291</v>
      </c>
      <c r="CW31" s="169" t="s">
        <v>395</v>
      </c>
      <c r="CX31" s="1450" t="s">
        <v>2946</v>
      </c>
      <c r="DH31" s="169" t="s">
        <v>395</v>
      </c>
      <c r="DI31" s="1455" t="s">
        <v>3034</v>
      </c>
      <c r="DS31" s="169" t="s">
        <v>395</v>
      </c>
      <c r="DT31" s="1455" t="s">
        <v>2756</v>
      </c>
      <c r="ED31" s="169" t="s">
        <v>395</v>
      </c>
      <c r="EE31" s="1450" t="s">
        <v>3055</v>
      </c>
      <c r="EO31" s="169" t="s">
        <v>395</v>
      </c>
      <c r="EZ31" s="169" t="s">
        <v>395</v>
      </c>
      <c r="FA31" s="1454"/>
      <c r="FK31" s="169" t="s">
        <v>395</v>
      </c>
      <c r="FL31" s="897" t="s">
        <v>307</v>
      </c>
      <c r="FV31" s="169" t="s">
        <v>395</v>
      </c>
      <c r="GG31" s="169" t="s">
        <v>395</v>
      </c>
      <c r="GR31" s="169" t="s">
        <v>395</v>
      </c>
      <c r="HC31" s="169" t="s">
        <v>395</v>
      </c>
      <c r="HN31" s="169" t="s">
        <v>395</v>
      </c>
      <c r="HO31" s="1457" t="s">
        <v>3522</v>
      </c>
      <c r="HY31" s="169" t="s">
        <v>395</v>
      </c>
      <c r="HZ31" s="1450" t="s">
        <v>2788</v>
      </c>
      <c r="IJ31" s="169" t="s">
        <v>395</v>
      </c>
      <c r="IU31" s="169" t="s">
        <v>395</v>
      </c>
    </row>
    <row r="32" spans="1:255" ht="16.5">
      <c r="A32" s="62"/>
      <c r="B32" s="169" t="s">
        <v>395</v>
      </c>
      <c r="C32" s="1451" t="s">
        <v>2858</v>
      </c>
      <c r="M32" s="169" t="s">
        <v>395</v>
      </c>
      <c r="N32" s="1453"/>
      <c r="X32" s="169" t="s">
        <v>395</v>
      </c>
      <c r="Y32" s="1455" t="s">
        <v>2755</v>
      </c>
      <c r="AI32" s="169" t="s">
        <v>395</v>
      </c>
      <c r="AJ32" s="1455" t="s">
        <v>2889</v>
      </c>
      <c r="AT32" s="169" t="s">
        <v>395</v>
      </c>
      <c r="AU32" s="1451" t="s">
        <v>2897</v>
      </c>
      <c r="BE32" s="169" t="s">
        <v>395</v>
      </c>
      <c r="BF32" s="1455" t="s">
        <v>2897</v>
      </c>
      <c r="BP32" s="169" t="s">
        <v>395</v>
      </c>
      <c r="BQ32" s="1451" t="s">
        <v>2894</v>
      </c>
      <c r="CA32" s="169" t="s">
        <v>395</v>
      </c>
      <c r="CB32" s="167" t="s">
        <v>2962</v>
      </c>
      <c r="CC32"/>
      <c r="CL32" s="169" t="s">
        <v>395</v>
      </c>
      <c r="CM32" s="1454"/>
      <c r="CW32" s="169" t="s">
        <v>395</v>
      </c>
      <c r="CX32" s="167"/>
      <c r="DH32" s="169" t="s">
        <v>395</v>
      </c>
      <c r="DI32" s="1455" t="s">
        <v>2984</v>
      </c>
      <c r="DS32" s="169" t="s">
        <v>395</v>
      </c>
      <c r="DT32" s="1455" t="s">
        <v>2985</v>
      </c>
      <c r="ED32" s="169" t="s">
        <v>395</v>
      </c>
      <c r="EE32" s="1450" t="s">
        <v>3056</v>
      </c>
      <c r="EO32" s="169" t="s">
        <v>395</v>
      </c>
      <c r="EZ32" s="169" t="s">
        <v>395</v>
      </c>
      <c r="FA32" s="1455" t="s">
        <v>3061</v>
      </c>
      <c r="FK32" s="169" t="s">
        <v>395</v>
      </c>
      <c r="FL32" s="897" t="s">
        <v>308</v>
      </c>
      <c r="FV32" s="169" t="s">
        <v>395</v>
      </c>
      <c r="GG32" s="169" t="s">
        <v>395</v>
      </c>
      <c r="GR32" s="169" t="s">
        <v>395</v>
      </c>
      <c r="HC32" s="169" t="s">
        <v>395</v>
      </c>
      <c r="HN32" s="169" t="s">
        <v>395</v>
      </c>
      <c r="HO32" s="1455" t="s">
        <v>2758</v>
      </c>
      <c r="HY32" s="169" t="s">
        <v>395</v>
      </c>
      <c r="HZ32" s="1450" t="s">
        <v>2789</v>
      </c>
      <c r="IJ32" s="169" t="s">
        <v>395</v>
      </c>
      <c r="IU32" s="169" t="s">
        <v>395</v>
      </c>
    </row>
    <row r="33" spans="1:255" ht="16.5">
      <c r="A33" s="62"/>
      <c r="B33" s="169" t="s">
        <v>395</v>
      </c>
      <c r="C33" s="1452"/>
      <c r="M33" s="169" t="s">
        <v>395</v>
      </c>
      <c r="N33" s="1453" t="s">
        <v>3521</v>
      </c>
      <c r="X33" s="169" t="s">
        <v>395</v>
      </c>
      <c r="Y33" s="1455" t="s">
        <v>2756</v>
      </c>
      <c r="AI33" s="169" t="s">
        <v>395</v>
      </c>
      <c r="AJ33" s="1455" t="s">
        <v>2890</v>
      </c>
      <c r="AT33" s="169" t="s">
        <v>395</v>
      </c>
      <c r="AU33" s="1451" t="s">
        <v>2898</v>
      </c>
      <c r="BE33" s="169" t="s">
        <v>395</v>
      </c>
      <c r="BF33" s="1455" t="s">
        <v>2898</v>
      </c>
      <c r="BP33" s="169" t="s">
        <v>395</v>
      </c>
      <c r="BQ33" s="1451" t="s">
        <v>2896</v>
      </c>
      <c r="CA33" s="169" t="s">
        <v>395</v>
      </c>
      <c r="CB33" s="1450" t="s">
        <v>288</v>
      </c>
      <c r="CC33"/>
      <c r="CL33" s="169" t="s">
        <v>395</v>
      </c>
      <c r="CM33" s="1455" t="s">
        <v>2979</v>
      </c>
      <c r="CW33" s="169" t="s">
        <v>395</v>
      </c>
      <c r="CX33" s="1451" t="s">
        <v>3004</v>
      </c>
      <c r="DH33" s="169" t="s">
        <v>395</v>
      </c>
      <c r="DI33" s="1455" t="s">
        <v>2863</v>
      </c>
      <c r="DS33" s="169" t="s">
        <v>395</v>
      </c>
      <c r="DT33" s="1455" t="s">
        <v>2986</v>
      </c>
      <c r="ED33" s="169" t="s">
        <v>395</v>
      </c>
      <c r="EE33" s="1450" t="s">
        <v>348</v>
      </c>
      <c r="EO33" s="169" t="s">
        <v>395</v>
      </c>
      <c r="EP33" s="167"/>
      <c r="EZ33" s="169" t="s">
        <v>395</v>
      </c>
      <c r="FA33" s="1455" t="s">
        <v>2897</v>
      </c>
      <c r="FK33" s="169" t="s">
        <v>395</v>
      </c>
      <c r="FL33" s="897" t="s">
        <v>309</v>
      </c>
      <c r="FV33" s="169" t="s">
        <v>395</v>
      </c>
      <c r="GG33" s="169" t="s">
        <v>395</v>
      </c>
      <c r="GR33" s="169" t="s">
        <v>395</v>
      </c>
      <c r="HC33" s="169" t="s">
        <v>395</v>
      </c>
      <c r="HN33" s="169" t="s">
        <v>395</v>
      </c>
      <c r="HO33" s="1455" t="s">
        <v>2759</v>
      </c>
      <c r="HY33" s="169" t="s">
        <v>395</v>
      </c>
      <c r="HZ33" s="1450" t="s">
        <v>2790</v>
      </c>
      <c r="IJ33" s="169" t="s">
        <v>395</v>
      </c>
      <c r="IU33" s="169" t="s">
        <v>395</v>
      </c>
    </row>
    <row r="34" spans="1:255" ht="16.5">
      <c r="A34" s="62"/>
      <c r="B34" s="169" t="s">
        <v>395</v>
      </c>
      <c r="C34" s="1453" t="s">
        <v>3520</v>
      </c>
      <c r="M34" s="169" t="s">
        <v>395</v>
      </c>
      <c r="N34" s="1451" t="s">
        <v>2755</v>
      </c>
      <c r="X34" s="169" t="s">
        <v>395</v>
      </c>
      <c r="Y34" s="1457"/>
      <c r="AI34" s="169" t="s">
        <v>395</v>
      </c>
      <c r="AJ34" s="1455" t="s">
        <v>2891</v>
      </c>
      <c r="AT34" s="169" t="s">
        <v>395</v>
      </c>
      <c r="AU34" s="1451" t="s">
        <v>2761</v>
      </c>
      <c r="BE34" s="169" t="s">
        <v>395</v>
      </c>
      <c r="BF34" s="1455" t="s">
        <v>2761</v>
      </c>
      <c r="BP34" s="169" t="s">
        <v>395</v>
      </c>
      <c r="BQ34" s="1453"/>
      <c r="CA34" s="169" t="s">
        <v>395</v>
      </c>
      <c r="CB34" s="1450" t="s">
        <v>311</v>
      </c>
      <c r="CC34"/>
      <c r="CL34" s="169" t="s">
        <v>395</v>
      </c>
      <c r="CM34" s="1458"/>
      <c r="CW34" s="169" t="s">
        <v>395</v>
      </c>
      <c r="CX34" s="1467"/>
      <c r="DH34" s="169" t="s">
        <v>395</v>
      </c>
      <c r="DI34" s="1457"/>
      <c r="DS34" s="169" t="s">
        <v>395</v>
      </c>
      <c r="DT34" s="1455" t="s">
        <v>2987</v>
      </c>
      <c r="ED34" s="169" t="s">
        <v>395</v>
      </c>
      <c r="EE34" s="1450" t="s">
        <v>2787</v>
      </c>
      <c r="EO34" s="169" t="s">
        <v>395</v>
      </c>
      <c r="EZ34" s="169" t="s">
        <v>395</v>
      </c>
      <c r="FA34" s="1455" t="s">
        <v>2898</v>
      </c>
      <c r="FK34" s="169" t="s">
        <v>395</v>
      </c>
      <c r="FL34" s="1454"/>
      <c r="FV34" s="169" t="s">
        <v>395</v>
      </c>
      <c r="GG34" s="169" t="s">
        <v>395</v>
      </c>
      <c r="GR34" s="169" t="s">
        <v>395</v>
      </c>
      <c r="HC34" s="169" t="s">
        <v>395</v>
      </c>
      <c r="HN34" s="169" t="s">
        <v>395</v>
      </c>
      <c r="HO34" s="1455" t="s">
        <v>2760</v>
      </c>
      <c r="HY34" s="169" t="s">
        <v>395</v>
      </c>
      <c r="HZ34" s="167"/>
      <c r="IJ34" s="169" t="s">
        <v>395</v>
      </c>
      <c r="IU34" s="169" t="s">
        <v>395</v>
      </c>
    </row>
    <row r="35" spans="1:255" ht="16.5">
      <c r="A35" s="62"/>
      <c r="B35" s="169" t="s">
        <v>395</v>
      </c>
      <c r="C35" s="1451" t="s">
        <v>2859</v>
      </c>
      <c r="M35" s="169" t="s">
        <v>395</v>
      </c>
      <c r="N35" s="1451" t="s">
        <v>2756</v>
      </c>
      <c r="X35" s="169" t="s">
        <v>395</v>
      </c>
      <c r="Y35" s="1457" t="s">
        <v>3522</v>
      </c>
      <c r="AI35" s="169" t="s">
        <v>395</v>
      </c>
      <c r="AJ35" s="1455" t="s">
        <v>2892</v>
      </c>
      <c r="AT35" s="169" t="s">
        <v>395</v>
      </c>
      <c r="AU35" s="1451" t="s">
        <v>2899</v>
      </c>
      <c r="BE35" s="169" t="s">
        <v>395</v>
      </c>
      <c r="BF35" s="1455" t="s">
        <v>2899</v>
      </c>
      <c r="BP35" s="169" t="s">
        <v>395</v>
      </c>
      <c r="BQ35" s="1453" t="s">
        <v>3522</v>
      </c>
      <c r="CA35" s="169" t="s">
        <v>395</v>
      </c>
      <c r="CB35" s="1450" t="s">
        <v>312</v>
      </c>
      <c r="CC35"/>
      <c r="CL35" s="169" t="s">
        <v>395</v>
      </c>
      <c r="CM35" s="1457" t="s">
        <v>3520</v>
      </c>
      <c r="CW35" s="169" t="s">
        <v>395</v>
      </c>
      <c r="CX35" s="1453" t="s">
        <v>3520</v>
      </c>
      <c r="DH35" s="169" t="s">
        <v>395</v>
      </c>
      <c r="DI35" s="1468" t="s">
        <v>3521</v>
      </c>
      <c r="DS35" s="169" t="s">
        <v>395</v>
      </c>
      <c r="DT35" s="1455" t="s">
        <v>2988</v>
      </c>
      <c r="ED35" s="169" t="s">
        <v>395</v>
      </c>
      <c r="EE35" s="1450" t="s">
        <v>2788</v>
      </c>
      <c r="EO35" s="169" t="s">
        <v>395</v>
      </c>
      <c r="EZ35" s="169" t="s">
        <v>395</v>
      </c>
      <c r="FA35" s="1454"/>
      <c r="FK35" s="169" t="s">
        <v>395</v>
      </c>
      <c r="FL35" s="1455" t="s">
        <v>3068</v>
      </c>
      <c r="FV35" s="169" t="s">
        <v>395</v>
      </c>
      <c r="GG35" s="169" t="s">
        <v>395</v>
      </c>
      <c r="GR35" s="169" t="s">
        <v>395</v>
      </c>
      <c r="HC35" s="169" t="s">
        <v>395</v>
      </c>
      <c r="HN35" s="169" t="s">
        <v>395</v>
      </c>
      <c r="HO35" s="1455" t="s">
        <v>2761</v>
      </c>
      <c r="HY35" s="169" t="s">
        <v>395</v>
      </c>
      <c r="HZ35" s="1451" t="s">
        <v>2791</v>
      </c>
      <c r="IJ35" s="169" t="s">
        <v>395</v>
      </c>
      <c r="IU35" s="169" t="s">
        <v>395</v>
      </c>
    </row>
    <row r="36" spans="1:255" ht="16.5">
      <c r="A36" s="62"/>
      <c r="B36" s="169" t="s">
        <v>395</v>
      </c>
      <c r="C36" s="1451" t="s">
        <v>2860</v>
      </c>
      <c r="M36" s="169" t="s">
        <v>395</v>
      </c>
      <c r="N36" s="1453"/>
      <c r="X36" s="169" t="s">
        <v>395</v>
      </c>
      <c r="Y36" s="1455" t="s">
        <v>2871</v>
      </c>
      <c r="AI36" s="169" t="s">
        <v>395</v>
      </c>
      <c r="AJ36" s="1455" t="s">
        <v>2893</v>
      </c>
      <c r="AT36" s="169" t="s">
        <v>395</v>
      </c>
      <c r="AU36" s="1451" t="s">
        <v>2900</v>
      </c>
      <c r="BE36" s="169" t="s">
        <v>395</v>
      </c>
      <c r="BF36" s="1455" t="s">
        <v>2900</v>
      </c>
      <c r="BP36" s="169" t="s">
        <v>395</v>
      </c>
      <c r="BQ36" s="1451" t="s">
        <v>2897</v>
      </c>
      <c r="CA36" s="169" t="s">
        <v>395</v>
      </c>
      <c r="CB36" s="1450" t="s">
        <v>313</v>
      </c>
      <c r="CC36"/>
      <c r="CL36" s="169" t="s">
        <v>395</v>
      </c>
      <c r="CM36" s="1455" t="s">
        <v>2980</v>
      </c>
      <c r="CW36" s="169" t="s">
        <v>395</v>
      </c>
      <c r="CX36" s="1451" t="s">
        <v>3005</v>
      </c>
      <c r="DH36" s="169" t="s">
        <v>395</v>
      </c>
      <c r="DI36" s="1455" t="s">
        <v>2756</v>
      </c>
      <c r="DS36" s="169" t="s">
        <v>395</v>
      </c>
      <c r="DT36" s="1455" t="s">
        <v>2989</v>
      </c>
      <c r="ED36" s="169" t="s">
        <v>395</v>
      </c>
      <c r="EE36" s="1450" t="s">
        <v>3057</v>
      </c>
      <c r="EO36" s="169" t="s">
        <v>395</v>
      </c>
      <c r="EZ36" s="169" t="s">
        <v>395</v>
      </c>
      <c r="FA36" s="1457" t="s">
        <v>2797</v>
      </c>
      <c r="FK36" s="169" t="s">
        <v>395</v>
      </c>
      <c r="FL36" s="1455" t="s">
        <v>3069</v>
      </c>
      <c r="FV36" s="169" t="s">
        <v>395</v>
      </c>
      <c r="GG36" s="169" t="s">
        <v>395</v>
      </c>
      <c r="GR36" s="169" t="s">
        <v>395</v>
      </c>
      <c r="HC36" s="169" t="s">
        <v>395</v>
      </c>
      <c r="HN36" s="169" t="s">
        <v>395</v>
      </c>
      <c r="HO36" s="1455" t="s">
        <v>2762</v>
      </c>
      <c r="HY36" s="169" t="s">
        <v>395</v>
      </c>
      <c r="HZ36" s="1452"/>
      <c r="IJ36" s="169" t="s">
        <v>395</v>
      </c>
      <c r="IU36" s="169" t="s">
        <v>395</v>
      </c>
    </row>
    <row r="37" spans="1:255" ht="16.5">
      <c r="A37" s="62"/>
      <c r="B37" s="169" t="s">
        <v>395</v>
      </c>
      <c r="C37" s="1451" t="s">
        <v>2861</v>
      </c>
      <c r="M37" s="169" t="s">
        <v>395</v>
      </c>
      <c r="N37" s="1453" t="s">
        <v>3522</v>
      </c>
      <c r="X37" s="169" t="s">
        <v>395</v>
      </c>
      <c r="Y37" s="1455" t="s">
        <v>2759</v>
      </c>
      <c r="AI37" s="169" t="s">
        <v>395</v>
      </c>
      <c r="AJ37" s="1455" t="s">
        <v>2894</v>
      </c>
      <c r="AT37" s="169" t="s">
        <v>395</v>
      </c>
      <c r="AU37" s="1451" t="s">
        <v>2902</v>
      </c>
      <c r="BE37" s="169" t="s">
        <v>395</v>
      </c>
      <c r="BF37" s="1455" t="s">
        <v>2902</v>
      </c>
      <c r="BP37" s="169" t="s">
        <v>395</v>
      </c>
      <c r="BQ37" s="1451" t="s">
        <v>2898</v>
      </c>
      <c r="CA37" s="169" t="s">
        <v>395</v>
      </c>
      <c r="CB37" s="1450" t="s">
        <v>309</v>
      </c>
      <c r="CC37"/>
      <c r="CL37" s="169" t="s">
        <v>395</v>
      </c>
      <c r="CM37" s="1455" t="s">
        <v>2870</v>
      </c>
      <c r="CW37" s="169" t="s">
        <v>395</v>
      </c>
      <c r="CX37" s="1451" t="s">
        <v>2870</v>
      </c>
      <c r="DH37" s="169" t="s">
        <v>395</v>
      </c>
      <c r="DI37" s="1455" t="s">
        <v>2985</v>
      </c>
      <c r="DS37" s="169" t="s">
        <v>395</v>
      </c>
      <c r="DT37" s="1463"/>
      <c r="ED37" s="169" t="s">
        <v>395</v>
      </c>
      <c r="EE37" s="1450" t="s">
        <v>3031</v>
      </c>
      <c r="EO37" s="169" t="s">
        <v>395</v>
      </c>
      <c r="EZ37" s="169" t="s">
        <v>395</v>
      </c>
      <c r="FA37" s="897" t="s">
        <v>2768</v>
      </c>
      <c r="FK37" s="169" t="s">
        <v>395</v>
      </c>
      <c r="FL37" s="1454"/>
      <c r="FV37" s="169" t="s">
        <v>395</v>
      </c>
      <c r="GG37" s="169" t="s">
        <v>395</v>
      </c>
      <c r="GR37" s="169" t="s">
        <v>395</v>
      </c>
      <c r="HC37" s="169" t="s">
        <v>395</v>
      </c>
      <c r="HN37" s="169" t="s">
        <v>395</v>
      </c>
      <c r="HO37" s="1455" t="s">
        <v>2763</v>
      </c>
      <c r="HY37" s="169" t="s">
        <v>395</v>
      </c>
      <c r="HZ37" s="1469" t="s">
        <v>3520</v>
      </c>
      <c r="IJ37" s="169" t="s">
        <v>395</v>
      </c>
      <c r="IU37" s="169" t="s">
        <v>395</v>
      </c>
    </row>
    <row r="38" spans="1:255" ht="16.5">
      <c r="A38" s="62"/>
      <c r="B38" s="169" t="s">
        <v>395</v>
      </c>
      <c r="C38" s="1451" t="s">
        <v>2862</v>
      </c>
      <c r="M38" s="169" t="s">
        <v>395</v>
      </c>
      <c r="N38" s="1451" t="s">
        <v>2871</v>
      </c>
      <c r="X38" s="169" t="s">
        <v>395</v>
      </c>
      <c r="Y38" s="1455" t="s">
        <v>2758</v>
      </c>
      <c r="AI38" s="169" t="s">
        <v>395</v>
      </c>
      <c r="AJ38" s="1455" t="s">
        <v>2895</v>
      </c>
      <c r="AT38" s="169" t="s">
        <v>395</v>
      </c>
      <c r="AU38" s="1451" t="s">
        <v>2922</v>
      </c>
      <c r="BE38" s="169" t="s">
        <v>395</v>
      </c>
      <c r="BF38" s="1455" t="s">
        <v>2922</v>
      </c>
      <c r="BP38" s="169" t="s">
        <v>395</v>
      </c>
      <c r="BQ38" s="1451" t="s">
        <v>2950</v>
      </c>
      <c r="CA38" s="169" t="s">
        <v>395</v>
      </c>
      <c r="CB38" s="1450" t="s">
        <v>314</v>
      </c>
      <c r="CC38"/>
      <c r="CL38" s="169" t="s">
        <v>395</v>
      </c>
      <c r="CM38" s="1455" t="s">
        <v>2981</v>
      </c>
      <c r="CW38" s="169" t="s">
        <v>395</v>
      </c>
      <c r="CX38" s="1451" t="s">
        <v>2891</v>
      </c>
      <c r="DH38" s="169" t="s">
        <v>395</v>
      </c>
      <c r="DI38" s="1455" t="s">
        <v>2986</v>
      </c>
      <c r="DS38" s="169" t="s">
        <v>395</v>
      </c>
      <c r="DT38" s="1468" t="s">
        <v>3523</v>
      </c>
      <c r="ED38" s="169" t="s">
        <v>395</v>
      </c>
      <c r="EE38" s="1450" t="s">
        <v>3058</v>
      </c>
      <c r="EO38" s="169" t="s">
        <v>395</v>
      </c>
      <c r="EZ38" s="169" t="s">
        <v>395</v>
      </c>
      <c r="FK38" s="169" t="s">
        <v>395</v>
      </c>
      <c r="FL38" s="1457" t="s">
        <v>2797</v>
      </c>
      <c r="FV38" s="169" t="s">
        <v>395</v>
      </c>
      <c r="GG38" s="169" t="s">
        <v>395</v>
      </c>
      <c r="GR38" s="169" t="s">
        <v>395</v>
      </c>
      <c r="HC38" s="169" t="s">
        <v>395</v>
      </c>
      <c r="HN38" s="169" t="s">
        <v>395</v>
      </c>
      <c r="HO38" s="1458"/>
      <c r="HY38" s="169" t="s">
        <v>395</v>
      </c>
      <c r="HZ38" s="1451" t="s">
        <v>2792</v>
      </c>
      <c r="IJ38" s="169" t="s">
        <v>395</v>
      </c>
      <c r="IU38" s="169" t="s">
        <v>395</v>
      </c>
    </row>
    <row r="39" spans="1:255" ht="16.5">
      <c r="A39" s="62"/>
      <c r="B39" s="169" t="s">
        <v>395</v>
      </c>
      <c r="C39" s="1451" t="s">
        <v>2753</v>
      </c>
      <c r="M39" s="169" t="s">
        <v>395</v>
      </c>
      <c r="N39" s="1451" t="s">
        <v>2759</v>
      </c>
      <c r="X39" s="169" t="s">
        <v>395</v>
      </c>
      <c r="Y39" s="1455" t="s">
        <v>2760</v>
      </c>
      <c r="AI39" s="169" t="s">
        <v>395</v>
      </c>
      <c r="AJ39" s="1455" t="s">
        <v>2896</v>
      </c>
      <c r="AT39" s="169" t="s">
        <v>395</v>
      </c>
      <c r="AU39" s="1453"/>
      <c r="BE39" s="169" t="s">
        <v>395</v>
      </c>
      <c r="BF39" s="1457"/>
      <c r="BP39" s="169" t="s">
        <v>395</v>
      </c>
      <c r="BQ39" s="1451" t="s">
        <v>2902</v>
      </c>
      <c r="CA39" s="169" t="s">
        <v>395</v>
      </c>
      <c r="CB39" s="1467"/>
      <c r="CC39"/>
      <c r="CL39" s="169" t="s">
        <v>395</v>
      </c>
      <c r="CM39" s="1455" t="s">
        <v>2891</v>
      </c>
      <c r="CW39" s="169" t="s">
        <v>395</v>
      </c>
      <c r="CX39" s="1451" t="s">
        <v>3006</v>
      </c>
      <c r="DH39" s="169" t="s">
        <v>395</v>
      </c>
      <c r="DI39" s="1455" t="s">
        <v>2987</v>
      </c>
      <c r="DS39" s="169" t="s">
        <v>395</v>
      </c>
      <c r="DT39" s="1455" t="s">
        <v>2796</v>
      </c>
      <c r="ED39" s="169" t="s">
        <v>395</v>
      </c>
      <c r="EE39" s="167"/>
      <c r="EO39" s="169" t="s">
        <v>395</v>
      </c>
      <c r="EZ39" s="169" t="s">
        <v>395</v>
      </c>
      <c r="FK39" s="169" t="s">
        <v>395</v>
      </c>
      <c r="FL39" s="897" t="s">
        <v>2768</v>
      </c>
      <c r="FV39" s="169" t="s">
        <v>395</v>
      </c>
      <c r="GG39" s="169" t="s">
        <v>395</v>
      </c>
      <c r="GR39" s="169" t="s">
        <v>395</v>
      </c>
      <c r="HC39" s="169" t="s">
        <v>395</v>
      </c>
      <c r="HN39" s="169" t="s">
        <v>395</v>
      </c>
      <c r="HO39" s="1457" t="s">
        <v>3523</v>
      </c>
      <c r="HY39" s="169" t="s">
        <v>395</v>
      </c>
      <c r="HZ39" s="1451" t="s">
        <v>2793</v>
      </c>
      <c r="IJ39" s="169" t="s">
        <v>395</v>
      </c>
      <c r="IU39" s="169" t="s">
        <v>395</v>
      </c>
    </row>
    <row r="40" spans="1:255" ht="16.5">
      <c r="A40" s="62"/>
      <c r="B40" s="169" t="s">
        <v>395</v>
      </c>
      <c r="C40" s="1453"/>
      <c r="M40" s="169" t="s">
        <v>395</v>
      </c>
      <c r="N40" s="1451" t="s">
        <v>2758</v>
      </c>
      <c r="X40" s="169" t="s">
        <v>395</v>
      </c>
      <c r="Y40" s="1455" t="s">
        <v>2872</v>
      </c>
      <c r="AI40" s="169" t="s">
        <v>395</v>
      </c>
      <c r="AJ40" s="1457"/>
      <c r="AT40" s="169" t="s">
        <v>395</v>
      </c>
      <c r="AU40" s="1453" t="s">
        <v>3523</v>
      </c>
      <c r="BE40" s="169" t="s">
        <v>395</v>
      </c>
      <c r="BF40" s="1457" t="s">
        <v>3523</v>
      </c>
      <c r="BP40" s="169" t="s">
        <v>395</v>
      </c>
      <c r="BQ40" s="1466"/>
      <c r="CA40" s="169" t="s">
        <v>395</v>
      </c>
      <c r="CB40" s="1451" t="s">
        <v>2963</v>
      </c>
      <c r="CC40"/>
      <c r="CL40" s="169" t="s">
        <v>395</v>
      </c>
      <c r="CM40" s="1455" t="s">
        <v>2892</v>
      </c>
      <c r="CW40" s="169" t="s">
        <v>395</v>
      </c>
      <c r="CX40" s="1451" t="s">
        <v>3007</v>
      </c>
      <c r="DH40" s="169" t="s">
        <v>395</v>
      </c>
      <c r="DI40" s="1455" t="s">
        <v>2988</v>
      </c>
      <c r="DS40" s="169" t="s">
        <v>395</v>
      </c>
      <c r="DT40" s="1454"/>
      <c r="ED40" s="169" t="s">
        <v>395</v>
      </c>
      <c r="EE40" s="1451" t="s">
        <v>3059</v>
      </c>
      <c r="EO40" s="169" t="s">
        <v>395</v>
      </c>
      <c r="EZ40" s="169" t="s">
        <v>395</v>
      </c>
      <c r="FK40" s="169" t="s">
        <v>395</v>
      </c>
      <c r="FV40" s="169" t="s">
        <v>395</v>
      </c>
      <c r="GG40" s="169" t="s">
        <v>395</v>
      </c>
      <c r="GR40" s="169" t="s">
        <v>395</v>
      </c>
      <c r="HC40" s="169" t="s">
        <v>395</v>
      </c>
      <c r="HN40" s="169" t="s">
        <v>395</v>
      </c>
      <c r="HO40" s="1455" t="s">
        <v>2765</v>
      </c>
      <c r="HY40" s="169" t="s">
        <v>395</v>
      </c>
      <c r="HZ40" s="1453"/>
      <c r="IJ40" s="169" t="s">
        <v>395</v>
      </c>
      <c r="IU40" s="169" t="s">
        <v>395</v>
      </c>
    </row>
    <row r="41" spans="1:255" ht="16.5">
      <c r="A41" s="62"/>
      <c r="B41" s="169" t="s">
        <v>395</v>
      </c>
      <c r="C41" s="1453" t="s">
        <v>3521</v>
      </c>
      <c r="M41" s="169" t="s">
        <v>395</v>
      </c>
      <c r="N41" s="1451" t="s">
        <v>2760</v>
      </c>
      <c r="X41" s="169" t="s">
        <v>395</v>
      </c>
      <c r="Y41" s="1455" t="s">
        <v>2863</v>
      </c>
      <c r="AI41" s="169" t="s">
        <v>395</v>
      </c>
      <c r="AJ41" s="1457" t="s">
        <v>3522</v>
      </c>
      <c r="AT41" s="169" t="s">
        <v>395</v>
      </c>
      <c r="AU41" s="1451" t="s">
        <v>2904</v>
      </c>
      <c r="BE41" s="169" t="s">
        <v>395</v>
      </c>
      <c r="BF41" s="1455" t="s">
        <v>2904</v>
      </c>
      <c r="BP41" s="169" t="s">
        <v>395</v>
      </c>
      <c r="BQ41" s="1453" t="s">
        <v>3523</v>
      </c>
      <c r="CA41" s="169" t="s">
        <v>395</v>
      </c>
      <c r="CB41" s="1452"/>
      <c r="CC41"/>
      <c r="CL41" s="169" t="s">
        <v>395</v>
      </c>
      <c r="CM41" s="1455" t="s">
        <v>2893</v>
      </c>
      <c r="CW41" s="169" t="s">
        <v>395</v>
      </c>
      <c r="CX41" s="1451" t="s">
        <v>2894</v>
      </c>
      <c r="DH41" s="169" t="s">
        <v>395</v>
      </c>
      <c r="DI41" s="1455" t="s">
        <v>2989</v>
      </c>
      <c r="DS41" s="169" t="s">
        <v>395</v>
      </c>
      <c r="DT41" s="1457" t="s">
        <v>2797</v>
      </c>
      <c r="ED41" s="169" t="s">
        <v>395</v>
      </c>
      <c r="EE41" s="1452"/>
      <c r="EO41" s="169" t="s">
        <v>395</v>
      </c>
      <c r="EZ41" s="169" t="s">
        <v>395</v>
      </c>
      <c r="FK41" s="169" t="s">
        <v>395</v>
      </c>
      <c r="FV41" s="169" t="s">
        <v>395</v>
      </c>
      <c r="GG41" s="169" t="s">
        <v>395</v>
      </c>
      <c r="GR41" s="169" t="s">
        <v>395</v>
      </c>
      <c r="HC41" s="169" t="s">
        <v>395</v>
      </c>
      <c r="HN41" s="169" t="s">
        <v>395</v>
      </c>
      <c r="HO41" s="1455" t="s">
        <v>2766</v>
      </c>
      <c r="HY41" s="169" t="s">
        <v>395</v>
      </c>
      <c r="HZ41" s="1469" t="s">
        <v>3521</v>
      </c>
      <c r="IJ41" s="169" t="s">
        <v>395</v>
      </c>
      <c r="IU41" s="169" t="s">
        <v>395</v>
      </c>
    </row>
    <row r="42" spans="1:255" ht="16.5">
      <c r="A42" s="62"/>
      <c r="B42" s="169" t="s">
        <v>395</v>
      </c>
      <c r="C42" s="1451" t="s">
        <v>2755</v>
      </c>
      <c r="M42" s="169" t="s">
        <v>395</v>
      </c>
      <c r="N42" s="1451" t="s">
        <v>2872</v>
      </c>
      <c r="X42" s="169" t="s">
        <v>395</v>
      </c>
      <c r="Y42" s="1455" t="s">
        <v>2873</v>
      </c>
      <c r="AI42" s="169" t="s">
        <v>395</v>
      </c>
      <c r="AJ42" s="1455" t="s">
        <v>2897</v>
      </c>
      <c r="AT42" s="169" t="s">
        <v>395</v>
      </c>
      <c r="AU42" s="1451" t="s">
        <v>2905</v>
      </c>
      <c r="BE42" s="169" t="s">
        <v>395</v>
      </c>
      <c r="BF42" s="1455" t="s">
        <v>2905</v>
      </c>
      <c r="BP42" s="169" t="s">
        <v>395</v>
      </c>
      <c r="BQ42" s="1451" t="s">
        <v>2906</v>
      </c>
      <c r="CA42" s="169" t="s">
        <v>395</v>
      </c>
      <c r="CB42" s="1453" t="s">
        <v>3520</v>
      </c>
      <c r="CC42"/>
      <c r="CL42" s="169" t="s">
        <v>395</v>
      </c>
      <c r="CM42" s="1455" t="s">
        <v>2894</v>
      </c>
      <c r="CW42" s="169" t="s">
        <v>395</v>
      </c>
      <c r="CX42" s="1451" t="s">
        <v>2895</v>
      </c>
      <c r="DH42" s="169" t="s">
        <v>395</v>
      </c>
      <c r="DI42" s="1463"/>
      <c r="DS42" s="169" t="s">
        <v>395</v>
      </c>
      <c r="DT42" s="897" t="s">
        <v>2768</v>
      </c>
      <c r="ED42" s="169" t="s">
        <v>395</v>
      </c>
      <c r="EE42" s="1469" t="s">
        <v>3520</v>
      </c>
      <c r="EO42" s="169" t="s">
        <v>395</v>
      </c>
      <c r="EZ42" s="169" t="s">
        <v>395</v>
      </c>
      <c r="FK42" s="169" t="s">
        <v>395</v>
      </c>
      <c r="FV42" s="169" t="s">
        <v>395</v>
      </c>
      <c r="GG42" s="169" t="s">
        <v>395</v>
      </c>
      <c r="GR42" s="169" t="s">
        <v>395</v>
      </c>
      <c r="HC42" s="169" t="s">
        <v>395</v>
      </c>
      <c r="HN42" s="169" t="s">
        <v>395</v>
      </c>
      <c r="HO42" s="1458"/>
      <c r="HY42" s="169" t="s">
        <v>395</v>
      </c>
      <c r="HZ42" s="1451" t="s">
        <v>2756</v>
      </c>
      <c r="IJ42" s="169" t="s">
        <v>395</v>
      </c>
      <c r="IU42" s="169" t="s">
        <v>395</v>
      </c>
    </row>
    <row r="43" spans="1:255" ht="16.5">
      <c r="A43" s="62"/>
      <c r="B43" s="169" t="s">
        <v>395</v>
      </c>
      <c r="C43" s="1451" t="s">
        <v>2756</v>
      </c>
      <c r="M43" s="169" t="s">
        <v>395</v>
      </c>
      <c r="N43" s="1451" t="s">
        <v>2863</v>
      </c>
      <c r="X43" s="169" t="s">
        <v>395</v>
      </c>
      <c r="Y43" s="1455" t="s">
        <v>2762</v>
      </c>
      <c r="AI43" s="169" t="s">
        <v>395</v>
      </c>
      <c r="AJ43" s="1455" t="s">
        <v>2898</v>
      </c>
      <c r="AT43" s="169" t="s">
        <v>395</v>
      </c>
      <c r="AU43" s="1451" t="s">
        <v>2906</v>
      </c>
      <c r="BE43" s="169" t="s">
        <v>395</v>
      </c>
      <c r="BF43" s="1455" t="s">
        <v>2906</v>
      </c>
      <c r="BP43" s="169" t="s">
        <v>395</v>
      </c>
      <c r="BQ43" s="1451" t="s">
        <v>2908</v>
      </c>
      <c r="CA43" s="169" t="s">
        <v>395</v>
      </c>
      <c r="CB43" s="1451" t="s">
        <v>2964</v>
      </c>
      <c r="CC43"/>
      <c r="CL43" s="169" t="s">
        <v>395</v>
      </c>
      <c r="CM43" s="1455" t="s">
        <v>2895</v>
      </c>
      <c r="CW43" s="169" t="s">
        <v>395</v>
      </c>
      <c r="CX43" s="1451" t="s">
        <v>2896</v>
      </c>
      <c r="DH43" s="169" t="s">
        <v>395</v>
      </c>
      <c r="DI43" s="1468" t="s">
        <v>3523</v>
      </c>
      <c r="DS43" s="169" t="s">
        <v>395</v>
      </c>
      <c r="ED43" s="169" t="s">
        <v>395</v>
      </c>
      <c r="EE43" s="1451" t="s">
        <v>2792</v>
      </c>
      <c r="EO43" s="169" t="s">
        <v>395</v>
      </c>
      <c r="EZ43" s="169" t="s">
        <v>395</v>
      </c>
      <c r="FK43" s="169" t="s">
        <v>395</v>
      </c>
      <c r="FV43" s="169" t="s">
        <v>395</v>
      </c>
      <c r="GG43" s="169" t="s">
        <v>395</v>
      </c>
      <c r="GR43" s="169" t="s">
        <v>395</v>
      </c>
      <c r="HC43" s="169" t="s">
        <v>395</v>
      </c>
      <c r="HN43" s="169" t="s">
        <v>395</v>
      </c>
      <c r="HO43" s="1454" t="s">
        <v>2767</v>
      </c>
      <c r="HY43" s="169" t="s">
        <v>395</v>
      </c>
      <c r="HZ43" s="1453"/>
      <c r="IJ43" s="169" t="s">
        <v>395</v>
      </c>
      <c r="IU43" s="169" t="s">
        <v>395</v>
      </c>
    </row>
    <row r="44" spans="1:255" ht="16.5">
      <c r="A44" s="62"/>
      <c r="B44" s="169" t="s">
        <v>395</v>
      </c>
      <c r="C44" s="1453"/>
      <c r="M44" s="169" t="s">
        <v>395</v>
      </c>
      <c r="N44" s="1451" t="s">
        <v>2873</v>
      </c>
      <c r="X44" s="169" t="s">
        <v>395</v>
      </c>
      <c r="Y44" s="1457"/>
      <c r="AI44" s="169" t="s">
        <v>395</v>
      </c>
      <c r="AJ44" s="1455" t="s">
        <v>2761</v>
      </c>
      <c r="AT44" s="169" t="s">
        <v>395</v>
      </c>
      <c r="AU44" s="1451" t="s">
        <v>2907</v>
      </c>
      <c r="BE44" s="169" t="s">
        <v>395</v>
      </c>
      <c r="BF44" s="1455" t="s">
        <v>2907</v>
      </c>
      <c r="BP44" s="169" t="s">
        <v>395</v>
      </c>
      <c r="BQ44" s="1451" t="s">
        <v>2909</v>
      </c>
      <c r="CA44" s="169" t="s">
        <v>395</v>
      </c>
      <c r="CB44" s="1451" t="s">
        <v>2965</v>
      </c>
      <c r="CC44"/>
      <c r="CL44" s="169" t="s">
        <v>395</v>
      </c>
      <c r="CM44" s="1455" t="s">
        <v>2896</v>
      </c>
      <c r="CW44" s="169" t="s">
        <v>395</v>
      </c>
      <c r="CX44" s="1453"/>
      <c r="DH44" s="169" t="s">
        <v>395</v>
      </c>
      <c r="DI44" s="1455" t="s">
        <v>2796</v>
      </c>
      <c r="DS44" s="169" t="s">
        <v>395</v>
      </c>
      <c r="DT44" s="1454" t="s">
        <v>3038</v>
      </c>
      <c r="ED44" s="169" t="s">
        <v>395</v>
      </c>
      <c r="EE44" s="1451" t="s">
        <v>2793</v>
      </c>
      <c r="EO44" s="169" t="s">
        <v>395</v>
      </c>
      <c r="EZ44" s="169" t="s">
        <v>395</v>
      </c>
      <c r="FK44" s="169" t="s">
        <v>395</v>
      </c>
      <c r="FV44" s="169" t="s">
        <v>395</v>
      </c>
      <c r="GG44" s="169" t="s">
        <v>395</v>
      </c>
      <c r="GR44" s="169" t="s">
        <v>395</v>
      </c>
      <c r="HC44" s="169" t="s">
        <v>395</v>
      </c>
      <c r="HN44" s="169" t="s">
        <v>395</v>
      </c>
      <c r="HO44" s="897" t="s">
        <v>2768</v>
      </c>
      <c r="HY44" s="169" t="s">
        <v>395</v>
      </c>
      <c r="HZ44" s="1469" t="s">
        <v>3522</v>
      </c>
      <c r="IJ44" s="169" t="s">
        <v>395</v>
      </c>
      <c r="IU44" s="169" t="s">
        <v>395</v>
      </c>
    </row>
    <row r="45" spans="1:255" ht="16.5">
      <c r="A45" s="62"/>
      <c r="B45" s="169" t="s">
        <v>395</v>
      </c>
      <c r="C45" s="1453" t="s">
        <v>3522</v>
      </c>
      <c r="M45" s="169" t="s">
        <v>395</v>
      </c>
      <c r="N45" s="1451" t="s">
        <v>2762</v>
      </c>
      <c r="X45" s="169" t="s">
        <v>395</v>
      </c>
      <c r="Y45" s="1457" t="s">
        <v>3523</v>
      </c>
      <c r="AI45" s="169" t="s">
        <v>395</v>
      </c>
      <c r="AJ45" s="1455" t="s">
        <v>2899</v>
      </c>
      <c r="AT45" s="169" t="s">
        <v>395</v>
      </c>
      <c r="AU45" s="1451" t="s">
        <v>2908</v>
      </c>
      <c r="BE45" s="169" t="s">
        <v>395</v>
      </c>
      <c r="BF45" s="1455" t="s">
        <v>2908</v>
      </c>
      <c r="BP45" s="169" t="s">
        <v>395</v>
      </c>
      <c r="BQ45" s="1451" t="s">
        <v>2796</v>
      </c>
      <c r="CA45" s="169" t="s">
        <v>395</v>
      </c>
      <c r="CB45" s="1451" t="s">
        <v>2966</v>
      </c>
      <c r="CC45"/>
      <c r="CL45" s="169" t="s">
        <v>395</v>
      </c>
      <c r="CM45" s="1457"/>
      <c r="CW45" s="169" t="s">
        <v>395</v>
      </c>
      <c r="CX45" s="1453" t="s">
        <v>3522</v>
      </c>
      <c r="DH45" s="169" t="s">
        <v>395</v>
      </c>
      <c r="DI45" s="1454"/>
      <c r="DS45" s="169" t="s">
        <v>395</v>
      </c>
      <c r="DT45" s="897" t="s">
        <v>2937</v>
      </c>
      <c r="ED45" s="169" t="s">
        <v>395</v>
      </c>
      <c r="EE45" s="1453"/>
      <c r="EO45" s="169" t="s">
        <v>395</v>
      </c>
      <c r="EZ45" s="169" t="s">
        <v>395</v>
      </c>
      <c r="FK45" s="169" t="s">
        <v>395</v>
      </c>
      <c r="FV45" s="169" t="s">
        <v>395</v>
      </c>
      <c r="GG45" s="169" t="s">
        <v>395</v>
      </c>
      <c r="GR45" s="169" t="s">
        <v>395</v>
      </c>
      <c r="HC45" s="169" t="s">
        <v>395</v>
      </c>
      <c r="HN45" s="169" t="s">
        <v>395</v>
      </c>
      <c r="HY45" s="169" t="s">
        <v>395</v>
      </c>
      <c r="HZ45" s="1451" t="s">
        <v>2794</v>
      </c>
      <c r="IJ45" s="169" t="s">
        <v>395</v>
      </c>
      <c r="IU45" s="169" t="s">
        <v>395</v>
      </c>
    </row>
    <row r="46" spans="1:255" ht="16.5">
      <c r="A46" s="62"/>
      <c r="B46" s="169" t="s">
        <v>395</v>
      </c>
      <c r="C46" s="1451" t="s">
        <v>2758</v>
      </c>
      <c r="M46" s="169" t="s">
        <v>395</v>
      </c>
      <c r="N46" s="1453"/>
      <c r="X46" s="169" t="s">
        <v>395</v>
      </c>
      <c r="Y46" s="1455" t="s">
        <v>2765</v>
      </c>
      <c r="AI46" s="169" t="s">
        <v>395</v>
      </c>
      <c r="AJ46" s="1455" t="s">
        <v>2900</v>
      </c>
      <c r="AT46" s="169" t="s">
        <v>395</v>
      </c>
      <c r="AU46" s="1451" t="s">
        <v>2909</v>
      </c>
      <c r="BE46" s="169" t="s">
        <v>395</v>
      </c>
      <c r="BF46" s="1455" t="s">
        <v>2909</v>
      </c>
      <c r="BP46" s="169" t="s">
        <v>395</v>
      </c>
      <c r="BQ46" s="167"/>
      <c r="CA46" s="169" t="s">
        <v>395</v>
      </c>
      <c r="CB46" s="1451" t="s">
        <v>2967</v>
      </c>
      <c r="CC46"/>
      <c r="CL46" s="169" t="s">
        <v>395</v>
      </c>
      <c r="CM46" s="1457" t="s">
        <v>3522</v>
      </c>
      <c r="CW46" s="169" t="s">
        <v>395</v>
      </c>
      <c r="CX46" s="1451" t="s">
        <v>2897</v>
      </c>
      <c r="DH46" s="169" t="s">
        <v>395</v>
      </c>
      <c r="DI46" s="1457" t="s">
        <v>2797</v>
      </c>
      <c r="DS46" s="169" t="s">
        <v>395</v>
      </c>
      <c r="DT46" s="897" t="s">
        <v>2938</v>
      </c>
      <c r="ED46" s="169" t="s">
        <v>395</v>
      </c>
      <c r="EE46" s="1469" t="s">
        <v>3521</v>
      </c>
      <c r="EO46" s="169" t="s">
        <v>395</v>
      </c>
      <c r="EZ46" s="169" t="s">
        <v>395</v>
      </c>
      <c r="FK46" s="169" t="s">
        <v>395</v>
      </c>
      <c r="FV46" s="169" t="s">
        <v>395</v>
      </c>
      <c r="GG46" s="169" t="s">
        <v>395</v>
      </c>
      <c r="GR46" s="169" t="s">
        <v>395</v>
      </c>
      <c r="HC46" s="169" t="s">
        <v>395</v>
      </c>
      <c r="HN46" s="169" t="s">
        <v>395</v>
      </c>
      <c r="HY46" s="169" t="s">
        <v>395</v>
      </c>
      <c r="HZ46" s="1451" t="s">
        <v>2795</v>
      </c>
      <c r="IJ46" s="169" t="s">
        <v>395</v>
      </c>
      <c r="IU46" s="169" t="s">
        <v>395</v>
      </c>
    </row>
    <row r="47" spans="1:255" ht="16.5">
      <c r="A47" s="62"/>
      <c r="B47" s="169" t="s">
        <v>395</v>
      </c>
      <c r="C47" s="1451" t="s">
        <v>2759</v>
      </c>
      <c r="M47" s="169" t="s">
        <v>395</v>
      </c>
      <c r="N47" s="1453" t="s">
        <v>3523</v>
      </c>
      <c r="X47" s="169" t="s">
        <v>395</v>
      </c>
      <c r="Y47" s="1455" t="s">
        <v>2766</v>
      </c>
      <c r="AI47" s="169" t="s">
        <v>395</v>
      </c>
      <c r="AJ47" s="1455" t="s">
        <v>2901</v>
      </c>
      <c r="AT47" s="169" t="s">
        <v>395</v>
      </c>
      <c r="AU47" s="1451" t="s">
        <v>2796</v>
      </c>
      <c r="BE47" s="169" t="s">
        <v>395</v>
      </c>
      <c r="BF47" s="1455" t="s">
        <v>2796</v>
      </c>
      <c r="BP47" s="169" t="s">
        <v>395</v>
      </c>
      <c r="BQ47" s="1453" t="s">
        <v>2797</v>
      </c>
      <c r="CA47" s="169" t="s">
        <v>395</v>
      </c>
      <c r="CB47" s="1453"/>
      <c r="CC47"/>
      <c r="CL47" s="169" t="s">
        <v>395</v>
      </c>
      <c r="CM47" s="1455" t="s">
        <v>2897</v>
      </c>
      <c r="CW47" s="169" t="s">
        <v>395</v>
      </c>
      <c r="CX47" s="1451" t="s">
        <v>2871</v>
      </c>
      <c r="DH47" s="169" t="s">
        <v>395</v>
      </c>
      <c r="DI47" s="897" t="s">
        <v>2768</v>
      </c>
      <c r="DS47" s="169" t="s">
        <v>395</v>
      </c>
      <c r="DT47" s="897" t="s">
        <v>2939</v>
      </c>
      <c r="ED47" s="169" t="s">
        <v>395</v>
      </c>
      <c r="EE47" s="1451" t="s">
        <v>2756</v>
      </c>
      <c r="EO47" s="169" t="s">
        <v>395</v>
      </c>
      <c r="EZ47" s="169" t="s">
        <v>395</v>
      </c>
      <c r="FK47" s="169" t="s">
        <v>395</v>
      </c>
      <c r="FV47" s="169" t="s">
        <v>395</v>
      </c>
      <c r="GG47" s="169" t="s">
        <v>395</v>
      </c>
      <c r="GR47" s="169" t="s">
        <v>395</v>
      </c>
      <c r="HC47" s="169" t="s">
        <v>395</v>
      </c>
      <c r="HN47" s="169" t="s">
        <v>395</v>
      </c>
      <c r="HY47" s="169" t="s">
        <v>395</v>
      </c>
      <c r="HZ47" s="1453"/>
      <c r="IJ47" s="169" t="s">
        <v>395</v>
      </c>
      <c r="IU47" s="169" t="s">
        <v>395</v>
      </c>
    </row>
    <row r="48" spans="1:255" ht="16.5">
      <c r="A48" s="62"/>
      <c r="B48" s="169" t="s">
        <v>395</v>
      </c>
      <c r="C48" s="1451" t="s">
        <v>2760</v>
      </c>
      <c r="M48" s="169" t="s">
        <v>395</v>
      </c>
      <c r="N48" s="1451" t="s">
        <v>2765</v>
      </c>
      <c r="X48" s="169" t="s">
        <v>395</v>
      </c>
      <c r="Y48" s="1457"/>
      <c r="AI48" s="169" t="s">
        <v>395</v>
      </c>
      <c r="AJ48" s="1455" t="s">
        <v>2902</v>
      </c>
      <c r="AT48" s="169" t="s">
        <v>395</v>
      </c>
      <c r="AU48" s="167"/>
      <c r="BE48" s="169" t="s">
        <v>395</v>
      </c>
      <c r="BF48" s="1457"/>
      <c r="BP48" s="169" t="s">
        <v>395</v>
      </c>
      <c r="BQ48" s="1450" t="s">
        <v>2768</v>
      </c>
      <c r="CA48" s="169" t="s">
        <v>395</v>
      </c>
      <c r="CB48" s="1453" t="s">
        <v>3522</v>
      </c>
      <c r="CC48"/>
      <c r="CL48" s="169" t="s">
        <v>395</v>
      </c>
      <c r="CM48" s="1455" t="s">
        <v>2871</v>
      </c>
      <c r="CW48" s="169" t="s">
        <v>395</v>
      </c>
      <c r="CX48" s="1451" t="s">
        <v>2982</v>
      </c>
      <c r="DH48" s="169" t="s">
        <v>395</v>
      </c>
      <c r="DI48" s="1454"/>
      <c r="DS48" s="169" t="s">
        <v>395</v>
      </c>
      <c r="DT48" s="897" t="s">
        <v>2940</v>
      </c>
      <c r="ED48" s="169" t="s">
        <v>395</v>
      </c>
      <c r="EE48" s="1453"/>
      <c r="EO48" s="169" t="s">
        <v>395</v>
      </c>
      <c r="EZ48" s="169" t="s">
        <v>395</v>
      </c>
      <c r="FK48" s="169" t="s">
        <v>395</v>
      </c>
      <c r="FV48" s="169" t="s">
        <v>395</v>
      </c>
      <c r="GG48" s="169" t="s">
        <v>395</v>
      </c>
      <c r="GR48" s="169" t="s">
        <v>395</v>
      </c>
      <c r="HC48" s="169" t="s">
        <v>395</v>
      </c>
      <c r="HN48" s="169" t="s">
        <v>395</v>
      </c>
      <c r="HY48" s="169" t="s">
        <v>395</v>
      </c>
      <c r="HZ48" s="1469" t="s">
        <v>3523</v>
      </c>
      <c r="IJ48" s="169" t="s">
        <v>395</v>
      </c>
      <c r="IU48" s="169" t="s">
        <v>395</v>
      </c>
    </row>
    <row r="49" spans="1:255" ht="16.5">
      <c r="A49" s="62"/>
      <c r="B49" s="169" t="s">
        <v>395</v>
      </c>
      <c r="C49" s="1451" t="s">
        <v>2761</v>
      </c>
      <c r="K49" s="1473"/>
      <c r="M49" s="169" t="s">
        <v>395</v>
      </c>
      <c r="N49" s="1451" t="s">
        <v>2766</v>
      </c>
      <c r="X49" s="169" t="s">
        <v>395</v>
      </c>
      <c r="Y49" s="1454" t="s">
        <v>2767</v>
      </c>
      <c r="AI49" s="169" t="s">
        <v>395</v>
      </c>
      <c r="AJ49" s="1455" t="s">
        <v>2903</v>
      </c>
      <c r="AT49" s="169" t="s">
        <v>395</v>
      </c>
      <c r="AU49" s="167" t="s">
        <v>2767</v>
      </c>
      <c r="BE49" s="169" t="s">
        <v>395</v>
      </c>
      <c r="BF49" s="1457" t="s">
        <v>2797</v>
      </c>
      <c r="BP49" s="169" t="s">
        <v>395</v>
      </c>
      <c r="CA49" s="169" t="s">
        <v>395</v>
      </c>
      <c r="CB49" s="1451" t="s">
        <v>2968</v>
      </c>
      <c r="CC49"/>
      <c r="CL49" s="169" t="s">
        <v>395</v>
      </c>
      <c r="CM49" s="1455" t="s">
        <v>2982</v>
      </c>
      <c r="CW49" s="169" t="s">
        <v>395</v>
      </c>
      <c r="CX49" s="1451" t="s">
        <v>2898</v>
      </c>
      <c r="DH49" s="169" t="s">
        <v>395</v>
      </c>
      <c r="DI49" s="1454" t="s">
        <v>3035</v>
      </c>
      <c r="DS49" s="169" t="s">
        <v>395</v>
      </c>
      <c r="DT49" s="897" t="s">
        <v>365</v>
      </c>
      <c r="ED49" s="169" t="s">
        <v>395</v>
      </c>
      <c r="EE49" s="1469" t="s">
        <v>3522</v>
      </c>
      <c r="EO49" s="169" t="s">
        <v>395</v>
      </c>
      <c r="EZ49" s="169" t="s">
        <v>395</v>
      </c>
      <c r="FK49" s="169" t="s">
        <v>395</v>
      </c>
      <c r="FV49" s="169" t="s">
        <v>395</v>
      </c>
      <c r="GG49" s="169" t="s">
        <v>395</v>
      </c>
      <c r="GR49" s="169" t="s">
        <v>395</v>
      </c>
      <c r="HC49" s="169" t="s">
        <v>395</v>
      </c>
      <c r="HN49" s="169" t="s">
        <v>395</v>
      </c>
      <c r="HY49" s="169" t="s">
        <v>395</v>
      </c>
      <c r="HZ49" s="1451" t="s">
        <v>2796</v>
      </c>
      <c r="IJ49" s="169" t="s">
        <v>395</v>
      </c>
      <c r="IU49" s="169" t="s">
        <v>395</v>
      </c>
    </row>
    <row r="50" spans="1:255" ht="16.5">
      <c r="A50" s="62"/>
      <c r="B50" s="169" t="s">
        <v>395</v>
      </c>
      <c r="C50" s="1451" t="s">
        <v>2762</v>
      </c>
      <c r="M50" s="169" t="s">
        <v>395</v>
      </c>
      <c r="N50" s="1453"/>
      <c r="X50" s="169" t="s">
        <v>395</v>
      </c>
      <c r="Y50" s="897" t="s">
        <v>2768</v>
      </c>
      <c r="AI50" s="169" t="s">
        <v>395</v>
      </c>
      <c r="AJ50" s="1463"/>
      <c r="AT50" s="169" t="s">
        <v>395</v>
      </c>
      <c r="AU50" s="1450" t="s">
        <v>2768</v>
      </c>
      <c r="BE50" s="169" t="s">
        <v>395</v>
      </c>
      <c r="BF50" s="897" t="s">
        <v>2768</v>
      </c>
      <c r="BP50" s="169" t="s">
        <v>395</v>
      </c>
      <c r="CA50" s="169" t="s">
        <v>395</v>
      </c>
      <c r="CB50" s="1451" t="s">
        <v>2969</v>
      </c>
      <c r="CC50"/>
      <c r="CL50" s="169" t="s">
        <v>395</v>
      </c>
      <c r="CM50" s="1455" t="s">
        <v>2898</v>
      </c>
      <c r="CW50" s="169" t="s">
        <v>395</v>
      </c>
      <c r="CX50" s="1451" t="s">
        <v>2758</v>
      </c>
      <c r="DH50" s="169" t="s">
        <v>395</v>
      </c>
      <c r="DI50" s="897" t="s">
        <v>2879</v>
      </c>
      <c r="DS50" s="169" t="s">
        <v>395</v>
      </c>
      <c r="DT50" s="897" t="s">
        <v>2515</v>
      </c>
      <c r="ED50" s="169" t="s">
        <v>395</v>
      </c>
      <c r="EE50" s="1451" t="s">
        <v>2794</v>
      </c>
      <c r="EO50" s="169" t="s">
        <v>395</v>
      </c>
      <c r="EZ50" s="169" t="s">
        <v>395</v>
      </c>
      <c r="FK50" s="169" t="s">
        <v>395</v>
      </c>
      <c r="FV50" s="169" t="s">
        <v>395</v>
      </c>
      <c r="GG50" s="169" t="s">
        <v>395</v>
      </c>
      <c r="GR50" s="169" t="s">
        <v>395</v>
      </c>
      <c r="HC50" s="169" t="s">
        <v>395</v>
      </c>
      <c r="HN50" s="169" t="s">
        <v>395</v>
      </c>
      <c r="HY50" s="169" t="s">
        <v>395</v>
      </c>
      <c r="HZ50" s="167"/>
      <c r="IJ50" s="169" t="s">
        <v>395</v>
      </c>
      <c r="IU50" s="169" t="s">
        <v>395</v>
      </c>
    </row>
    <row r="51" spans="1:255" ht="16.5">
      <c r="A51" s="62"/>
      <c r="B51" s="169" t="s">
        <v>395</v>
      </c>
      <c r="C51" s="1451" t="s">
        <v>2863</v>
      </c>
      <c r="M51" s="169" t="s">
        <v>395</v>
      </c>
      <c r="N51" s="167" t="s">
        <v>2767</v>
      </c>
      <c r="X51" s="169" t="s">
        <v>395</v>
      </c>
      <c r="AI51" s="169" t="s">
        <v>395</v>
      </c>
      <c r="AJ51" s="1457" t="s">
        <v>3523</v>
      </c>
      <c r="AT51" s="169" t="s">
        <v>395</v>
      </c>
      <c r="BE51" s="169" t="s">
        <v>395</v>
      </c>
      <c r="BP51" s="169" t="s">
        <v>395</v>
      </c>
      <c r="CA51" s="169" t="s">
        <v>395</v>
      </c>
      <c r="CB51" s="1451" t="s">
        <v>2970</v>
      </c>
      <c r="CC51"/>
      <c r="CL51" s="169" t="s">
        <v>395</v>
      </c>
      <c r="CM51" s="1455" t="s">
        <v>2758</v>
      </c>
      <c r="CW51" s="169" t="s">
        <v>395</v>
      </c>
      <c r="CX51" s="1451" t="s">
        <v>2760</v>
      </c>
      <c r="DH51" s="169" t="s">
        <v>395</v>
      </c>
      <c r="DI51" s="897" t="s">
        <v>2880</v>
      </c>
      <c r="DS51" s="169" t="s">
        <v>395</v>
      </c>
      <c r="DT51" s="897" t="s">
        <v>2941</v>
      </c>
      <c r="ED51" s="169" t="s">
        <v>395</v>
      </c>
      <c r="EE51" s="1451" t="s">
        <v>2795</v>
      </c>
      <c r="EO51" s="169" t="s">
        <v>395</v>
      </c>
      <c r="EZ51" s="169" t="s">
        <v>395</v>
      </c>
      <c r="FK51" s="169" t="s">
        <v>395</v>
      </c>
      <c r="FV51" s="169" t="s">
        <v>395</v>
      </c>
      <c r="GG51" s="169" t="s">
        <v>395</v>
      </c>
      <c r="GR51" s="169" t="s">
        <v>395</v>
      </c>
      <c r="HC51" s="169" t="s">
        <v>395</v>
      </c>
      <c r="HN51" s="169" t="s">
        <v>395</v>
      </c>
      <c r="HY51" s="169" t="s">
        <v>395</v>
      </c>
      <c r="HZ51" s="1453" t="s">
        <v>2797</v>
      </c>
      <c r="IJ51" s="169" t="s">
        <v>395</v>
      </c>
      <c r="IU51" s="169" t="s">
        <v>395</v>
      </c>
    </row>
    <row r="52" spans="1:255" ht="16.5">
      <c r="A52" s="62"/>
      <c r="B52" s="169" t="s">
        <v>395</v>
      </c>
      <c r="C52" s="1451" t="s">
        <v>2864</v>
      </c>
      <c r="M52" s="169" t="s">
        <v>395</v>
      </c>
      <c r="N52" s="1450" t="s">
        <v>2768</v>
      </c>
      <c r="X52" s="169" t="s">
        <v>395</v>
      </c>
      <c r="AI52" s="169" t="s">
        <v>395</v>
      </c>
      <c r="AJ52" s="1455" t="s">
        <v>2904</v>
      </c>
      <c r="AT52" s="169" t="s">
        <v>395</v>
      </c>
      <c r="BE52" s="169" t="s">
        <v>395</v>
      </c>
      <c r="BP52" s="169" t="s">
        <v>395</v>
      </c>
      <c r="CA52" s="169" t="s">
        <v>395</v>
      </c>
      <c r="CB52" s="1451" t="s">
        <v>2971</v>
      </c>
      <c r="CC52"/>
      <c r="CL52" s="169" t="s">
        <v>395</v>
      </c>
      <c r="CM52" s="1455" t="s">
        <v>2760</v>
      </c>
      <c r="CW52" s="169" t="s">
        <v>395</v>
      </c>
      <c r="CX52" s="1451" t="s">
        <v>2761</v>
      </c>
      <c r="DH52" s="169" t="s">
        <v>395</v>
      </c>
      <c r="DI52" s="897" t="s">
        <v>293</v>
      </c>
      <c r="DS52" s="169" t="s">
        <v>395</v>
      </c>
      <c r="DT52" s="897" t="s">
        <v>2942</v>
      </c>
      <c r="ED52" s="169" t="s">
        <v>395</v>
      </c>
      <c r="EE52" s="1453"/>
      <c r="EO52" s="169" t="s">
        <v>395</v>
      </c>
      <c r="EZ52" s="169" t="s">
        <v>395</v>
      </c>
      <c r="FK52" s="169" t="s">
        <v>395</v>
      </c>
      <c r="FV52" s="169" t="s">
        <v>395</v>
      </c>
      <c r="GG52" s="169" t="s">
        <v>395</v>
      </c>
      <c r="GR52" s="169" t="s">
        <v>395</v>
      </c>
      <c r="HC52" s="169" t="s">
        <v>395</v>
      </c>
      <c r="HN52" s="169" t="s">
        <v>395</v>
      </c>
      <c r="HY52" s="169" t="s">
        <v>395</v>
      </c>
      <c r="HZ52" s="1450" t="s">
        <v>2768</v>
      </c>
      <c r="IJ52" s="169" t="s">
        <v>395</v>
      </c>
      <c r="IU52" s="169" t="s">
        <v>395</v>
      </c>
    </row>
    <row r="53" spans="1:255" ht="16.5">
      <c r="A53" s="62"/>
      <c r="B53" s="169" t="s">
        <v>395</v>
      </c>
      <c r="C53" s="1451" t="s">
        <v>2762</v>
      </c>
      <c r="M53" s="169" t="s">
        <v>395</v>
      </c>
      <c r="X53" s="169" t="s">
        <v>395</v>
      </c>
      <c r="AI53" s="169" t="s">
        <v>395</v>
      </c>
      <c r="AJ53" s="1455" t="s">
        <v>2905</v>
      </c>
      <c r="AT53" s="169" t="s">
        <v>395</v>
      </c>
      <c r="BE53" s="169" t="s">
        <v>395</v>
      </c>
      <c r="BP53" s="169" t="s">
        <v>395</v>
      </c>
      <c r="CA53" s="169" t="s">
        <v>395</v>
      </c>
      <c r="CB53" s="1467"/>
      <c r="CC53"/>
      <c r="CL53" s="169" t="s">
        <v>395</v>
      </c>
      <c r="CM53" s="1455" t="s">
        <v>2761</v>
      </c>
      <c r="CW53" s="169" t="s">
        <v>395</v>
      </c>
      <c r="CX53" s="1451" t="s">
        <v>2983</v>
      </c>
      <c r="DH53" s="169" t="s">
        <v>395</v>
      </c>
      <c r="DI53" s="1455" t="s">
        <v>3037</v>
      </c>
      <c r="DS53" s="169" t="s">
        <v>395</v>
      </c>
      <c r="DT53" s="897" t="s">
        <v>2943</v>
      </c>
      <c r="ED53" s="169" t="s">
        <v>395</v>
      </c>
      <c r="EE53" s="1469" t="s">
        <v>3523</v>
      </c>
      <c r="EO53" s="169" t="s">
        <v>395</v>
      </c>
      <c r="EZ53" s="169" t="s">
        <v>395</v>
      </c>
      <c r="FK53" s="169" t="s">
        <v>395</v>
      </c>
      <c r="FV53" s="169" t="s">
        <v>395</v>
      </c>
      <c r="GG53" s="169" t="s">
        <v>395</v>
      </c>
      <c r="GR53" s="169" t="s">
        <v>395</v>
      </c>
      <c r="HC53" s="169" t="s">
        <v>395</v>
      </c>
      <c r="HN53" s="169" t="s">
        <v>395</v>
      </c>
      <c r="HY53" s="169" t="s">
        <v>395</v>
      </c>
      <c r="IJ53" s="169" t="s">
        <v>395</v>
      </c>
      <c r="IU53" s="169" t="s">
        <v>395</v>
      </c>
    </row>
    <row r="54" spans="1:255" ht="16.5">
      <c r="A54" s="62"/>
      <c r="B54" s="169" t="s">
        <v>395</v>
      </c>
      <c r="C54" s="1453"/>
      <c r="M54" s="169" t="s">
        <v>395</v>
      </c>
      <c r="X54" s="169" t="s">
        <v>395</v>
      </c>
      <c r="AI54" s="169" t="s">
        <v>395</v>
      </c>
      <c r="AJ54" s="1455" t="s">
        <v>2906</v>
      </c>
      <c r="AT54" s="169" t="s">
        <v>395</v>
      </c>
      <c r="BE54" s="169" t="s">
        <v>395</v>
      </c>
      <c r="BP54" s="169" t="s">
        <v>395</v>
      </c>
      <c r="CA54" s="169" t="s">
        <v>395</v>
      </c>
      <c r="CB54" s="1453" t="s">
        <v>3523</v>
      </c>
      <c r="CC54"/>
      <c r="CL54" s="169" t="s">
        <v>395</v>
      </c>
      <c r="CM54" s="1455" t="s">
        <v>2983</v>
      </c>
      <c r="CW54" s="169" t="s">
        <v>395</v>
      </c>
      <c r="CX54" s="1451" t="s">
        <v>2863</v>
      </c>
      <c r="DH54" s="169" t="s">
        <v>395</v>
      </c>
      <c r="DI54" s="897" t="s">
        <v>3036</v>
      </c>
      <c r="DS54" s="169" t="s">
        <v>395</v>
      </c>
      <c r="DT54" s="897" t="s">
        <v>257</v>
      </c>
      <c r="ED54" s="169" t="s">
        <v>395</v>
      </c>
      <c r="EE54" s="1451" t="s">
        <v>2796</v>
      </c>
      <c r="EO54" s="169" t="s">
        <v>395</v>
      </c>
      <c r="EZ54" s="169" t="s">
        <v>395</v>
      </c>
      <c r="FK54" s="169" t="s">
        <v>395</v>
      </c>
      <c r="FV54" s="169" t="s">
        <v>395</v>
      </c>
      <c r="GG54" s="169" t="s">
        <v>395</v>
      </c>
      <c r="GR54" s="169" t="s">
        <v>395</v>
      </c>
      <c r="HC54" s="169" t="s">
        <v>395</v>
      </c>
      <c r="HN54" s="169" t="s">
        <v>395</v>
      </c>
      <c r="HY54" s="169" t="s">
        <v>395</v>
      </c>
      <c r="IJ54" s="169" t="s">
        <v>395</v>
      </c>
      <c r="IU54" s="169" t="s">
        <v>395</v>
      </c>
    </row>
    <row r="55" spans="1:255" ht="16.5">
      <c r="A55" s="62"/>
      <c r="B55" s="169" t="s">
        <v>395</v>
      </c>
      <c r="C55" s="1453" t="s">
        <v>3523</v>
      </c>
      <c r="M55" s="169" t="s">
        <v>395</v>
      </c>
      <c r="X55" s="169" t="s">
        <v>395</v>
      </c>
      <c r="AI55" s="169" t="s">
        <v>395</v>
      </c>
      <c r="AJ55" s="1455" t="s">
        <v>2907</v>
      </c>
      <c r="AT55" s="169" t="s">
        <v>395</v>
      </c>
      <c r="BE55" s="169" t="s">
        <v>395</v>
      </c>
      <c r="BP55" s="169" t="s">
        <v>395</v>
      </c>
      <c r="CA55" s="169" t="s">
        <v>395</v>
      </c>
      <c r="CB55" s="1451" t="s">
        <v>2906</v>
      </c>
      <c r="CC55"/>
      <c r="CL55" s="169" t="s">
        <v>395</v>
      </c>
      <c r="CM55" s="1455" t="s">
        <v>2863</v>
      </c>
      <c r="CW55" s="169" t="s">
        <v>395</v>
      </c>
      <c r="CX55" s="1451" t="s">
        <v>2984</v>
      </c>
      <c r="DH55" s="169" t="s">
        <v>395</v>
      </c>
      <c r="DI55" s="897" t="s">
        <v>288</v>
      </c>
      <c r="DS55" s="169" t="s">
        <v>395</v>
      </c>
      <c r="DT55" s="1454"/>
      <c r="ED55" s="169" t="s">
        <v>395</v>
      </c>
      <c r="EO55" s="169" t="s">
        <v>395</v>
      </c>
      <c r="EZ55" s="169" t="s">
        <v>395</v>
      </c>
      <c r="FK55" s="169" t="s">
        <v>395</v>
      </c>
      <c r="FV55" s="169" t="s">
        <v>395</v>
      </c>
      <c r="GG55" s="169" t="s">
        <v>395</v>
      </c>
      <c r="GR55" s="169" t="s">
        <v>395</v>
      </c>
      <c r="HC55" s="169" t="s">
        <v>395</v>
      </c>
      <c r="HN55" s="169" t="s">
        <v>395</v>
      </c>
      <c r="HY55" s="169" t="s">
        <v>395</v>
      </c>
      <c r="IJ55" s="169" t="s">
        <v>395</v>
      </c>
      <c r="IU55" s="169" t="s">
        <v>395</v>
      </c>
    </row>
    <row r="56" spans="1:255" ht="16.5">
      <c r="A56" s="62"/>
      <c r="B56" s="169" t="s">
        <v>395</v>
      </c>
      <c r="C56" s="1451" t="s">
        <v>2765</v>
      </c>
      <c r="M56" s="169" t="s">
        <v>395</v>
      </c>
      <c r="X56" s="169" t="s">
        <v>395</v>
      </c>
      <c r="AI56" s="169" t="s">
        <v>395</v>
      </c>
      <c r="AJ56" s="1455" t="s">
        <v>2908</v>
      </c>
      <c r="AT56" s="169" t="s">
        <v>395</v>
      </c>
      <c r="BE56" s="169" t="s">
        <v>395</v>
      </c>
      <c r="BP56" s="169" t="s">
        <v>395</v>
      </c>
      <c r="CA56" s="169" t="s">
        <v>395</v>
      </c>
      <c r="CB56" s="1451" t="s">
        <v>2796</v>
      </c>
      <c r="CC56"/>
      <c r="CL56" s="169" t="s">
        <v>395</v>
      </c>
      <c r="CM56" s="1455" t="s">
        <v>2984</v>
      </c>
      <c r="CW56" s="169" t="s">
        <v>395</v>
      </c>
      <c r="CX56" s="1451" t="s">
        <v>2902</v>
      </c>
      <c r="DH56" s="169" t="s">
        <v>395</v>
      </c>
      <c r="DI56" s="897" t="s">
        <v>2883</v>
      </c>
      <c r="DS56" s="169" t="s">
        <v>395</v>
      </c>
      <c r="DT56" s="897" t="s">
        <v>361</v>
      </c>
      <c r="ED56" s="169" t="s">
        <v>395</v>
      </c>
      <c r="EE56" s="1453" t="s">
        <v>2797</v>
      </c>
      <c r="EO56" s="169" t="s">
        <v>395</v>
      </c>
      <c r="EZ56" s="169" t="s">
        <v>395</v>
      </c>
      <c r="FK56" s="169" t="s">
        <v>395</v>
      </c>
      <c r="FV56" s="169" t="s">
        <v>395</v>
      </c>
      <c r="GG56" s="169" t="s">
        <v>395</v>
      </c>
      <c r="GR56" s="169" t="s">
        <v>395</v>
      </c>
      <c r="HC56" s="169" t="s">
        <v>395</v>
      </c>
      <c r="HN56" s="169" t="s">
        <v>395</v>
      </c>
      <c r="HY56" s="169" t="s">
        <v>395</v>
      </c>
      <c r="IJ56" s="169" t="s">
        <v>395</v>
      </c>
      <c r="IU56" s="169" t="s">
        <v>395</v>
      </c>
    </row>
    <row r="57" spans="1:255" ht="16.5">
      <c r="A57" s="62"/>
      <c r="B57" s="169" t="s">
        <v>395</v>
      </c>
      <c r="C57" s="1451" t="s">
        <v>2766</v>
      </c>
      <c r="M57" s="169" t="s">
        <v>395</v>
      </c>
      <c r="X57" s="169" t="s">
        <v>395</v>
      </c>
      <c r="AI57" s="169" t="s">
        <v>395</v>
      </c>
      <c r="AJ57" s="1455" t="s">
        <v>2909</v>
      </c>
      <c r="AT57" s="169" t="s">
        <v>395</v>
      </c>
      <c r="BE57" s="169" t="s">
        <v>395</v>
      </c>
      <c r="BP57" s="169" t="s">
        <v>395</v>
      </c>
      <c r="CA57" s="169" t="s">
        <v>395</v>
      </c>
      <c r="CB57" s="1467"/>
      <c r="CC57"/>
      <c r="CL57" s="169" t="s">
        <v>395</v>
      </c>
      <c r="CM57" s="1455" t="s">
        <v>2902</v>
      </c>
      <c r="CW57" s="169" t="s">
        <v>395</v>
      </c>
      <c r="CX57" s="1451" t="s">
        <v>3008</v>
      </c>
      <c r="DH57" s="169" t="s">
        <v>395</v>
      </c>
      <c r="DI57" s="897" t="s">
        <v>3030</v>
      </c>
      <c r="DS57" s="169" t="s">
        <v>395</v>
      </c>
      <c r="DT57" s="897" t="s">
        <v>2944</v>
      </c>
      <c r="ED57" s="169" t="s">
        <v>395</v>
      </c>
      <c r="EE57" s="1450" t="s">
        <v>2768</v>
      </c>
      <c r="EO57" s="169" t="s">
        <v>395</v>
      </c>
      <c r="EZ57" s="169" t="s">
        <v>395</v>
      </c>
      <c r="FK57" s="169" t="s">
        <v>395</v>
      </c>
      <c r="FV57" s="169" t="s">
        <v>395</v>
      </c>
      <c r="GG57" s="169" t="s">
        <v>395</v>
      </c>
      <c r="GR57" s="169" t="s">
        <v>395</v>
      </c>
      <c r="HC57" s="169" t="s">
        <v>395</v>
      </c>
      <c r="HN57" s="169" t="s">
        <v>395</v>
      </c>
      <c r="HY57" s="169" t="s">
        <v>395</v>
      </c>
      <c r="IJ57" s="169" t="s">
        <v>395</v>
      </c>
      <c r="IU57" s="169" t="s">
        <v>395</v>
      </c>
    </row>
    <row r="58" spans="1:255" ht="16.5">
      <c r="A58" s="62"/>
      <c r="B58" s="169" t="s">
        <v>395</v>
      </c>
      <c r="C58" s="167"/>
      <c r="M58" s="169" t="s">
        <v>395</v>
      </c>
      <c r="X58" s="169" t="s">
        <v>395</v>
      </c>
      <c r="AI58" s="169" t="s">
        <v>395</v>
      </c>
      <c r="AJ58" s="1455" t="s">
        <v>2796</v>
      </c>
      <c r="AT58" s="169" t="s">
        <v>395</v>
      </c>
      <c r="BE58" s="169" t="s">
        <v>395</v>
      </c>
      <c r="BP58" s="169" t="s">
        <v>395</v>
      </c>
      <c r="CA58" s="169" t="s">
        <v>395</v>
      </c>
      <c r="CB58" s="1453" t="s">
        <v>2797</v>
      </c>
      <c r="CC58"/>
      <c r="CL58" s="169" t="s">
        <v>395</v>
      </c>
      <c r="CM58" s="1457"/>
      <c r="CW58" s="169" t="s">
        <v>395</v>
      </c>
      <c r="CX58" s="1453"/>
      <c r="DH58" s="169" t="s">
        <v>395</v>
      </c>
      <c r="DI58" s="897" t="s">
        <v>2884</v>
      </c>
      <c r="DS58" s="169" t="s">
        <v>395</v>
      </c>
      <c r="DT58" s="897" t="s">
        <v>3001</v>
      </c>
      <c r="ED58" s="169" t="s">
        <v>395</v>
      </c>
      <c r="EO58" s="169" t="s">
        <v>395</v>
      </c>
      <c r="EZ58" s="169" t="s">
        <v>395</v>
      </c>
      <c r="FK58" s="169" t="s">
        <v>395</v>
      </c>
      <c r="FV58" s="169" t="s">
        <v>395</v>
      </c>
      <c r="GG58" s="169" t="s">
        <v>395</v>
      </c>
      <c r="GR58" s="169" t="s">
        <v>395</v>
      </c>
      <c r="HC58" s="169" t="s">
        <v>395</v>
      </c>
      <c r="HN58" s="169" t="s">
        <v>395</v>
      </c>
      <c r="HY58" s="169" t="s">
        <v>395</v>
      </c>
      <c r="IJ58" s="169" t="s">
        <v>395</v>
      </c>
      <c r="IU58" s="169" t="s">
        <v>395</v>
      </c>
    </row>
    <row r="59" spans="1:255" ht="16.5">
      <c r="A59" s="62"/>
      <c r="B59" s="169" t="s">
        <v>395</v>
      </c>
      <c r="C59" s="167" t="s">
        <v>2767</v>
      </c>
      <c r="M59" s="169" t="s">
        <v>395</v>
      </c>
      <c r="X59" s="169" t="s">
        <v>395</v>
      </c>
      <c r="AI59" s="169" t="s">
        <v>395</v>
      </c>
      <c r="AJ59" s="1454"/>
      <c r="AT59" s="169" t="s">
        <v>395</v>
      </c>
      <c r="BE59" s="169" t="s">
        <v>395</v>
      </c>
      <c r="BP59" s="169" t="s">
        <v>395</v>
      </c>
      <c r="CA59" s="169" t="s">
        <v>395</v>
      </c>
      <c r="CB59" s="1450" t="s">
        <v>2768</v>
      </c>
      <c r="CC59"/>
      <c r="CL59" s="169" t="s">
        <v>395</v>
      </c>
      <c r="CM59" s="1457" t="s">
        <v>3521</v>
      </c>
      <c r="CW59" s="169" t="s">
        <v>395</v>
      </c>
      <c r="CX59" s="1453" t="s">
        <v>3521</v>
      </c>
      <c r="DH59" s="169" t="s">
        <v>395</v>
      </c>
      <c r="DI59" s="1462"/>
      <c r="DS59" s="169" t="s">
        <v>395</v>
      </c>
      <c r="DT59" s="897" t="s">
        <v>2515</v>
      </c>
      <c r="ED59" s="169" t="s">
        <v>395</v>
      </c>
      <c r="EO59" s="169" t="s">
        <v>395</v>
      </c>
      <c r="EZ59" s="169" t="s">
        <v>395</v>
      </c>
      <c r="FK59" s="169" t="s">
        <v>395</v>
      </c>
      <c r="FV59" s="169" t="s">
        <v>395</v>
      </c>
      <c r="GG59" s="169" t="s">
        <v>395</v>
      </c>
      <c r="GR59" s="169" t="s">
        <v>395</v>
      </c>
      <c r="HC59" s="169" t="s">
        <v>395</v>
      </c>
      <c r="HN59" s="169" t="s">
        <v>395</v>
      </c>
      <c r="HY59" s="169" t="s">
        <v>395</v>
      </c>
      <c r="IJ59" s="169" t="s">
        <v>395</v>
      </c>
      <c r="IU59" s="169" t="s">
        <v>395</v>
      </c>
    </row>
    <row r="60" spans="1:255" ht="16.5">
      <c r="A60" s="62"/>
      <c r="B60" s="169" t="s">
        <v>395</v>
      </c>
      <c r="C60" s="1450" t="s">
        <v>2768</v>
      </c>
      <c r="M60" s="169" t="s">
        <v>395</v>
      </c>
      <c r="X60" s="169" t="s">
        <v>395</v>
      </c>
      <c r="AI60" s="169" t="s">
        <v>395</v>
      </c>
      <c r="AJ60" s="1454" t="s">
        <v>2767</v>
      </c>
      <c r="AT60" s="169" t="s">
        <v>395</v>
      </c>
      <c r="BE60" s="169" t="s">
        <v>395</v>
      </c>
      <c r="BP60" s="169" t="s">
        <v>395</v>
      </c>
      <c r="CA60" s="169" t="s">
        <v>395</v>
      </c>
      <c r="CL60" s="169" t="s">
        <v>395</v>
      </c>
      <c r="CM60" s="1455" t="s">
        <v>2756</v>
      </c>
      <c r="CW60" s="169" t="s">
        <v>395</v>
      </c>
      <c r="CX60" s="1451" t="s">
        <v>2985</v>
      </c>
      <c r="DH60" s="169" t="s">
        <v>395</v>
      </c>
      <c r="DI60" s="1178" t="s">
        <v>289</v>
      </c>
      <c r="DS60" s="169" t="s">
        <v>395</v>
      </c>
      <c r="DT60" s="897" t="s">
        <v>2946</v>
      </c>
      <c r="ED60" s="169" t="s">
        <v>395</v>
      </c>
      <c r="EO60" s="169" t="s">
        <v>395</v>
      </c>
      <c r="EZ60" s="169" t="s">
        <v>395</v>
      </c>
      <c r="FK60" s="169" t="s">
        <v>395</v>
      </c>
      <c r="FV60" s="169" t="s">
        <v>395</v>
      </c>
      <c r="GG60" s="169" t="s">
        <v>395</v>
      </c>
      <c r="GR60" s="169" t="s">
        <v>395</v>
      </c>
      <c r="HC60" s="169" t="s">
        <v>395</v>
      </c>
      <c r="HN60" s="169" t="s">
        <v>395</v>
      </c>
      <c r="HY60" s="169" t="s">
        <v>395</v>
      </c>
      <c r="IJ60" s="169" t="s">
        <v>395</v>
      </c>
      <c r="IU60" s="169" t="s">
        <v>395</v>
      </c>
    </row>
    <row r="61" spans="1:255" ht="16.5">
      <c r="A61" s="62"/>
      <c r="B61" s="169" t="s">
        <v>395</v>
      </c>
      <c r="M61" s="169" t="s">
        <v>395</v>
      </c>
      <c r="X61" s="169" t="s">
        <v>395</v>
      </c>
      <c r="AI61" s="169" t="s">
        <v>395</v>
      </c>
      <c r="AJ61" s="897" t="s">
        <v>2768</v>
      </c>
      <c r="AT61" s="169" t="s">
        <v>395</v>
      </c>
      <c r="BE61" s="169" t="s">
        <v>395</v>
      </c>
      <c r="BP61" s="169" t="s">
        <v>395</v>
      </c>
      <c r="CA61" s="169" t="s">
        <v>395</v>
      </c>
      <c r="CL61" s="169" t="s">
        <v>395</v>
      </c>
      <c r="CM61" s="1455" t="s">
        <v>2985</v>
      </c>
      <c r="CW61" s="169" t="s">
        <v>395</v>
      </c>
      <c r="CX61" s="1451" t="s">
        <v>2988</v>
      </c>
      <c r="DH61" s="169" t="s">
        <v>395</v>
      </c>
      <c r="DI61" s="1454" t="s">
        <v>296</v>
      </c>
      <c r="DS61" s="169" t="s">
        <v>395</v>
      </c>
      <c r="DT61" s="1454"/>
      <c r="ED61" s="169" t="s">
        <v>395</v>
      </c>
      <c r="EO61" s="169" t="s">
        <v>395</v>
      </c>
      <c r="EZ61" s="169" t="s">
        <v>395</v>
      </c>
      <c r="FK61" s="169" t="s">
        <v>395</v>
      </c>
      <c r="FV61" s="169" t="s">
        <v>395</v>
      </c>
      <c r="GG61" s="169" t="s">
        <v>395</v>
      </c>
      <c r="GR61" s="169" t="s">
        <v>395</v>
      </c>
      <c r="HC61" s="169" t="s">
        <v>395</v>
      </c>
      <c r="HN61" s="169" t="s">
        <v>395</v>
      </c>
      <c r="HY61" s="169" t="s">
        <v>395</v>
      </c>
      <c r="IJ61" s="169" t="s">
        <v>395</v>
      </c>
      <c r="IU61" s="169" t="s">
        <v>395</v>
      </c>
    </row>
    <row r="62" spans="1:255" ht="16.5">
      <c r="A62" s="62"/>
      <c r="B62" s="169" t="s">
        <v>395</v>
      </c>
      <c r="M62" s="169" t="s">
        <v>395</v>
      </c>
      <c r="X62" s="169" t="s">
        <v>395</v>
      </c>
      <c r="AI62" s="169" t="s">
        <v>395</v>
      </c>
      <c r="AJ62" s="897" t="s">
        <v>2768</v>
      </c>
      <c r="AT62" s="169" t="s">
        <v>395</v>
      </c>
      <c r="BE62" s="169" t="s">
        <v>395</v>
      </c>
      <c r="BP62" s="169" t="s">
        <v>395</v>
      </c>
      <c r="CA62" s="169" t="s">
        <v>395</v>
      </c>
      <c r="CL62" s="169" t="s">
        <v>395</v>
      </c>
      <c r="CM62" s="1455" t="s">
        <v>2986</v>
      </c>
      <c r="CW62" s="169" t="s">
        <v>395</v>
      </c>
      <c r="CX62" s="1453"/>
      <c r="DH62" s="169" t="s">
        <v>395</v>
      </c>
      <c r="DI62" s="897" t="s">
        <v>2518</v>
      </c>
      <c r="DS62" s="169" t="s">
        <v>395</v>
      </c>
      <c r="DT62" s="1455" t="s">
        <v>2947</v>
      </c>
      <c r="ED62" s="169" t="s">
        <v>395</v>
      </c>
      <c r="EO62" s="169" t="s">
        <v>395</v>
      </c>
      <c r="EZ62" s="169" t="s">
        <v>395</v>
      </c>
      <c r="FK62" s="169" t="s">
        <v>395</v>
      </c>
      <c r="FV62" s="169" t="s">
        <v>395</v>
      </c>
      <c r="GG62" s="169" t="s">
        <v>395</v>
      </c>
      <c r="GR62" s="169" t="s">
        <v>395</v>
      </c>
      <c r="HC62" s="169" t="s">
        <v>395</v>
      </c>
      <c r="HN62" s="169" t="s">
        <v>395</v>
      </c>
      <c r="HY62" s="169" t="s">
        <v>395</v>
      </c>
      <c r="IJ62" s="169" t="s">
        <v>395</v>
      </c>
      <c r="IU62" s="169" t="s">
        <v>395</v>
      </c>
    </row>
    <row r="63" spans="1:255" ht="16.5">
      <c r="A63" s="62"/>
      <c r="B63" s="169" t="s">
        <v>395</v>
      </c>
      <c r="M63" s="169" t="s">
        <v>395</v>
      </c>
      <c r="X63" s="169" t="s">
        <v>395</v>
      </c>
      <c r="AI63" s="169" t="s">
        <v>395</v>
      </c>
      <c r="AT63" s="169" t="s">
        <v>395</v>
      </c>
      <c r="BE63" s="169" t="s">
        <v>395</v>
      </c>
      <c r="BP63" s="169" t="s">
        <v>395</v>
      </c>
      <c r="CA63" s="169" t="s">
        <v>395</v>
      </c>
      <c r="CL63" s="169" t="s">
        <v>395</v>
      </c>
      <c r="CM63" s="1455" t="s">
        <v>2987</v>
      </c>
      <c r="CW63" s="169" t="s">
        <v>395</v>
      </c>
      <c r="CX63" s="1453" t="s">
        <v>3524</v>
      </c>
      <c r="DH63" s="169" t="s">
        <v>395</v>
      </c>
      <c r="DI63" s="897" t="s">
        <v>297</v>
      </c>
      <c r="DS63" s="169" t="s">
        <v>395</v>
      </c>
      <c r="DT63" s="1454"/>
      <c r="ED63" s="169" t="s">
        <v>395</v>
      </c>
      <c r="EO63" s="169" t="s">
        <v>395</v>
      </c>
      <c r="EZ63" s="169" t="s">
        <v>395</v>
      </c>
      <c r="FK63" s="169" t="s">
        <v>395</v>
      </c>
      <c r="FV63" s="169" t="s">
        <v>395</v>
      </c>
      <c r="GG63" s="169" t="s">
        <v>395</v>
      </c>
      <c r="GR63" s="169" t="s">
        <v>395</v>
      </c>
      <c r="HC63" s="169" t="s">
        <v>395</v>
      </c>
      <c r="HN63" s="169" t="s">
        <v>395</v>
      </c>
      <c r="HY63" s="169" t="s">
        <v>395</v>
      </c>
      <c r="IJ63" s="169" t="s">
        <v>395</v>
      </c>
      <c r="IU63" s="169" t="s">
        <v>395</v>
      </c>
    </row>
    <row r="64" spans="1:255" ht="16.5">
      <c r="A64" s="62"/>
      <c r="B64" s="169" t="s">
        <v>395</v>
      </c>
      <c r="M64" s="169" t="s">
        <v>395</v>
      </c>
      <c r="X64" s="169" t="s">
        <v>395</v>
      </c>
      <c r="AI64" s="169" t="s">
        <v>395</v>
      </c>
      <c r="AT64" s="169" t="s">
        <v>395</v>
      </c>
      <c r="BE64" s="169" t="s">
        <v>395</v>
      </c>
      <c r="BP64" s="169" t="s">
        <v>395</v>
      </c>
      <c r="CA64" s="169" t="s">
        <v>395</v>
      </c>
      <c r="CL64" s="169" t="s">
        <v>395</v>
      </c>
      <c r="CM64" s="1455" t="s">
        <v>2988</v>
      </c>
      <c r="CW64" s="169" t="s">
        <v>395</v>
      </c>
      <c r="CX64" s="1451" t="s">
        <v>3009</v>
      </c>
      <c r="DH64" s="169" t="s">
        <v>395</v>
      </c>
      <c r="DI64" s="897" t="s">
        <v>290</v>
      </c>
      <c r="DS64" s="169" t="s">
        <v>395</v>
      </c>
      <c r="DT64" s="1468" t="s">
        <v>3520</v>
      </c>
      <c r="ED64" s="169" t="s">
        <v>395</v>
      </c>
      <c r="EO64" s="169" t="s">
        <v>395</v>
      </c>
      <c r="EZ64" s="169" t="s">
        <v>395</v>
      </c>
      <c r="FK64" s="169" t="s">
        <v>395</v>
      </c>
      <c r="FV64" s="169" t="s">
        <v>395</v>
      </c>
      <c r="GG64" s="169" t="s">
        <v>395</v>
      </c>
      <c r="GR64" s="169" t="s">
        <v>395</v>
      </c>
      <c r="HC64" s="169" t="s">
        <v>395</v>
      </c>
      <c r="HN64" s="169" t="s">
        <v>395</v>
      </c>
      <c r="HY64" s="169" t="s">
        <v>395</v>
      </c>
      <c r="IJ64" s="169" t="s">
        <v>395</v>
      </c>
      <c r="IU64" s="169" t="s">
        <v>395</v>
      </c>
    </row>
    <row r="65" spans="1:255" ht="16.5">
      <c r="A65" s="62"/>
      <c r="B65" s="169" t="s">
        <v>395</v>
      </c>
      <c r="M65" s="169" t="s">
        <v>395</v>
      </c>
      <c r="X65" s="169" t="s">
        <v>395</v>
      </c>
      <c r="AI65" s="169" t="s">
        <v>395</v>
      </c>
      <c r="AT65" s="169" t="s">
        <v>395</v>
      </c>
      <c r="BE65" s="169" t="s">
        <v>395</v>
      </c>
      <c r="BP65" s="169" t="s">
        <v>395</v>
      </c>
      <c r="CA65" s="169" t="s">
        <v>395</v>
      </c>
      <c r="CL65" s="169" t="s">
        <v>395</v>
      </c>
      <c r="CM65" s="1455" t="s">
        <v>2989</v>
      </c>
      <c r="CW65" s="169" t="s">
        <v>395</v>
      </c>
      <c r="CX65" s="1451" t="s">
        <v>3010</v>
      </c>
      <c r="DH65" s="169" t="s">
        <v>395</v>
      </c>
      <c r="DI65" s="897" t="s">
        <v>2519</v>
      </c>
      <c r="DS65" s="169" t="s">
        <v>395</v>
      </c>
      <c r="DT65" s="1455" t="s">
        <v>2948</v>
      </c>
      <c r="ED65" s="169" t="s">
        <v>395</v>
      </c>
      <c r="EO65" s="169" t="s">
        <v>395</v>
      </c>
      <c r="EZ65" s="169" t="s">
        <v>395</v>
      </c>
      <c r="FK65" s="169" t="s">
        <v>395</v>
      </c>
      <c r="FV65" s="169" t="s">
        <v>395</v>
      </c>
      <c r="GG65" s="169" t="s">
        <v>395</v>
      </c>
      <c r="GR65" s="169" t="s">
        <v>395</v>
      </c>
      <c r="HC65" s="169" t="s">
        <v>395</v>
      </c>
      <c r="HN65" s="169" t="s">
        <v>395</v>
      </c>
      <c r="HY65" s="169" t="s">
        <v>395</v>
      </c>
      <c r="IJ65" s="169" t="s">
        <v>395</v>
      </c>
      <c r="IU65" s="169" t="s">
        <v>395</v>
      </c>
    </row>
    <row r="66" spans="1:255" ht="16.5">
      <c r="A66" s="62"/>
      <c r="B66" s="169" t="s">
        <v>395</v>
      </c>
      <c r="M66" s="169" t="s">
        <v>395</v>
      </c>
      <c r="X66" s="169" t="s">
        <v>395</v>
      </c>
      <c r="AI66" s="169" t="s">
        <v>395</v>
      </c>
      <c r="AT66" s="169" t="s">
        <v>395</v>
      </c>
      <c r="BE66" s="169" t="s">
        <v>395</v>
      </c>
      <c r="BP66" s="169" t="s">
        <v>395</v>
      </c>
      <c r="CA66" s="169" t="s">
        <v>395</v>
      </c>
      <c r="CL66" s="169" t="s">
        <v>395</v>
      </c>
      <c r="CM66" s="1463"/>
      <c r="CW66" s="169" t="s">
        <v>395</v>
      </c>
      <c r="CX66" s="1451" t="s">
        <v>3011</v>
      </c>
      <c r="DH66" s="169" t="s">
        <v>395</v>
      </c>
      <c r="DI66" s="897" t="s">
        <v>2515</v>
      </c>
      <c r="DS66" s="169" t="s">
        <v>395</v>
      </c>
      <c r="DT66" s="1455" t="s">
        <v>2949</v>
      </c>
      <c r="ED66" s="169" t="s">
        <v>395</v>
      </c>
      <c r="EO66" s="169" t="s">
        <v>395</v>
      </c>
      <c r="EZ66" s="169" t="s">
        <v>395</v>
      </c>
      <c r="FK66" s="169" t="s">
        <v>395</v>
      </c>
      <c r="FV66" s="169" t="s">
        <v>395</v>
      </c>
      <c r="GG66" s="169" t="s">
        <v>395</v>
      </c>
      <c r="GR66" s="169" t="s">
        <v>395</v>
      </c>
      <c r="HC66" s="169" t="s">
        <v>395</v>
      </c>
      <c r="HN66" s="169" t="s">
        <v>395</v>
      </c>
      <c r="HY66" s="169" t="s">
        <v>395</v>
      </c>
      <c r="IJ66" s="169" t="s">
        <v>395</v>
      </c>
      <c r="IU66" s="169" t="s">
        <v>395</v>
      </c>
    </row>
    <row r="67" spans="1:255" ht="16.5">
      <c r="A67" s="62"/>
      <c r="B67" s="169" t="s">
        <v>395</v>
      </c>
      <c r="M67" s="169" t="s">
        <v>395</v>
      </c>
      <c r="X67" s="169" t="s">
        <v>395</v>
      </c>
      <c r="AI67" s="169" t="s">
        <v>395</v>
      </c>
      <c r="AT67" s="169" t="s">
        <v>395</v>
      </c>
      <c r="BE67" s="169" t="s">
        <v>395</v>
      </c>
      <c r="BP67" s="169" t="s">
        <v>395</v>
      </c>
      <c r="CA67" s="169" t="s">
        <v>395</v>
      </c>
      <c r="CL67" s="169" t="s">
        <v>395</v>
      </c>
      <c r="CM67" s="1457" t="s">
        <v>3523</v>
      </c>
      <c r="CW67" s="169" t="s">
        <v>395</v>
      </c>
      <c r="CX67" s="1451" t="s">
        <v>3012</v>
      </c>
      <c r="DH67" s="169" t="s">
        <v>395</v>
      </c>
      <c r="DI67" s="897" t="s">
        <v>291</v>
      </c>
      <c r="DS67" s="169" t="s">
        <v>395</v>
      </c>
      <c r="DT67" s="1455" t="s">
        <v>2891</v>
      </c>
      <c r="ED67" s="169" t="s">
        <v>395</v>
      </c>
      <c r="EO67" s="169" t="s">
        <v>395</v>
      </c>
      <c r="EZ67" s="169" t="s">
        <v>395</v>
      </c>
      <c r="FK67" s="169" t="s">
        <v>395</v>
      </c>
      <c r="FV67" s="169" t="s">
        <v>395</v>
      </c>
      <c r="GG67" s="169" t="s">
        <v>395</v>
      </c>
      <c r="GR67" s="169" t="s">
        <v>395</v>
      </c>
      <c r="HC67" s="169" t="s">
        <v>395</v>
      </c>
      <c r="HN67" s="169" t="s">
        <v>395</v>
      </c>
      <c r="HY67" s="169" t="s">
        <v>395</v>
      </c>
      <c r="IJ67" s="169" t="s">
        <v>395</v>
      </c>
      <c r="IU67" s="169" t="s">
        <v>395</v>
      </c>
    </row>
    <row r="68" spans="1:255" ht="16.5">
      <c r="A68" s="62"/>
      <c r="B68" s="169" t="s">
        <v>395</v>
      </c>
      <c r="M68" s="169" t="s">
        <v>395</v>
      </c>
      <c r="X68" s="169" t="s">
        <v>395</v>
      </c>
      <c r="AI68" s="169" t="s">
        <v>395</v>
      </c>
      <c r="AT68" s="169" t="s">
        <v>395</v>
      </c>
      <c r="BE68" s="169" t="s">
        <v>395</v>
      </c>
      <c r="BP68" s="169" t="s">
        <v>395</v>
      </c>
      <c r="CA68" s="169" t="s">
        <v>395</v>
      </c>
      <c r="CL68" s="169" t="s">
        <v>395</v>
      </c>
      <c r="CM68" s="1455" t="s">
        <v>2904</v>
      </c>
      <c r="CW68" s="169" t="s">
        <v>395</v>
      </c>
      <c r="CX68" s="1453" t="s">
        <v>3013</v>
      </c>
      <c r="DH68" s="169" t="s">
        <v>395</v>
      </c>
      <c r="DI68" s="1454"/>
      <c r="DS68" s="169" t="s">
        <v>395</v>
      </c>
      <c r="DT68" s="1455" t="s">
        <v>3039</v>
      </c>
      <c r="ED68" s="169" t="s">
        <v>395</v>
      </c>
      <c r="EO68" s="169" t="s">
        <v>395</v>
      </c>
      <c r="EZ68" s="169" t="s">
        <v>395</v>
      </c>
      <c r="FK68" s="169" t="s">
        <v>395</v>
      </c>
      <c r="FV68" s="169" t="s">
        <v>395</v>
      </c>
      <c r="GG68" s="169" t="s">
        <v>395</v>
      </c>
      <c r="GR68" s="169" t="s">
        <v>395</v>
      </c>
      <c r="HC68" s="169" t="s">
        <v>395</v>
      </c>
      <c r="HN68" s="169" t="s">
        <v>395</v>
      </c>
      <c r="HY68" s="169" t="s">
        <v>395</v>
      </c>
      <c r="IJ68" s="169" t="s">
        <v>395</v>
      </c>
      <c r="IU68" s="169" t="s">
        <v>395</v>
      </c>
    </row>
    <row r="69" spans="1:255" ht="16.5">
      <c r="A69" s="62"/>
      <c r="B69" s="169" t="s">
        <v>395</v>
      </c>
      <c r="M69" s="169" t="s">
        <v>395</v>
      </c>
      <c r="X69" s="169" t="s">
        <v>395</v>
      </c>
      <c r="AI69" s="169" t="s">
        <v>395</v>
      </c>
      <c r="AT69" s="169" t="s">
        <v>395</v>
      </c>
      <c r="BE69" s="169" t="s">
        <v>395</v>
      </c>
      <c r="BP69" s="169" t="s">
        <v>395</v>
      </c>
      <c r="CA69" s="169" t="s">
        <v>395</v>
      </c>
      <c r="CL69" s="169" t="s">
        <v>395</v>
      </c>
      <c r="CM69" s="1455" t="s">
        <v>2905</v>
      </c>
      <c r="CW69" s="169" t="s">
        <v>395</v>
      </c>
      <c r="CX69" s="1453" t="s">
        <v>3014</v>
      </c>
      <c r="DH69" s="169" t="s">
        <v>395</v>
      </c>
      <c r="DI69" s="1455" t="s">
        <v>2888</v>
      </c>
      <c r="DS69" s="169" t="s">
        <v>395</v>
      </c>
      <c r="DT69" s="1455" t="s">
        <v>2894</v>
      </c>
      <c r="ED69" s="169" t="s">
        <v>395</v>
      </c>
      <c r="EO69" s="169" t="s">
        <v>395</v>
      </c>
      <c r="EZ69" s="169" t="s">
        <v>395</v>
      </c>
      <c r="FK69" s="169" t="s">
        <v>395</v>
      </c>
      <c r="FV69" s="169" t="s">
        <v>395</v>
      </c>
      <c r="GG69" s="169" t="s">
        <v>395</v>
      </c>
      <c r="GR69" s="169" t="s">
        <v>395</v>
      </c>
      <c r="HC69" s="169" t="s">
        <v>395</v>
      </c>
      <c r="HN69" s="169" t="s">
        <v>395</v>
      </c>
      <c r="HY69" s="169" t="s">
        <v>395</v>
      </c>
      <c r="IJ69" s="169" t="s">
        <v>395</v>
      </c>
      <c r="IU69" s="169" t="s">
        <v>395</v>
      </c>
    </row>
    <row r="70" spans="1:255" ht="16.5">
      <c r="A70" s="62"/>
      <c r="B70" s="169" t="s">
        <v>395</v>
      </c>
      <c r="M70" s="169" t="s">
        <v>395</v>
      </c>
      <c r="X70" s="169" t="s">
        <v>395</v>
      </c>
      <c r="AI70" s="169" t="s">
        <v>395</v>
      </c>
      <c r="AT70" s="169" t="s">
        <v>395</v>
      </c>
      <c r="BE70" s="169" t="s">
        <v>395</v>
      </c>
      <c r="BP70" s="169" t="s">
        <v>395</v>
      </c>
      <c r="CA70" s="169" t="s">
        <v>395</v>
      </c>
      <c r="CL70" s="169" t="s">
        <v>395</v>
      </c>
      <c r="CM70" s="1455" t="s">
        <v>2906</v>
      </c>
      <c r="CW70" s="169" t="s">
        <v>395</v>
      </c>
      <c r="CX70" s="1451" t="s">
        <v>3015</v>
      </c>
      <c r="DH70" s="169" t="s">
        <v>395</v>
      </c>
      <c r="DI70" s="1458"/>
      <c r="DS70" s="169" t="s">
        <v>395</v>
      </c>
      <c r="DT70" s="1455" t="s">
        <v>2896</v>
      </c>
      <c r="ED70" s="169" t="s">
        <v>395</v>
      </c>
      <c r="EO70" s="169" t="s">
        <v>395</v>
      </c>
      <c r="EZ70" s="169" t="s">
        <v>395</v>
      </c>
      <c r="FK70" s="169" t="s">
        <v>395</v>
      </c>
      <c r="FV70" s="169" t="s">
        <v>395</v>
      </c>
      <c r="GG70" s="169" t="s">
        <v>395</v>
      </c>
      <c r="GR70" s="169" t="s">
        <v>395</v>
      </c>
      <c r="HC70" s="169" t="s">
        <v>395</v>
      </c>
      <c r="HN70" s="169" t="s">
        <v>395</v>
      </c>
      <c r="HY70" s="169" t="s">
        <v>395</v>
      </c>
      <c r="IJ70" s="169" t="s">
        <v>395</v>
      </c>
      <c r="IU70" s="169" t="s">
        <v>395</v>
      </c>
    </row>
    <row r="71" spans="1:255" ht="16.5">
      <c r="A71" s="62"/>
      <c r="B71" s="169" t="s">
        <v>395</v>
      </c>
      <c r="M71" s="169" t="s">
        <v>395</v>
      </c>
      <c r="X71" s="169" t="s">
        <v>395</v>
      </c>
      <c r="AI71" s="169" t="s">
        <v>395</v>
      </c>
      <c r="AT71" s="169" t="s">
        <v>395</v>
      </c>
      <c r="BE71" s="169" t="s">
        <v>395</v>
      </c>
      <c r="BP71" s="169" t="s">
        <v>395</v>
      </c>
      <c r="CA71" s="169" t="s">
        <v>395</v>
      </c>
      <c r="CL71" s="169" t="s">
        <v>395</v>
      </c>
      <c r="CM71" s="1455" t="s">
        <v>2907</v>
      </c>
      <c r="CW71" s="169" t="s">
        <v>395</v>
      </c>
      <c r="CX71" s="1451" t="s">
        <v>3016</v>
      </c>
      <c r="DH71" s="169" t="s">
        <v>395</v>
      </c>
      <c r="DI71" s="1468" t="s">
        <v>3520</v>
      </c>
      <c r="DS71" s="169" t="s">
        <v>395</v>
      </c>
      <c r="DT71" s="1457"/>
      <c r="ED71" s="169" t="s">
        <v>395</v>
      </c>
      <c r="EO71" s="169" t="s">
        <v>395</v>
      </c>
      <c r="EZ71" s="169" t="s">
        <v>395</v>
      </c>
      <c r="FK71" s="169" t="s">
        <v>395</v>
      </c>
      <c r="FV71" s="169" t="s">
        <v>395</v>
      </c>
      <c r="GG71" s="169" t="s">
        <v>395</v>
      </c>
      <c r="GR71" s="169" t="s">
        <v>395</v>
      </c>
      <c r="HC71" s="169" t="s">
        <v>395</v>
      </c>
      <c r="HN71" s="169" t="s">
        <v>395</v>
      </c>
      <c r="HY71" s="169" t="s">
        <v>395</v>
      </c>
      <c r="IJ71" s="169" t="s">
        <v>395</v>
      </c>
      <c r="IU71" s="169" t="s">
        <v>395</v>
      </c>
    </row>
    <row r="72" spans="1:255" ht="16.5">
      <c r="A72" s="62"/>
      <c r="B72" s="169" t="s">
        <v>395</v>
      </c>
      <c r="M72" s="169" t="s">
        <v>395</v>
      </c>
      <c r="X72" s="169" t="s">
        <v>395</v>
      </c>
      <c r="AI72" s="169" t="s">
        <v>395</v>
      </c>
      <c r="AT72" s="169" t="s">
        <v>395</v>
      </c>
      <c r="BE72" s="169" t="s">
        <v>395</v>
      </c>
      <c r="BP72" s="169" t="s">
        <v>395</v>
      </c>
      <c r="CA72" s="169" t="s">
        <v>395</v>
      </c>
      <c r="CL72" s="169" t="s">
        <v>395</v>
      </c>
      <c r="CM72" s="1455" t="s">
        <v>2908</v>
      </c>
      <c r="CW72" s="169" t="s">
        <v>395</v>
      </c>
      <c r="CX72" s="1451" t="s">
        <v>3017</v>
      </c>
      <c r="DH72" s="169" t="s">
        <v>395</v>
      </c>
      <c r="DI72" s="1455" t="s">
        <v>2889</v>
      </c>
      <c r="DS72" s="169" t="s">
        <v>395</v>
      </c>
      <c r="DT72" s="1468" t="s">
        <v>3522</v>
      </c>
      <c r="ED72" s="169" t="s">
        <v>395</v>
      </c>
      <c r="EO72" s="169" t="s">
        <v>395</v>
      </c>
      <c r="EZ72" s="169" t="s">
        <v>395</v>
      </c>
      <c r="FK72" s="169" t="s">
        <v>395</v>
      </c>
      <c r="FV72" s="169" t="s">
        <v>395</v>
      </c>
      <c r="GG72" s="169" t="s">
        <v>395</v>
      </c>
      <c r="GR72" s="169" t="s">
        <v>395</v>
      </c>
      <c r="HC72" s="169" t="s">
        <v>395</v>
      </c>
      <c r="HN72" s="169" t="s">
        <v>395</v>
      </c>
      <c r="HY72" s="169" t="s">
        <v>395</v>
      </c>
      <c r="IJ72" s="169" t="s">
        <v>395</v>
      </c>
      <c r="IU72" s="169" t="s">
        <v>395</v>
      </c>
    </row>
    <row r="73" spans="1:255" ht="16.5">
      <c r="A73" s="62"/>
      <c r="B73" s="169" t="s">
        <v>395</v>
      </c>
      <c r="M73" s="169" t="s">
        <v>395</v>
      </c>
      <c r="X73" s="169" t="s">
        <v>395</v>
      </c>
      <c r="AI73" s="169" t="s">
        <v>395</v>
      </c>
      <c r="AT73" s="169" t="s">
        <v>395</v>
      </c>
      <c r="BE73" s="169" t="s">
        <v>395</v>
      </c>
      <c r="BP73" s="169" t="s">
        <v>395</v>
      </c>
      <c r="CA73" s="169" t="s">
        <v>395</v>
      </c>
      <c r="CL73" s="169" t="s">
        <v>395</v>
      </c>
      <c r="CM73" s="1455" t="s">
        <v>2990</v>
      </c>
      <c r="CW73" s="169" t="s">
        <v>395</v>
      </c>
      <c r="CX73" s="1451" t="s">
        <v>3018</v>
      </c>
      <c r="DH73" s="169" t="s">
        <v>395</v>
      </c>
      <c r="DI73" s="1455" t="s">
        <v>2981</v>
      </c>
      <c r="DS73" s="169" t="s">
        <v>395</v>
      </c>
      <c r="DT73" s="1455" t="s">
        <v>2897</v>
      </c>
      <c r="ED73" s="169" t="s">
        <v>395</v>
      </c>
      <c r="EO73" s="169" t="s">
        <v>395</v>
      </c>
      <c r="EZ73" s="169" t="s">
        <v>395</v>
      </c>
      <c r="FK73" s="169" t="s">
        <v>395</v>
      </c>
      <c r="FV73" s="169" t="s">
        <v>395</v>
      </c>
      <c r="GG73" s="169" t="s">
        <v>395</v>
      </c>
      <c r="GR73" s="169" t="s">
        <v>395</v>
      </c>
      <c r="HC73" s="169" t="s">
        <v>395</v>
      </c>
      <c r="HN73" s="169" t="s">
        <v>395</v>
      </c>
      <c r="HY73" s="169" t="s">
        <v>395</v>
      </c>
      <c r="IJ73" s="169" t="s">
        <v>395</v>
      </c>
      <c r="IU73" s="169" t="s">
        <v>395</v>
      </c>
    </row>
    <row r="74" spans="1:255" ht="16.5">
      <c r="A74" s="62"/>
      <c r="B74" s="169" t="s">
        <v>395</v>
      </c>
      <c r="M74" s="169" t="s">
        <v>395</v>
      </c>
      <c r="X74" s="169" t="s">
        <v>395</v>
      </c>
      <c r="AI74" s="169" t="s">
        <v>395</v>
      </c>
      <c r="AT74" s="169" t="s">
        <v>395</v>
      </c>
      <c r="BE74" s="169" t="s">
        <v>395</v>
      </c>
      <c r="BP74" s="169" t="s">
        <v>395</v>
      </c>
      <c r="CA74" s="169" t="s">
        <v>395</v>
      </c>
      <c r="CL74" s="169" t="s">
        <v>395</v>
      </c>
      <c r="CM74" s="1455" t="s">
        <v>2796</v>
      </c>
      <c r="CW74" s="169" t="s">
        <v>395</v>
      </c>
      <c r="CX74" s="1466"/>
      <c r="DH74" s="169" t="s">
        <v>395</v>
      </c>
      <c r="DI74" s="1455" t="s">
        <v>2891</v>
      </c>
      <c r="DS74" s="169" t="s">
        <v>395</v>
      </c>
      <c r="DT74" s="1455" t="s">
        <v>2898</v>
      </c>
      <c r="ED74" s="169" t="s">
        <v>395</v>
      </c>
      <c r="EO74" s="169" t="s">
        <v>395</v>
      </c>
      <c r="EZ74" s="169" t="s">
        <v>395</v>
      </c>
      <c r="FK74" s="169" t="s">
        <v>395</v>
      </c>
      <c r="FV74" s="169" t="s">
        <v>395</v>
      </c>
      <c r="GG74" s="169" t="s">
        <v>395</v>
      </c>
      <c r="GR74" s="169" t="s">
        <v>395</v>
      </c>
      <c r="HC74" s="169" t="s">
        <v>395</v>
      </c>
      <c r="HN74" s="169" t="s">
        <v>395</v>
      </c>
      <c r="HY74" s="169" t="s">
        <v>395</v>
      </c>
      <c r="IJ74" s="169" t="s">
        <v>395</v>
      </c>
      <c r="IU74" s="169" t="s">
        <v>395</v>
      </c>
    </row>
    <row r="75" spans="1:255" ht="16.5">
      <c r="A75" s="62"/>
      <c r="B75" s="169" t="s">
        <v>395</v>
      </c>
      <c r="M75" s="169" t="s">
        <v>395</v>
      </c>
      <c r="X75" s="169" t="s">
        <v>395</v>
      </c>
      <c r="AI75" s="169" t="s">
        <v>395</v>
      </c>
      <c r="AT75" s="169" t="s">
        <v>395</v>
      </c>
      <c r="BE75" s="169" t="s">
        <v>395</v>
      </c>
      <c r="BP75" s="169" t="s">
        <v>395</v>
      </c>
      <c r="CA75" s="169" t="s">
        <v>395</v>
      </c>
      <c r="CL75" s="169" t="s">
        <v>395</v>
      </c>
      <c r="CM75" s="1458"/>
      <c r="CW75" s="169" t="s">
        <v>395</v>
      </c>
      <c r="CX75" s="1453" t="s">
        <v>3523</v>
      </c>
      <c r="DH75" s="169" t="s">
        <v>395</v>
      </c>
      <c r="DI75" s="1455" t="s">
        <v>2892</v>
      </c>
      <c r="DS75" s="169" t="s">
        <v>395</v>
      </c>
      <c r="DT75" s="1455" t="s">
        <v>2950</v>
      </c>
      <c r="ED75" s="169" t="s">
        <v>395</v>
      </c>
      <c r="EO75" s="169" t="s">
        <v>395</v>
      </c>
      <c r="EZ75" s="169" t="s">
        <v>395</v>
      </c>
      <c r="FK75" s="169" t="s">
        <v>395</v>
      </c>
      <c r="FV75" s="169" t="s">
        <v>395</v>
      </c>
      <c r="GG75" s="169" t="s">
        <v>395</v>
      </c>
      <c r="GR75" s="169" t="s">
        <v>395</v>
      </c>
      <c r="HC75" s="169" t="s">
        <v>395</v>
      </c>
      <c r="HN75" s="169" t="s">
        <v>395</v>
      </c>
      <c r="HY75" s="169" t="s">
        <v>395</v>
      </c>
      <c r="IJ75" s="169" t="s">
        <v>395</v>
      </c>
      <c r="IU75" s="169" t="s">
        <v>395</v>
      </c>
    </row>
    <row r="76" spans="1:255" ht="16.5">
      <c r="A76" s="62"/>
      <c r="B76" s="169" t="s">
        <v>395</v>
      </c>
      <c r="M76" s="169" t="s">
        <v>395</v>
      </c>
      <c r="X76" s="169" t="s">
        <v>395</v>
      </c>
      <c r="AI76" s="169" t="s">
        <v>395</v>
      </c>
      <c r="AT76" s="169" t="s">
        <v>395</v>
      </c>
      <c r="BE76" s="169" t="s">
        <v>395</v>
      </c>
      <c r="BP76" s="169" t="s">
        <v>395</v>
      </c>
      <c r="CA76" s="169" t="s">
        <v>395</v>
      </c>
      <c r="CL76" s="169" t="s">
        <v>395</v>
      </c>
      <c r="CM76" s="1457" t="s">
        <v>2797</v>
      </c>
      <c r="CW76" s="169" t="s">
        <v>395</v>
      </c>
      <c r="CX76" s="1451" t="s">
        <v>2906</v>
      </c>
      <c r="DH76" s="169" t="s">
        <v>395</v>
      </c>
      <c r="DI76" s="1455" t="s">
        <v>3007</v>
      </c>
      <c r="DS76" s="169" t="s">
        <v>395</v>
      </c>
      <c r="DT76" s="1455" t="s">
        <v>2902</v>
      </c>
      <c r="ED76" s="169" t="s">
        <v>395</v>
      </c>
      <c r="EO76" s="169" t="s">
        <v>395</v>
      </c>
      <c r="EZ76" s="169" t="s">
        <v>395</v>
      </c>
      <c r="FK76" s="169" t="s">
        <v>395</v>
      </c>
      <c r="FV76" s="169" t="s">
        <v>395</v>
      </c>
      <c r="GG76" s="169" t="s">
        <v>395</v>
      </c>
      <c r="GR76" s="169" t="s">
        <v>395</v>
      </c>
      <c r="HC76" s="169" t="s">
        <v>395</v>
      </c>
      <c r="HN76" s="169" t="s">
        <v>395</v>
      </c>
      <c r="HY76" s="169" t="s">
        <v>395</v>
      </c>
      <c r="IJ76" s="169" t="s">
        <v>395</v>
      </c>
      <c r="IU76" s="169" t="s">
        <v>395</v>
      </c>
    </row>
    <row r="77" spans="1:255" ht="16.5">
      <c r="A77" s="62"/>
      <c r="B77" s="169" t="s">
        <v>395</v>
      </c>
      <c r="M77" s="169" t="s">
        <v>395</v>
      </c>
      <c r="X77" s="169" t="s">
        <v>395</v>
      </c>
      <c r="AI77" s="169" t="s">
        <v>395</v>
      </c>
      <c r="AT77" s="169" t="s">
        <v>395</v>
      </c>
      <c r="BE77" s="169" t="s">
        <v>395</v>
      </c>
      <c r="BP77" s="169" t="s">
        <v>395</v>
      </c>
      <c r="CA77" s="169" t="s">
        <v>395</v>
      </c>
      <c r="CL77" s="169" t="s">
        <v>395</v>
      </c>
      <c r="CM77" s="897" t="s">
        <v>2768</v>
      </c>
      <c r="CW77" s="169" t="s">
        <v>395</v>
      </c>
      <c r="CX77" s="1451" t="s">
        <v>3019</v>
      </c>
      <c r="DH77" s="169" t="s">
        <v>395</v>
      </c>
      <c r="DI77" s="1455" t="s">
        <v>2894</v>
      </c>
      <c r="DS77" s="169" t="s">
        <v>395</v>
      </c>
      <c r="DT77" s="1463"/>
      <c r="ED77" s="169" t="s">
        <v>395</v>
      </c>
      <c r="EO77" s="169" t="s">
        <v>395</v>
      </c>
      <c r="EZ77" s="169" t="s">
        <v>395</v>
      </c>
      <c r="FK77" s="169" t="s">
        <v>395</v>
      </c>
      <c r="FV77" s="169" t="s">
        <v>395</v>
      </c>
      <c r="GG77" s="169" t="s">
        <v>395</v>
      </c>
      <c r="GR77" s="169" t="s">
        <v>395</v>
      </c>
      <c r="HC77" s="169" t="s">
        <v>395</v>
      </c>
      <c r="HN77" s="169" t="s">
        <v>395</v>
      </c>
      <c r="HY77" s="169" t="s">
        <v>395</v>
      </c>
      <c r="IJ77" s="169" t="s">
        <v>395</v>
      </c>
      <c r="IU77" s="169" t="s">
        <v>395</v>
      </c>
    </row>
    <row r="78" spans="1:255" ht="16.5">
      <c r="A78" s="62"/>
      <c r="B78" s="169" t="s">
        <v>395</v>
      </c>
      <c r="M78" s="169" t="s">
        <v>395</v>
      </c>
      <c r="X78" s="169" t="s">
        <v>395</v>
      </c>
      <c r="AI78" s="169" t="s">
        <v>395</v>
      </c>
      <c r="AT78" s="169" t="s">
        <v>395</v>
      </c>
      <c r="BE78" s="169" t="s">
        <v>395</v>
      </c>
      <c r="BP78" s="169" t="s">
        <v>395</v>
      </c>
      <c r="CA78" s="169" t="s">
        <v>395</v>
      </c>
      <c r="CL78" s="169" t="s">
        <v>395</v>
      </c>
      <c r="CM78" s="1454"/>
      <c r="CW78" s="169" t="s">
        <v>395</v>
      </c>
      <c r="CX78" s="1451" t="s">
        <v>2796</v>
      </c>
      <c r="DH78" s="169" t="s">
        <v>395</v>
      </c>
      <c r="DI78" s="1455" t="s">
        <v>2895</v>
      </c>
      <c r="DS78" s="169" t="s">
        <v>395</v>
      </c>
      <c r="DT78" s="1468" t="s">
        <v>3523</v>
      </c>
      <c r="ED78" s="169" t="s">
        <v>395</v>
      </c>
      <c r="EO78" s="169" t="s">
        <v>395</v>
      </c>
      <c r="EZ78" s="169" t="s">
        <v>395</v>
      </c>
      <c r="FK78" s="169" t="s">
        <v>395</v>
      </c>
      <c r="FV78" s="169" t="s">
        <v>395</v>
      </c>
      <c r="GG78" s="169" t="s">
        <v>395</v>
      </c>
      <c r="GR78" s="169" t="s">
        <v>395</v>
      </c>
      <c r="HC78" s="169" t="s">
        <v>395</v>
      </c>
      <c r="HN78" s="169" t="s">
        <v>395</v>
      </c>
      <c r="HY78" s="169" t="s">
        <v>395</v>
      </c>
      <c r="IJ78" s="169" t="s">
        <v>395</v>
      </c>
      <c r="IU78" s="169" t="s">
        <v>395</v>
      </c>
    </row>
    <row r="79" spans="1:255" ht="16.5">
      <c r="A79" s="62"/>
      <c r="B79" s="169" t="s">
        <v>395</v>
      </c>
      <c r="M79" s="169" t="s">
        <v>395</v>
      </c>
      <c r="X79" s="169" t="s">
        <v>395</v>
      </c>
      <c r="AI79" s="169" t="s">
        <v>395</v>
      </c>
      <c r="AT79" s="169" t="s">
        <v>395</v>
      </c>
      <c r="BE79" s="169" t="s">
        <v>395</v>
      </c>
      <c r="BP79" s="169" t="s">
        <v>395</v>
      </c>
      <c r="CA79" s="169" t="s">
        <v>395</v>
      </c>
      <c r="CL79" s="169" t="s">
        <v>395</v>
      </c>
      <c r="CW79" s="169" t="s">
        <v>395</v>
      </c>
      <c r="CX79" s="1467"/>
      <c r="DH79" s="169" t="s">
        <v>395</v>
      </c>
      <c r="DI79" s="1455" t="s">
        <v>2896</v>
      </c>
      <c r="DS79" s="169" t="s">
        <v>395</v>
      </c>
      <c r="DT79" s="1455" t="s">
        <v>2906</v>
      </c>
      <c r="ED79" s="169" t="s">
        <v>395</v>
      </c>
      <c r="EO79" s="169" t="s">
        <v>395</v>
      </c>
      <c r="EZ79" s="169" t="s">
        <v>395</v>
      </c>
      <c r="FK79" s="169" t="s">
        <v>395</v>
      </c>
      <c r="FV79" s="169" t="s">
        <v>395</v>
      </c>
      <c r="GG79" s="169" t="s">
        <v>395</v>
      </c>
      <c r="GR79" s="169" t="s">
        <v>395</v>
      </c>
      <c r="HC79" s="169" t="s">
        <v>395</v>
      </c>
      <c r="HN79" s="169" t="s">
        <v>395</v>
      </c>
      <c r="HY79" s="169" t="s">
        <v>395</v>
      </c>
      <c r="IJ79" s="169" t="s">
        <v>395</v>
      </c>
      <c r="IU79" s="169" t="s">
        <v>395</v>
      </c>
    </row>
    <row r="80" spans="1:255" ht="16.5">
      <c r="A80" s="62"/>
      <c r="B80" s="169" t="s">
        <v>395</v>
      </c>
      <c r="M80" s="169" t="s">
        <v>395</v>
      </c>
      <c r="X80" s="169" t="s">
        <v>395</v>
      </c>
      <c r="AI80" s="169" t="s">
        <v>395</v>
      </c>
      <c r="AT80" s="169" t="s">
        <v>395</v>
      </c>
      <c r="BE80" s="169" t="s">
        <v>395</v>
      </c>
      <c r="BP80" s="169" t="s">
        <v>395</v>
      </c>
      <c r="CA80" s="169" t="s">
        <v>395</v>
      </c>
      <c r="CL80" s="169" t="s">
        <v>395</v>
      </c>
      <c r="CW80" s="169" t="s">
        <v>395</v>
      </c>
      <c r="CX80" s="1453" t="s">
        <v>2797</v>
      </c>
      <c r="DH80" s="169" t="s">
        <v>395</v>
      </c>
      <c r="DI80" s="1457"/>
      <c r="DS80" s="169" t="s">
        <v>395</v>
      </c>
      <c r="DT80" s="1455" t="s">
        <v>2908</v>
      </c>
      <c r="ED80" s="169" t="s">
        <v>395</v>
      </c>
      <c r="EO80" s="169" t="s">
        <v>395</v>
      </c>
      <c r="EZ80" s="169" t="s">
        <v>395</v>
      </c>
      <c r="FK80" s="169" t="s">
        <v>395</v>
      </c>
      <c r="FV80" s="169" t="s">
        <v>395</v>
      </c>
      <c r="GG80" s="169" t="s">
        <v>395</v>
      </c>
      <c r="GR80" s="169" t="s">
        <v>395</v>
      </c>
      <c r="HC80" s="169" t="s">
        <v>395</v>
      </c>
      <c r="HN80" s="169" t="s">
        <v>395</v>
      </c>
      <c r="HY80" s="169" t="s">
        <v>395</v>
      </c>
      <c r="IJ80" s="169" t="s">
        <v>395</v>
      </c>
      <c r="IU80" s="169" t="s">
        <v>395</v>
      </c>
    </row>
    <row r="81" spans="1:255" ht="16.5">
      <c r="A81" s="62"/>
      <c r="B81" s="169" t="s">
        <v>395</v>
      </c>
      <c r="M81" s="169" t="s">
        <v>395</v>
      </c>
      <c r="X81" s="169" t="s">
        <v>395</v>
      </c>
      <c r="AI81" s="169" t="s">
        <v>395</v>
      </c>
      <c r="AT81" s="169" t="s">
        <v>395</v>
      </c>
      <c r="BE81" s="169" t="s">
        <v>395</v>
      </c>
      <c r="BP81" s="169" t="s">
        <v>395</v>
      </c>
      <c r="CA81" s="169" t="s">
        <v>395</v>
      </c>
      <c r="CL81" s="169" t="s">
        <v>395</v>
      </c>
      <c r="CW81" s="169" t="s">
        <v>395</v>
      </c>
      <c r="CX81" s="1450" t="s">
        <v>2768</v>
      </c>
      <c r="DH81" s="169" t="s">
        <v>395</v>
      </c>
      <c r="DI81" s="1468" t="s">
        <v>3522</v>
      </c>
      <c r="DS81" s="169" t="s">
        <v>395</v>
      </c>
      <c r="DT81" s="1455" t="s">
        <v>2909</v>
      </c>
      <c r="ED81" s="169" t="s">
        <v>395</v>
      </c>
      <c r="EO81" s="169" t="s">
        <v>395</v>
      </c>
      <c r="EZ81" s="169" t="s">
        <v>395</v>
      </c>
      <c r="FK81" s="169" t="s">
        <v>395</v>
      </c>
      <c r="FV81" s="169" t="s">
        <v>395</v>
      </c>
      <c r="GG81" s="169" t="s">
        <v>395</v>
      </c>
      <c r="GR81" s="169" t="s">
        <v>395</v>
      </c>
      <c r="HC81" s="169" t="s">
        <v>395</v>
      </c>
      <c r="HN81" s="169" t="s">
        <v>395</v>
      </c>
      <c r="HY81" s="169" t="s">
        <v>395</v>
      </c>
      <c r="IJ81" s="169" t="s">
        <v>395</v>
      </c>
      <c r="IU81" s="169" t="s">
        <v>395</v>
      </c>
    </row>
    <row r="82" spans="1:255" ht="16.5">
      <c r="A82" s="62"/>
      <c r="B82" s="169" t="s">
        <v>395</v>
      </c>
      <c r="M82" s="169" t="s">
        <v>395</v>
      </c>
      <c r="X82" s="169" t="s">
        <v>395</v>
      </c>
      <c r="AI82" s="169" t="s">
        <v>395</v>
      </c>
      <c r="AT82" s="169" t="s">
        <v>395</v>
      </c>
      <c r="BE82" s="169" t="s">
        <v>395</v>
      </c>
      <c r="BP82" s="169" t="s">
        <v>395</v>
      </c>
      <c r="CA82" s="169" t="s">
        <v>395</v>
      </c>
      <c r="CL82" s="169" t="s">
        <v>395</v>
      </c>
      <c r="CW82" s="169" t="s">
        <v>395</v>
      </c>
      <c r="CX82" s="1450" t="s">
        <v>3020</v>
      </c>
      <c r="DH82" s="169" t="s">
        <v>395</v>
      </c>
      <c r="DI82" s="1455" t="s">
        <v>2897</v>
      </c>
      <c r="DS82" s="169" t="s">
        <v>395</v>
      </c>
      <c r="DT82" s="1455" t="s">
        <v>2796</v>
      </c>
      <c r="ED82" s="169" t="s">
        <v>395</v>
      </c>
      <c r="EO82" s="169" t="s">
        <v>395</v>
      </c>
      <c r="EZ82" s="169" t="s">
        <v>395</v>
      </c>
      <c r="FK82" s="169" t="s">
        <v>395</v>
      </c>
      <c r="FV82" s="169" t="s">
        <v>395</v>
      </c>
      <c r="GG82" s="169" t="s">
        <v>395</v>
      </c>
      <c r="GR82" s="169" t="s">
        <v>395</v>
      </c>
      <c r="HC82" s="169" t="s">
        <v>395</v>
      </c>
      <c r="HN82" s="169" t="s">
        <v>395</v>
      </c>
      <c r="HY82" s="169" t="s">
        <v>395</v>
      </c>
      <c r="IJ82" s="169" t="s">
        <v>395</v>
      </c>
      <c r="IU82" s="169" t="s">
        <v>395</v>
      </c>
    </row>
    <row r="83" spans="1:255" ht="16.5">
      <c r="A83" s="62"/>
      <c r="B83" s="169" t="s">
        <v>395</v>
      </c>
      <c r="M83" s="169" t="s">
        <v>395</v>
      </c>
      <c r="X83" s="169" t="s">
        <v>395</v>
      </c>
      <c r="AI83" s="169" t="s">
        <v>395</v>
      </c>
      <c r="AT83" s="169" t="s">
        <v>395</v>
      </c>
      <c r="BE83" s="169" t="s">
        <v>395</v>
      </c>
      <c r="BP83" s="169" t="s">
        <v>395</v>
      </c>
      <c r="CA83" s="169" t="s">
        <v>395</v>
      </c>
      <c r="CL83" s="169" t="s">
        <v>395</v>
      </c>
      <c r="CW83" s="169" t="s">
        <v>395</v>
      </c>
      <c r="CX83" s="1450" t="s">
        <v>3021</v>
      </c>
      <c r="DH83" s="169" t="s">
        <v>395</v>
      </c>
      <c r="DI83" s="1455" t="s">
        <v>2898</v>
      </c>
      <c r="DS83" s="169" t="s">
        <v>395</v>
      </c>
      <c r="DT83" s="1454"/>
      <c r="ED83" s="169" t="s">
        <v>395</v>
      </c>
      <c r="EO83" s="169" t="s">
        <v>395</v>
      </c>
      <c r="EZ83" s="169" t="s">
        <v>395</v>
      </c>
      <c r="FK83" s="169" t="s">
        <v>395</v>
      </c>
      <c r="FV83" s="169" t="s">
        <v>395</v>
      </c>
      <c r="GG83" s="169" t="s">
        <v>395</v>
      </c>
      <c r="GR83" s="169" t="s">
        <v>395</v>
      </c>
      <c r="HC83" s="169" t="s">
        <v>395</v>
      </c>
      <c r="HN83" s="169" t="s">
        <v>395</v>
      </c>
      <c r="HY83" s="169" t="s">
        <v>395</v>
      </c>
      <c r="IJ83" s="169" t="s">
        <v>395</v>
      </c>
      <c r="IU83" s="169" t="s">
        <v>395</v>
      </c>
    </row>
    <row r="84" spans="1:255" ht="16.5">
      <c r="A84" s="62"/>
      <c r="B84" s="169" t="s">
        <v>395</v>
      </c>
      <c r="M84" s="169" t="s">
        <v>395</v>
      </c>
      <c r="X84" s="169" t="s">
        <v>395</v>
      </c>
      <c r="AI84" s="169" t="s">
        <v>395</v>
      </c>
      <c r="AT84" s="169" t="s">
        <v>395</v>
      </c>
      <c r="BE84" s="169" t="s">
        <v>395</v>
      </c>
      <c r="BP84" s="169" t="s">
        <v>395</v>
      </c>
      <c r="CA84" s="169" t="s">
        <v>395</v>
      </c>
      <c r="CL84" s="169" t="s">
        <v>395</v>
      </c>
      <c r="CW84" s="169" t="s">
        <v>395</v>
      </c>
      <c r="CX84" s="1450" t="s">
        <v>3022</v>
      </c>
      <c r="DH84" s="169" t="s">
        <v>395</v>
      </c>
      <c r="DI84" s="1455" t="s">
        <v>2899</v>
      </c>
      <c r="DS84" s="169" t="s">
        <v>395</v>
      </c>
      <c r="DT84" s="1457" t="s">
        <v>2797</v>
      </c>
      <c r="ED84" s="169" t="s">
        <v>395</v>
      </c>
      <c r="EO84" s="169" t="s">
        <v>395</v>
      </c>
      <c r="EZ84" s="169" t="s">
        <v>395</v>
      </c>
      <c r="FK84" s="169" t="s">
        <v>395</v>
      </c>
      <c r="FV84" s="169" t="s">
        <v>395</v>
      </c>
      <c r="GG84" s="169" t="s">
        <v>395</v>
      </c>
      <c r="GR84" s="169" t="s">
        <v>395</v>
      </c>
      <c r="HC84" s="169" t="s">
        <v>395</v>
      </c>
      <c r="HN84" s="169" t="s">
        <v>395</v>
      </c>
      <c r="HY84" s="169" t="s">
        <v>395</v>
      </c>
      <c r="IJ84" s="169" t="s">
        <v>395</v>
      </c>
      <c r="IU84" s="169" t="s">
        <v>395</v>
      </c>
    </row>
    <row r="85" spans="1:255" ht="16.5">
      <c r="A85" s="62"/>
      <c r="B85" s="169" t="s">
        <v>395</v>
      </c>
      <c r="M85" s="169" t="s">
        <v>395</v>
      </c>
      <c r="X85" s="169" t="s">
        <v>395</v>
      </c>
      <c r="AI85" s="169" t="s">
        <v>395</v>
      </c>
      <c r="AT85" s="169" t="s">
        <v>395</v>
      </c>
      <c r="BE85" s="169" t="s">
        <v>395</v>
      </c>
      <c r="BP85" s="169" t="s">
        <v>395</v>
      </c>
      <c r="CA85" s="169" t="s">
        <v>395</v>
      </c>
      <c r="CL85" s="169" t="s">
        <v>395</v>
      </c>
      <c r="CW85" s="169" t="s">
        <v>395</v>
      </c>
      <c r="CX85" s="1450" t="s">
        <v>3023</v>
      </c>
      <c r="DH85" s="169" t="s">
        <v>395</v>
      </c>
      <c r="DI85" s="1455" t="s">
        <v>2902</v>
      </c>
      <c r="DS85" s="169" t="s">
        <v>395</v>
      </c>
      <c r="DT85" s="897" t="s">
        <v>2768</v>
      </c>
      <c r="ED85" s="169" t="s">
        <v>395</v>
      </c>
      <c r="EO85" s="169" t="s">
        <v>395</v>
      </c>
      <c r="EZ85" s="169" t="s">
        <v>395</v>
      </c>
      <c r="FK85" s="169" t="s">
        <v>395</v>
      </c>
      <c r="FV85" s="169" t="s">
        <v>395</v>
      </c>
      <c r="GG85" s="169" t="s">
        <v>395</v>
      </c>
      <c r="GR85" s="169" t="s">
        <v>395</v>
      </c>
      <c r="HC85" s="169" t="s">
        <v>395</v>
      </c>
      <c r="HN85" s="169" t="s">
        <v>395</v>
      </c>
      <c r="HY85" s="169" t="s">
        <v>395</v>
      </c>
      <c r="IJ85" s="169" t="s">
        <v>395</v>
      </c>
      <c r="IU85" s="169" t="s">
        <v>395</v>
      </c>
    </row>
    <row r="86" spans="1:255" ht="16.5">
      <c r="A86" s="62"/>
      <c r="B86" s="169" t="s">
        <v>395</v>
      </c>
      <c r="M86" s="169" t="s">
        <v>395</v>
      </c>
      <c r="X86" s="169" t="s">
        <v>395</v>
      </c>
      <c r="AI86" s="169" t="s">
        <v>395</v>
      </c>
      <c r="AT86" s="169" t="s">
        <v>395</v>
      </c>
      <c r="BE86" s="169" t="s">
        <v>395</v>
      </c>
      <c r="BP86" s="169" t="s">
        <v>395</v>
      </c>
      <c r="CA86" s="169" t="s">
        <v>395</v>
      </c>
      <c r="CL86" s="169" t="s">
        <v>395</v>
      </c>
      <c r="CW86" s="169" t="s">
        <v>395</v>
      </c>
      <c r="CX86" s="1450" t="s">
        <v>3024</v>
      </c>
      <c r="DH86" s="169" t="s">
        <v>395</v>
      </c>
      <c r="DI86" s="1463"/>
      <c r="DS86" s="169" t="s">
        <v>395</v>
      </c>
      <c r="ED86" s="169" t="s">
        <v>395</v>
      </c>
      <c r="EO86" s="169" t="s">
        <v>395</v>
      </c>
      <c r="EZ86" s="169" t="s">
        <v>395</v>
      </c>
      <c r="FK86" s="169" t="s">
        <v>395</v>
      </c>
      <c r="FV86" s="169" t="s">
        <v>395</v>
      </c>
      <c r="GG86" s="169" t="s">
        <v>395</v>
      </c>
      <c r="GR86" s="169" t="s">
        <v>395</v>
      </c>
      <c r="HC86" s="169" t="s">
        <v>395</v>
      </c>
      <c r="HN86" s="169" t="s">
        <v>395</v>
      </c>
      <c r="HY86" s="169" t="s">
        <v>395</v>
      </c>
      <c r="IJ86" s="169" t="s">
        <v>395</v>
      </c>
      <c r="IU86" s="169" t="s">
        <v>395</v>
      </c>
    </row>
    <row r="87" spans="1:255" ht="16.5">
      <c r="A87" s="62"/>
      <c r="B87" s="169" t="s">
        <v>395</v>
      </c>
      <c r="M87" s="169" t="s">
        <v>395</v>
      </c>
      <c r="X87" s="169" t="s">
        <v>395</v>
      </c>
      <c r="AI87" s="169" t="s">
        <v>395</v>
      </c>
      <c r="AT87" s="169" t="s">
        <v>395</v>
      </c>
      <c r="BE87" s="169" t="s">
        <v>395</v>
      </c>
      <c r="BP87" s="169" t="s">
        <v>395</v>
      </c>
      <c r="CA87" s="169" t="s">
        <v>395</v>
      </c>
      <c r="CL87" s="169" t="s">
        <v>395</v>
      </c>
      <c r="CW87" s="169" t="s">
        <v>395</v>
      </c>
      <c r="CX87" s="1450" t="s">
        <v>3025</v>
      </c>
      <c r="DH87" s="169" t="s">
        <v>395</v>
      </c>
      <c r="DI87" s="1468" t="s">
        <v>3523</v>
      </c>
      <c r="DS87" s="169" t="s">
        <v>395</v>
      </c>
      <c r="ED87" s="169" t="s">
        <v>395</v>
      </c>
      <c r="EO87" s="169" t="s">
        <v>395</v>
      </c>
      <c r="EZ87" s="169" t="s">
        <v>395</v>
      </c>
      <c r="FK87" s="169" t="s">
        <v>395</v>
      </c>
      <c r="FV87" s="169" t="s">
        <v>395</v>
      </c>
      <c r="GG87" s="169" t="s">
        <v>395</v>
      </c>
      <c r="GR87" s="169" t="s">
        <v>395</v>
      </c>
      <c r="HC87" s="169" t="s">
        <v>395</v>
      </c>
      <c r="HN87" s="169" t="s">
        <v>395</v>
      </c>
      <c r="HY87" s="169" t="s">
        <v>395</v>
      </c>
      <c r="IJ87" s="169" t="s">
        <v>395</v>
      </c>
      <c r="IU87" s="169" t="s">
        <v>395</v>
      </c>
    </row>
    <row r="88" spans="1:255" ht="16.5">
      <c r="A88" s="62"/>
      <c r="B88" s="169" t="s">
        <v>395</v>
      </c>
      <c r="M88" s="169" t="s">
        <v>395</v>
      </c>
      <c r="X88" s="169" t="s">
        <v>395</v>
      </c>
      <c r="AI88" s="169" t="s">
        <v>395</v>
      </c>
      <c r="AT88" s="169" t="s">
        <v>395</v>
      </c>
      <c r="BE88" s="169" t="s">
        <v>395</v>
      </c>
      <c r="BP88" s="169" t="s">
        <v>395</v>
      </c>
      <c r="CA88" s="169" t="s">
        <v>395</v>
      </c>
      <c r="CL88" s="169" t="s">
        <v>395</v>
      </c>
      <c r="CW88" s="169" t="s">
        <v>395</v>
      </c>
      <c r="CX88" s="1450" t="s">
        <v>3026</v>
      </c>
      <c r="DH88" s="169" t="s">
        <v>395</v>
      </c>
      <c r="DI88" s="1455" t="s">
        <v>2904</v>
      </c>
      <c r="DS88" s="169" t="s">
        <v>395</v>
      </c>
      <c r="ED88" s="169" t="s">
        <v>395</v>
      </c>
      <c r="EO88" s="169" t="s">
        <v>395</v>
      </c>
      <c r="EZ88" s="169" t="s">
        <v>395</v>
      </c>
      <c r="FK88" s="169" t="s">
        <v>395</v>
      </c>
      <c r="FV88" s="169" t="s">
        <v>395</v>
      </c>
      <c r="GG88" s="169" t="s">
        <v>395</v>
      </c>
      <c r="GR88" s="169" t="s">
        <v>395</v>
      </c>
      <c r="HC88" s="169" t="s">
        <v>395</v>
      </c>
      <c r="HN88" s="169" t="s">
        <v>395</v>
      </c>
      <c r="HY88" s="169" t="s">
        <v>395</v>
      </c>
      <c r="IJ88" s="169" t="s">
        <v>395</v>
      </c>
      <c r="IU88" s="169" t="s">
        <v>395</v>
      </c>
    </row>
    <row r="89" spans="1:255" ht="16.5">
      <c r="A89" s="62"/>
      <c r="B89" s="169" t="s">
        <v>395</v>
      </c>
      <c r="M89" s="169" t="s">
        <v>395</v>
      </c>
      <c r="X89" s="169" t="s">
        <v>395</v>
      </c>
      <c r="AI89" s="169" t="s">
        <v>395</v>
      </c>
      <c r="AT89" s="169" t="s">
        <v>395</v>
      </c>
      <c r="BE89" s="169" t="s">
        <v>395</v>
      </c>
      <c r="BP89" s="169" t="s">
        <v>395</v>
      </c>
      <c r="CA89" s="169" t="s">
        <v>395</v>
      </c>
      <c r="CL89" s="169" t="s">
        <v>395</v>
      </c>
      <c r="CW89" s="169" t="s">
        <v>395</v>
      </c>
      <c r="DH89" s="169" t="s">
        <v>395</v>
      </c>
      <c r="DI89" s="1455" t="s">
        <v>2905</v>
      </c>
      <c r="DS89" s="169" t="s">
        <v>395</v>
      </c>
      <c r="ED89" s="169" t="s">
        <v>395</v>
      </c>
      <c r="EO89" s="169" t="s">
        <v>395</v>
      </c>
      <c r="EZ89" s="169" t="s">
        <v>395</v>
      </c>
      <c r="FK89" s="169" t="s">
        <v>395</v>
      </c>
      <c r="FV89" s="169" t="s">
        <v>395</v>
      </c>
      <c r="GG89" s="169" t="s">
        <v>395</v>
      </c>
      <c r="GR89" s="169" t="s">
        <v>395</v>
      </c>
      <c r="HC89" s="169" t="s">
        <v>395</v>
      </c>
      <c r="HN89" s="169" t="s">
        <v>395</v>
      </c>
      <c r="HY89" s="169" t="s">
        <v>395</v>
      </c>
      <c r="IJ89" s="169" t="s">
        <v>395</v>
      </c>
      <c r="IU89" s="169" t="s">
        <v>395</v>
      </c>
    </row>
    <row r="90" spans="1:255" ht="16.5">
      <c r="A90" s="62"/>
      <c r="B90" s="169" t="s">
        <v>395</v>
      </c>
      <c r="M90" s="169" t="s">
        <v>395</v>
      </c>
      <c r="X90" s="169" t="s">
        <v>395</v>
      </c>
      <c r="AI90" s="169" t="s">
        <v>395</v>
      </c>
      <c r="AT90" s="169" t="s">
        <v>395</v>
      </c>
      <c r="BE90" s="169" t="s">
        <v>395</v>
      </c>
      <c r="BP90" s="169" t="s">
        <v>395</v>
      </c>
      <c r="CA90" s="169" t="s">
        <v>395</v>
      </c>
      <c r="CL90" s="169" t="s">
        <v>395</v>
      </c>
      <c r="CW90" s="169" t="s">
        <v>395</v>
      </c>
      <c r="DH90" s="169" t="s">
        <v>395</v>
      </c>
      <c r="DI90" s="1455" t="s">
        <v>2906</v>
      </c>
      <c r="DS90" s="169" t="s">
        <v>395</v>
      </c>
      <c r="ED90" s="169" t="s">
        <v>395</v>
      </c>
      <c r="EO90" s="169" t="s">
        <v>395</v>
      </c>
      <c r="EZ90" s="169" t="s">
        <v>395</v>
      </c>
      <c r="FK90" s="169" t="s">
        <v>395</v>
      </c>
      <c r="FV90" s="169" t="s">
        <v>395</v>
      </c>
      <c r="GG90" s="169" t="s">
        <v>395</v>
      </c>
      <c r="GR90" s="169" t="s">
        <v>395</v>
      </c>
      <c r="HC90" s="169" t="s">
        <v>395</v>
      </c>
      <c r="HN90" s="169" t="s">
        <v>395</v>
      </c>
      <c r="HY90" s="169" t="s">
        <v>395</v>
      </c>
      <c r="IJ90" s="169" t="s">
        <v>395</v>
      </c>
      <c r="IU90" s="169" t="s">
        <v>395</v>
      </c>
    </row>
    <row r="91" spans="1:255" ht="16.5">
      <c r="A91" s="62"/>
      <c r="B91" s="169" t="s">
        <v>395</v>
      </c>
      <c r="M91" s="169" t="s">
        <v>395</v>
      </c>
      <c r="X91" s="169" t="s">
        <v>395</v>
      </c>
      <c r="AI91" s="169" t="s">
        <v>395</v>
      </c>
      <c r="AT91" s="169" t="s">
        <v>395</v>
      </c>
      <c r="BE91" s="169" t="s">
        <v>395</v>
      </c>
      <c r="BP91" s="169" t="s">
        <v>395</v>
      </c>
      <c r="CA91" s="169" t="s">
        <v>395</v>
      </c>
      <c r="CL91" s="169" t="s">
        <v>395</v>
      </c>
      <c r="CW91" s="169" t="s">
        <v>395</v>
      </c>
      <c r="DH91" s="169" t="s">
        <v>395</v>
      </c>
      <c r="DI91" s="1455" t="s">
        <v>2907</v>
      </c>
      <c r="DS91" s="169" t="s">
        <v>395</v>
      </c>
      <c r="ED91" s="169" t="s">
        <v>395</v>
      </c>
      <c r="EO91" s="169" t="s">
        <v>395</v>
      </c>
      <c r="EZ91" s="169" t="s">
        <v>395</v>
      </c>
      <c r="FK91" s="169" t="s">
        <v>395</v>
      </c>
      <c r="FV91" s="169" t="s">
        <v>395</v>
      </c>
      <c r="GG91" s="169" t="s">
        <v>395</v>
      </c>
      <c r="GR91" s="169" t="s">
        <v>395</v>
      </c>
      <c r="HC91" s="169" t="s">
        <v>395</v>
      </c>
      <c r="HN91" s="169" t="s">
        <v>395</v>
      </c>
      <c r="HY91" s="169" t="s">
        <v>395</v>
      </c>
      <c r="IJ91" s="169" t="s">
        <v>395</v>
      </c>
      <c r="IU91" s="169" t="s">
        <v>395</v>
      </c>
    </row>
    <row r="92" spans="1:255" ht="16.5">
      <c r="A92" s="62"/>
      <c r="B92" s="169" t="s">
        <v>395</v>
      </c>
      <c r="M92" s="169" t="s">
        <v>395</v>
      </c>
      <c r="X92" s="169" t="s">
        <v>395</v>
      </c>
      <c r="AI92" s="169" t="s">
        <v>395</v>
      </c>
      <c r="AT92" s="169" t="s">
        <v>395</v>
      </c>
      <c r="BE92" s="169" t="s">
        <v>395</v>
      </c>
      <c r="BP92" s="169" t="s">
        <v>395</v>
      </c>
      <c r="CA92" s="169" t="s">
        <v>395</v>
      </c>
      <c r="CL92" s="169" t="s">
        <v>395</v>
      </c>
      <c r="CW92" s="169" t="s">
        <v>395</v>
      </c>
      <c r="DH92" s="169" t="s">
        <v>395</v>
      </c>
      <c r="DI92" s="1455" t="s">
        <v>2908</v>
      </c>
      <c r="DS92" s="169" t="s">
        <v>395</v>
      </c>
      <c r="ED92" s="169" t="s">
        <v>395</v>
      </c>
      <c r="EO92" s="169" t="s">
        <v>395</v>
      </c>
      <c r="EZ92" s="169" t="s">
        <v>395</v>
      </c>
      <c r="FK92" s="169" t="s">
        <v>395</v>
      </c>
      <c r="FV92" s="169" t="s">
        <v>395</v>
      </c>
      <c r="GG92" s="169" t="s">
        <v>395</v>
      </c>
      <c r="GR92" s="169" t="s">
        <v>395</v>
      </c>
      <c r="HC92" s="169" t="s">
        <v>395</v>
      </c>
      <c r="HN92" s="169" t="s">
        <v>395</v>
      </c>
      <c r="HY92" s="169" t="s">
        <v>395</v>
      </c>
      <c r="IJ92" s="169" t="s">
        <v>395</v>
      </c>
      <c r="IU92" s="169" t="s">
        <v>395</v>
      </c>
    </row>
    <row r="93" spans="1:255" ht="16.5">
      <c r="A93" s="62"/>
      <c r="B93" s="169" t="s">
        <v>395</v>
      </c>
      <c r="M93" s="169" t="s">
        <v>395</v>
      </c>
      <c r="X93" s="169" t="s">
        <v>395</v>
      </c>
      <c r="AI93" s="169" t="s">
        <v>395</v>
      </c>
      <c r="AT93" s="169" t="s">
        <v>395</v>
      </c>
      <c r="BE93" s="169" t="s">
        <v>395</v>
      </c>
      <c r="BP93" s="169" t="s">
        <v>395</v>
      </c>
      <c r="CA93" s="169" t="s">
        <v>395</v>
      </c>
      <c r="CL93" s="169" t="s">
        <v>395</v>
      </c>
      <c r="CW93" s="169" t="s">
        <v>395</v>
      </c>
      <c r="DH93" s="169" t="s">
        <v>395</v>
      </c>
      <c r="DI93" s="1455" t="s">
        <v>2909</v>
      </c>
      <c r="DS93" s="169" t="s">
        <v>395</v>
      </c>
      <c r="ED93" s="169" t="s">
        <v>395</v>
      </c>
      <c r="EO93" s="169" t="s">
        <v>395</v>
      </c>
      <c r="EZ93" s="169" t="s">
        <v>395</v>
      </c>
      <c r="FK93" s="169" t="s">
        <v>395</v>
      </c>
      <c r="FV93" s="169" t="s">
        <v>395</v>
      </c>
      <c r="GG93" s="169" t="s">
        <v>395</v>
      </c>
      <c r="GR93" s="169" t="s">
        <v>395</v>
      </c>
      <c r="HC93" s="169" t="s">
        <v>395</v>
      </c>
      <c r="HN93" s="169" t="s">
        <v>395</v>
      </c>
      <c r="HY93" s="169" t="s">
        <v>395</v>
      </c>
      <c r="IJ93" s="169" t="s">
        <v>395</v>
      </c>
      <c r="IU93" s="169" t="s">
        <v>395</v>
      </c>
    </row>
    <row r="94" spans="1:255" ht="16.5">
      <c r="A94" s="62"/>
      <c r="B94" s="169" t="s">
        <v>395</v>
      </c>
      <c r="M94" s="169" t="s">
        <v>395</v>
      </c>
      <c r="X94" s="169" t="s">
        <v>395</v>
      </c>
      <c r="AI94" s="169" t="s">
        <v>395</v>
      </c>
      <c r="AT94" s="169" t="s">
        <v>395</v>
      </c>
      <c r="BE94" s="169" t="s">
        <v>395</v>
      </c>
      <c r="BP94" s="169" t="s">
        <v>395</v>
      </c>
      <c r="CA94" s="169" t="s">
        <v>395</v>
      </c>
      <c r="CL94" s="169" t="s">
        <v>395</v>
      </c>
      <c r="CW94" s="169" t="s">
        <v>395</v>
      </c>
      <c r="DH94" s="169" t="s">
        <v>395</v>
      </c>
      <c r="DI94" s="1455" t="s">
        <v>2796</v>
      </c>
      <c r="DS94" s="169" t="s">
        <v>395</v>
      </c>
      <c r="ED94" s="169" t="s">
        <v>395</v>
      </c>
      <c r="EO94" s="169" t="s">
        <v>395</v>
      </c>
      <c r="EZ94" s="169" t="s">
        <v>395</v>
      </c>
      <c r="FK94" s="169" t="s">
        <v>395</v>
      </c>
      <c r="FV94" s="169" t="s">
        <v>395</v>
      </c>
      <c r="GG94" s="169" t="s">
        <v>395</v>
      </c>
      <c r="GR94" s="169" t="s">
        <v>395</v>
      </c>
      <c r="HC94" s="169" t="s">
        <v>395</v>
      </c>
      <c r="HN94" s="169" t="s">
        <v>395</v>
      </c>
      <c r="HY94" s="169" t="s">
        <v>395</v>
      </c>
      <c r="IJ94" s="169" t="s">
        <v>395</v>
      </c>
      <c r="IU94" s="169" t="s">
        <v>395</v>
      </c>
    </row>
    <row r="95" spans="1:255" ht="16.5">
      <c r="A95" s="62"/>
      <c r="B95" s="169" t="s">
        <v>395</v>
      </c>
      <c r="M95" s="169" t="s">
        <v>395</v>
      </c>
      <c r="X95" s="169" t="s">
        <v>395</v>
      </c>
      <c r="AI95" s="169" t="s">
        <v>395</v>
      </c>
      <c r="AT95" s="169" t="s">
        <v>395</v>
      </c>
      <c r="BE95" s="169" t="s">
        <v>395</v>
      </c>
      <c r="BP95" s="169" t="s">
        <v>395</v>
      </c>
      <c r="CA95" s="169" t="s">
        <v>395</v>
      </c>
      <c r="CL95" s="169" t="s">
        <v>395</v>
      </c>
      <c r="CW95" s="169" t="s">
        <v>395</v>
      </c>
      <c r="DH95" s="169" t="s">
        <v>395</v>
      </c>
      <c r="DI95" s="1454"/>
      <c r="DS95" s="169" t="s">
        <v>395</v>
      </c>
      <c r="ED95" s="169" t="s">
        <v>395</v>
      </c>
      <c r="EO95" s="169" t="s">
        <v>395</v>
      </c>
      <c r="EZ95" s="169" t="s">
        <v>395</v>
      </c>
      <c r="FK95" s="169" t="s">
        <v>395</v>
      </c>
      <c r="FV95" s="169" t="s">
        <v>395</v>
      </c>
      <c r="GG95" s="169" t="s">
        <v>395</v>
      </c>
      <c r="GR95" s="169" t="s">
        <v>395</v>
      </c>
      <c r="HC95" s="169" t="s">
        <v>395</v>
      </c>
      <c r="HN95" s="169" t="s">
        <v>395</v>
      </c>
      <c r="HY95" s="169" t="s">
        <v>395</v>
      </c>
      <c r="IJ95" s="169" t="s">
        <v>395</v>
      </c>
      <c r="IU95" s="169" t="s">
        <v>395</v>
      </c>
    </row>
    <row r="96" spans="1:255" ht="16.5">
      <c r="A96" s="62"/>
      <c r="B96" s="169" t="s">
        <v>395</v>
      </c>
      <c r="M96" s="169" t="s">
        <v>395</v>
      </c>
      <c r="X96" s="169" t="s">
        <v>395</v>
      </c>
      <c r="AI96" s="169" t="s">
        <v>395</v>
      </c>
      <c r="AT96" s="169" t="s">
        <v>395</v>
      </c>
      <c r="BE96" s="169" t="s">
        <v>395</v>
      </c>
      <c r="BP96" s="169" t="s">
        <v>395</v>
      </c>
      <c r="CA96" s="169" t="s">
        <v>395</v>
      </c>
      <c r="CL96" s="169" t="s">
        <v>395</v>
      </c>
      <c r="CW96" s="169" t="s">
        <v>395</v>
      </c>
      <c r="DH96" s="169" t="s">
        <v>395</v>
      </c>
      <c r="DI96" s="1457" t="s">
        <v>2797</v>
      </c>
      <c r="DS96" s="169" t="s">
        <v>395</v>
      </c>
      <c r="ED96" s="169" t="s">
        <v>395</v>
      </c>
      <c r="EO96" s="169" t="s">
        <v>395</v>
      </c>
      <c r="EZ96" s="169" t="s">
        <v>395</v>
      </c>
      <c r="FK96" s="169" t="s">
        <v>395</v>
      </c>
      <c r="FV96" s="169" t="s">
        <v>395</v>
      </c>
      <c r="GG96" s="169" t="s">
        <v>395</v>
      </c>
      <c r="GR96" s="169" t="s">
        <v>395</v>
      </c>
      <c r="HC96" s="169" t="s">
        <v>395</v>
      </c>
      <c r="HN96" s="169" t="s">
        <v>395</v>
      </c>
      <c r="HY96" s="169" t="s">
        <v>395</v>
      </c>
      <c r="IJ96" s="169" t="s">
        <v>395</v>
      </c>
      <c r="IU96" s="169" t="s">
        <v>395</v>
      </c>
    </row>
    <row r="97" spans="1:255" ht="16.5">
      <c r="A97" s="62"/>
      <c r="B97" s="169" t="s">
        <v>395</v>
      </c>
      <c r="M97" s="169" t="s">
        <v>395</v>
      </c>
      <c r="X97" s="169" t="s">
        <v>395</v>
      </c>
      <c r="AI97" s="169" t="s">
        <v>395</v>
      </c>
      <c r="AT97" s="169" t="s">
        <v>395</v>
      </c>
      <c r="BE97" s="169" t="s">
        <v>395</v>
      </c>
      <c r="BP97" s="169" t="s">
        <v>395</v>
      </c>
      <c r="CA97" s="169" t="s">
        <v>395</v>
      </c>
      <c r="CL97" s="169" t="s">
        <v>395</v>
      </c>
      <c r="CW97" s="169" t="s">
        <v>395</v>
      </c>
      <c r="DH97" s="169" t="s">
        <v>395</v>
      </c>
      <c r="DI97" s="897" t="s">
        <v>2768</v>
      </c>
      <c r="DS97" s="169" t="s">
        <v>395</v>
      </c>
      <c r="ED97" s="169" t="s">
        <v>395</v>
      </c>
      <c r="EO97" s="169" t="s">
        <v>395</v>
      </c>
      <c r="EZ97" s="169" t="s">
        <v>395</v>
      </c>
      <c r="FK97" s="169" t="s">
        <v>395</v>
      </c>
      <c r="FV97" s="169" t="s">
        <v>395</v>
      </c>
      <c r="GG97" s="169" t="s">
        <v>395</v>
      </c>
      <c r="GR97" s="169" t="s">
        <v>395</v>
      </c>
      <c r="HC97" s="169" t="s">
        <v>395</v>
      </c>
      <c r="HN97" s="169" t="s">
        <v>395</v>
      </c>
      <c r="HY97" s="169" t="s">
        <v>395</v>
      </c>
      <c r="IJ97" s="169" t="s">
        <v>395</v>
      </c>
      <c r="IU97" s="169" t="s">
        <v>395</v>
      </c>
    </row>
    <row r="98" spans="1:255" ht="15.75">
      <c r="A98" s="62"/>
      <c r="B98" s="169" t="s">
        <v>395</v>
      </c>
      <c r="M98" s="169" t="s">
        <v>395</v>
      </c>
      <c r="X98" s="169" t="s">
        <v>395</v>
      </c>
      <c r="AI98" s="169" t="s">
        <v>395</v>
      </c>
      <c r="AT98" s="169" t="s">
        <v>395</v>
      </c>
      <c r="BE98" s="169" t="s">
        <v>395</v>
      </c>
      <c r="BP98" s="169" t="s">
        <v>395</v>
      </c>
      <c r="CA98" s="169" t="s">
        <v>395</v>
      </c>
      <c r="CL98" s="169" t="s">
        <v>395</v>
      </c>
      <c r="CW98" s="169" t="s">
        <v>395</v>
      </c>
      <c r="DH98" s="169" t="s">
        <v>395</v>
      </c>
      <c r="DS98" s="169" t="s">
        <v>395</v>
      </c>
      <c r="ED98" s="169" t="s">
        <v>395</v>
      </c>
      <c r="EO98" s="169" t="s">
        <v>395</v>
      </c>
      <c r="EZ98" s="169" t="s">
        <v>395</v>
      </c>
      <c r="FK98" s="169" t="s">
        <v>395</v>
      </c>
      <c r="FV98" s="169" t="s">
        <v>395</v>
      </c>
      <c r="GG98" s="169" t="s">
        <v>395</v>
      </c>
      <c r="GR98" s="169" t="s">
        <v>395</v>
      </c>
      <c r="HC98" s="169" t="s">
        <v>395</v>
      </c>
      <c r="HN98" s="169" t="s">
        <v>395</v>
      </c>
      <c r="HY98" s="169" t="s">
        <v>395</v>
      </c>
      <c r="IJ98" s="169" t="s">
        <v>395</v>
      </c>
      <c r="IU98" s="169" t="s">
        <v>395</v>
      </c>
    </row>
    <row r="99" spans="1:255" ht="15.75">
      <c r="A99" s="62"/>
      <c r="B99" s="169" t="s">
        <v>395</v>
      </c>
      <c r="M99" s="169" t="s">
        <v>395</v>
      </c>
      <c r="X99" s="169" t="s">
        <v>395</v>
      </c>
      <c r="AI99" s="169" t="s">
        <v>395</v>
      </c>
      <c r="AT99" s="169" t="s">
        <v>395</v>
      </c>
      <c r="BE99" s="169" t="s">
        <v>395</v>
      </c>
      <c r="BP99" s="169" t="s">
        <v>395</v>
      </c>
      <c r="CA99" s="169" t="s">
        <v>395</v>
      </c>
      <c r="CL99" s="169" t="s">
        <v>395</v>
      </c>
      <c r="CW99" s="169" t="s">
        <v>395</v>
      </c>
      <c r="DH99" s="169" t="s">
        <v>395</v>
      </c>
      <c r="DS99" s="169" t="s">
        <v>395</v>
      </c>
      <c r="ED99" s="169" t="s">
        <v>395</v>
      </c>
      <c r="EO99" s="169" t="s">
        <v>395</v>
      </c>
      <c r="EZ99" s="169" t="s">
        <v>395</v>
      </c>
      <c r="FK99" s="169" t="s">
        <v>395</v>
      </c>
      <c r="FV99" s="169" t="s">
        <v>395</v>
      </c>
      <c r="GG99" s="169" t="s">
        <v>395</v>
      </c>
      <c r="GR99" s="169" t="s">
        <v>395</v>
      </c>
      <c r="HC99" s="169" t="s">
        <v>395</v>
      </c>
      <c r="HN99" s="169" t="s">
        <v>395</v>
      </c>
      <c r="HY99" s="169" t="s">
        <v>395</v>
      </c>
      <c r="IJ99" s="169" t="s">
        <v>395</v>
      </c>
      <c r="IU99" s="169" t="s">
        <v>395</v>
      </c>
    </row>
    <row r="100" spans="1:255" ht="15.75">
      <c r="A100" s="62"/>
      <c r="B100" s="169" t="s">
        <v>395</v>
      </c>
      <c r="M100" s="169" t="s">
        <v>395</v>
      </c>
      <c r="X100" s="169" t="s">
        <v>395</v>
      </c>
      <c r="AI100" s="169" t="s">
        <v>395</v>
      </c>
      <c r="AT100" s="169" t="s">
        <v>395</v>
      </c>
      <c r="BE100" s="169" t="s">
        <v>395</v>
      </c>
      <c r="BP100" s="169" t="s">
        <v>395</v>
      </c>
      <c r="CA100" s="169" t="s">
        <v>395</v>
      </c>
      <c r="CL100" s="169" t="s">
        <v>395</v>
      </c>
      <c r="CW100" s="169" t="s">
        <v>395</v>
      </c>
      <c r="DH100" s="169" t="s">
        <v>395</v>
      </c>
      <c r="DS100" s="169" t="s">
        <v>395</v>
      </c>
      <c r="ED100" s="169" t="s">
        <v>395</v>
      </c>
      <c r="EO100" s="169" t="s">
        <v>395</v>
      </c>
      <c r="EZ100" s="169" t="s">
        <v>395</v>
      </c>
      <c r="FK100" s="169" t="s">
        <v>395</v>
      </c>
      <c r="FV100" s="169" t="s">
        <v>395</v>
      </c>
      <c r="GG100" s="169" t="s">
        <v>395</v>
      </c>
      <c r="GR100" s="169" t="s">
        <v>395</v>
      </c>
      <c r="HC100" s="169" t="s">
        <v>395</v>
      </c>
      <c r="HN100" s="169" t="s">
        <v>395</v>
      </c>
      <c r="HY100" s="169" t="s">
        <v>395</v>
      </c>
      <c r="IJ100" s="169" t="s">
        <v>395</v>
      </c>
      <c r="IU100" s="169" t="s">
        <v>395</v>
      </c>
    </row>
    <row r="101" spans="1:255" ht="15.75">
      <c r="A101" s="62"/>
      <c r="B101" s="169" t="s">
        <v>395</v>
      </c>
      <c r="M101" s="169" t="s">
        <v>395</v>
      </c>
      <c r="X101" s="169" t="s">
        <v>395</v>
      </c>
      <c r="AI101" s="169" t="s">
        <v>395</v>
      </c>
      <c r="AT101" s="169" t="s">
        <v>395</v>
      </c>
      <c r="BE101" s="169" t="s">
        <v>395</v>
      </c>
      <c r="BP101" s="169" t="s">
        <v>395</v>
      </c>
      <c r="CA101" s="169" t="s">
        <v>395</v>
      </c>
      <c r="CL101" s="169" t="s">
        <v>395</v>
      </c>
      <c r="CW101" s="169" t="s">
        <v>395</v>
      </c>
      <c r="DH101" s="169" t="s">
        <v>395</v>
      </c>
      <c r="DS101" s="169" t="s">
        <v>395</v>
      </c>
      <c r="ED101" s="169" t="s">
        <v>395</v>
      </c>
      <c r="EO101" s="169" t="s">
        <v>395</v>
      </c>
      <c r="EZ101" s="169" t="s">
        <v>395</v>
      </c>
      <c r="FK101" s="169" t="s">
        <v>395</v>
      </c>
      <c r="FV101" s="169" t="s">
        <v>395</v>
      </c>
      <c r="GG101" s="169" t="s">
        <v>395</v>
      </c>
      <c r="GR101" s="169" t="s">
        <v>395</v>
      </c>
      <c r="HC101" s="169" t="s">
        <v>395</v>
      </c>
      <c r="HN101" s="169" t="s">
        <v>395</v>
      </c>
      <c r="HY101" s="169" t="s">
        <v>395</v>
      </c>
      <c r="IJ101" s="169" t="s">
        <v>395</v>
      </c>
      <c r="IU101" s="169" t="s">
        <v>395</v>
      </c>
    </row>
    <row r="102" spans="1:255" ht="15.75">
      <c r="A102" s="62"/>
      <c r="B102" s="169" t="s">
        <v>395</v>
      </c>
      <c r="M102" s="169" t="s">
        <v>395</v>
      </c>
      <c r="X102" s="169" t="s">
        <v>395</v>
      </c>
      <c r="AI102" s="169" t="s">
        <v>395</v>
      </c>
      <c r="AT102" s="169" t="s">
        <v>395</v>
      </c>
      <c r="BE102" s="169" t="s">
        <v>395</v>
      </c>
      <c r="BP102" s="169" t="s">
        <v>395</v>
      </c>
      <c r="CA102" s="169" t="s">
        <v>395</v>
      </c>
      <c r="CL102" s="169" t="s">
        <v>395</v>
      </c>
      <c r="CW102" s="169" t="s">
        <v>395</v>
      </c>
      <c r="DH102" s="169" t="s">
        <v>395</v>
      </c>
      <c r="DS102" s="169" t="s">
        <v>395</v>
      </c>
      <c r="ED102" s="169" t="s">
        <v>395</v>
      </c>
      <c r="EO102" s="169" t="s">
        <v>395</v>
      </c>
      <c r="EZ102" s="169" t="s">
        <v>395</v>
      </c>
      <c r="FK102" s="169" t="s">
        <v>395</v>
      </c>
      <c r="FV102" s="169" t="s">
        <v>395</v>
      </c>
      <c r="GG102" s="169" t="s">
        <v>395</v>
      </c>
      <c r="GR102" s="169" t="s">
        <v>395</v>
      </c>
      <c r="HC102" s="169" t="s">
        <v>395</v>
      </c>
      <c r="HN102" s="169" t="s">
        <v>395</v>
      </c>
      <c r="HY102" s="169" t="s">
        <v>395</v>
      </c>
      <c r="IJ102" s="169" t="s">
        <v>395</v>
      </c>
      <c r="IU102" s="169" t="s">
        <v>395</v>
      </c>
    </row>
    <row r="103" spans="1:255" ht="15.75">
      <c r="A103" s="62"/>
      <c r="B103" s="169" t="s">
        <v>395</v>
      </c>
      <c r="M103" s="169" t="s">
        <v>395</v>
      </c>
      <c r="X103" s="169" t="s">
        <v>395</v>
      </c>
      <c r="AI103" s="169" t="s">
        <v>395</v>
      </c>
      <c r="AT103" s="169" t="s">
        <v>395</v>
      </c>
      <c r="BE103" s="169" t="s">
        <v>395</v>
      </c>
      <c r="BP103" s="169" t="s">
        <v>395</v>
      </c>
      <c r="CA103" s="169" t="s">
        <v>395</v>
      </c>
      <c r="CL103" s="169" t="s">
        <v>395</v>
      </c>
      <c r="CW103" s="169" t="s">
        <v>395</v>
      </c>
      <c r="DH103" s="169" t="s">
        <v>395</v>
      </c>
      <c r="DS103" s="169" t="s">
        <v>395</v>
      </c>
      <c r="ED103" s="169" t="s">
        <v>395</v>
      </c>
      <c r="EO103" s="169" t="s">
        <v>395</v>
      </c>
      <c r="EZ103" s="169" t="s">
        <v>395</v>
      </c>
      <c r="FK103" s="169" t="s">
        <v>395</v>
      </c>
      <c r="FV103" s="169" t="s">
        <v>395</v>
      </c>
      <c r="GG103" s="169" t="s">
        <v>395</v>
      </c>
      <c r="GR103" s="169" t="s">
        <v>395</v>
      </c>
      <c r="HC103" s="169" t="s">
        <v>395</v>
      </c>
      <c r="HN103" s="169" t="s">
        <v>395</v>
      </c>
      <c r="HY103" s="169" t="s">
        <v>395</v>
      </c>
      <c r="IJ103" s="169" t="s">
        <v>395</v>
      </c>
      <c r="IU103" s="169" t="s">
        <v>395</v>
      </c>
    </row>
    <row r="104" spans="1:255" ht="15.75">
      <c r="A104" s="62"/>
      <c r="B104" s="169" t="s">
        <v>395</v>
      </c>
      <c r="M104" s="169" t="s">
        <v>395</v>
      </c>
      <c r="X104" s="169" t="s">
        <v>395</v>
      </c>
      <c r="AI104" s="169" t="s">
        <v>395</v>
      </c>
      <c r="AT104" s="169" t="s">
        <v>395</v>
      </c>
      <c r="BE104" s="169" t="s">
        <v>395</v>
      </c>
      <c r="BP104" s="169" t="s">
        <v>395</v>
      </c>
      <c r="CA104" s="169" t="s">
        <v>395</v>
      </c>
      <c r="CL104" s="169" t="s">
        <v>395</v>
      </c>
      <c r="CW104" s="169" t="s">
        <v>395</v>
      </c>
      <c r="DH104" s="169" t="s">
        <v>395</v>
      </c>
      <c r="DS104" s="169" t="s">
        <v>395</v>
      </c>
      <c r="ED104" s="169" t="s">
        <v>395</v>
      </c>
      <c r="EO104" s="169" t="s">
        <v>395</v>
      </c>
      <c r="EZ104" s="169" t="s">
        <v>395</v>
      </c>
      <c r="FK104" s="169" t="s">
        <v>395</v>
      </c>
      <c r="FV104" s="169" t="s">
        <v>395</v>
      </c>
      <c r="GG104" s="169" t="s">
        <v>395</v>
      </c>
      <c r="GR104" s="169" t="s">
        <v>395</v>
      </c>
      <c r="HC104" s="169" t="s">
        <v>395</v>
      </c>
      <c r="HN104" s="169" t="s">
        <v>395</v>
      </c>
      <c r="HY104" s="169" t="s">
        <v>395</v>
      </c>
      <c r="IJ104" s="169" t="s">
        <v>395</v>
      </c>
      <c r="IU104" s="169" t="s">
        <v>395</v>
      </c>
    </row>
    <row r="105" spans="1:255" ht="15.75">
      <c r="A105" s="62"/>
      <c r="B105" s="169" t="s">
        <v>395</v>
      </c>
      <c r="M105" s="169" t="s">
        <v>395</v>
      </c>
      <c r="X105" s="169" t="s">
        <v>395</v>
      </c>
      <c r="AI105" s="169" t="s">
        <v>395</v>
      </c>
      <c r="AT105" s="169" t="s">
        <v>395</v>
      </c>
      <c r="BE105" s="169" t="s">
        <v>395</v>
      </c>
      <c r="BP105" s="169" t="s">
        <v>395</v>
      </c>
      <c r="CA105" s="169" t="s">
        <v>395</v>
      </c>
      <c r="CL105" s="169" t="s">
        <v>395</v>
      </c>
      <c r="CW105" s="169" t="s">
        <v>395</v>
      </c>
      <c r="DH105" s="169" t="s">
        <v>395</v>
      </c>
      <c r="DS105" s="169" t="s">
        <v>395</v>
      </c>
      <c r="ED105" s="169" t="s">
        <v>395</v>
      </c>
      <c r="EO105" s="169" t="s">
        <v>395</v>
      </c>
      <c r="EZ105" s="169" t="s">
        <v>395</v>
      </c>
      <c r="FK105" s="169" t="s">
        <v>395</v>
      </c>
      <c r="FV105" s="169" t="s">
        <v>395</v>
      </c>
      <c r="GG105" s="169" t="s">
        <v>395</v>
      </c>
      <c r="GR105" s="169" t="s">
        <v>395</v>
      </c>
      <c r="HC105" s="169" t="s">
        <v>395</v>
      </c>
      <c r="HN105" s="169" t="s">
        <v>395</v>
      </c>
      <c r="HY105" s="169" t="s">
        <v>395</v>
      </c>
      <c r="IJ105" s="169" t="s">
        <v>395</v>
      </c>
      <c r="IU105" s="169" t="s">
        <v>395</v>
      </c>
    </row>
    <row r="106" spans="1:255" ht="15.75">
      <c r="A106" s="62"/>
      <c r="B106" s="169" t="s">
        <v>395</v>
      </c>
      <c r="M106" s="169" t="s">
        <v>395</v>
      </c>
      <c r="X106" s="169" t="s">
        <v>395</v>
      </c>
      <c r="AI106" s="169" t="s">
        <v>395</v>
      </c>
      <c r="AT106" s="169" t="s">
        <v>395</v>
      </c>
      <c r="BE106" s="169" t="s">
        <v>395</v>
      </c>
      <c r="BP106" s="169" t="s">
        <v>395</v>
      </c>
      <c r="CA106" s="169" t="s">
        <v>395</v>
      </c>
      <c r="CL106" s="169" t="s">
        <v>395</v>
      </c>
      <c r="CW106" s="169" t="s">
        <v>395</v>
      </c>
      <c r="DH106" s="169" t="s">
        <v>395</v>
      </c>
      <c r="DS106" s="169" t="s">
        <v>395</v>
      </c>
      <c r="ED106" s="169" t="s">
        <v>395</v>
      </c>
      <c r="EO106" s="169" t="s">
        <v>395</v>
      </c>
      <c r="EZ106" s="169" t="s">
        <v>395</v>
      </c>
      <c r="FK106" s="169" t="s">
        <v>395</v>
      </c>
      <c r="FV106" s="169" t="s">
        <v>395</v>
      </c>
      <c r="GG106" s="169" t="s">
        <v>395</v>
      </c>
      <c r="GR106" s="169" t="s">
        <v>395</v>
      </c>
      <c r="HC106" s="169" t="s">
        <v>395</v>
      </c>
      <c r="HN106" s="169" t="s">
        <v>395</v>
      </c>
      <c r="HY106" s="169" t="s">
        <v>395</v>
      </c>
      <c r="IJ106" s="169" t="s">
        <v>395</v>
      </c>
      <c r="IU106" s="169" t="s">
        <v>395</v>
      </c>
    </row>
    <row r="107" spans="1:255" ht="15.75">
      <c r="A107" s="62"/>
      <c r="B107" s="169" t="s">
        <v>395</v>
      </c>
      <c r="M107" s="169" t="s">
        <v>395</v>
      </c>
      <c r="X107" s="169" t="s">
        <v>395</v>
      </c>
      <c r="AI107" s="169" t="s">
        <v>395</v>
      </c>
      <c r="AT107" s="169" t="s">
        <v>395</v>
      </c>
      <c r="BE107" s="169" t="s">
        <v>395</v>
      </c>
      <c r="BP107" s="169" t="s">
        <v>395</v>
      </c>
      <c r="CA107" s="169" t="s">
        <v>395</v>
      </c>
      <c r="CL107" s="169" t="s">
        <v>395</v>
      </c>
      <c r="CW107" s="169" t="s">
        <v>395</v>
      </c>
      <c r="DH107" s="169" t="s">
        <v>395</v>
      </c>
      <c r="DS107" s="169" t="s">
        <v>395</v>
      </c>
      <c r="ED107" s="169" t="s">
        <v>395</v>
      </c>
      <c r="EO107" s="169" t="s">
        <v>395</v>
      </c>
      <c r="EZ107" s="169" t="s">
        <v>395</v>
      </c>
      <c r="FK107" s="169" t="s">
        <v>395</v>
      </c>
      <c r="FV107" s="169" t="s">
        <v>395</v>
      </c>
      <c r="GG107" s="169" t="s">
        <v>395</v>
      </c>
      <c r="GR107" s="169" t="s">
        <v>395</v>
      </c>
      <c r="HC107" s="169" t="s">
        <v>395</v>
      </c>
      <c r="HN107" s="169" t="s">
        <v>395</v>
      </c>
      <c r="HY107" s="169" t="s">
        <v>395</v>
      </c>
      <c r="IJ107" s="169" t="s">
        <v>395</v>
      </c>
      <c r="IU107" s="169" t="s">
        <v>395</v>
      </c>
    </row>
    <row r="108" spans="1:255" ht="16.5" thickBot="1">
      <c r="A108" s="63"/>
      <c r="B108" s="169" t="s">
        <v>395</v>
      </c>
      <c r="M108" s="169" t="s">
        <v>395</v>
      </c>
      <c r="X108" s="169" t="s">
        <v>395</v>
      </c>
      <c r="AI108" s="169" t="s">
        <v>395</v>
      </c>
      <c r="AT108" s="169" t="s">
        <v>395</v>
      </c>
      <c r="BE108" s="169" t="s">
        <v>395</v>
      </c>
      <c r="BP108" s="169" t="s">
        <v>395</v>
      </c>
      <c r="CA108" s="169" t="s">
        <v>395</v>
      </c>
      <c r="CL108" s="169" t="s">
        <v>395</v>
      </c>
      <c r="CW108" s="169" t="s">
        <v>395</v>
      </c>
      <c r="DH108" s="169" t="s">
        <v>395</v>
      </c>
      <c r="DS108" s="169" t="s">
        <v>395</v>
      </c>
      <c r="ED108" s="169" t="s">
        <v>395</v>
      </c>
      <c r="EO108" s="169" t="s">
        <v>395</v>
      </c>
      <c r="EZ108" s="169" t="s">
        <v>395</v>
      </c>
      <c r="FK108" s="169" t="s">
        <v>395</v>
      </c>
      <c r="FV108" s="169" t="s">
        <v>395</v>
      </c>
      <c r="GG108" s="169" t="s">
        <v>395</v>
      </c>
      <c r="GR108" s="169" t="s">
        <v>395</v>
      </c>
      <c r="HC108" s="169" t="s">
        <v>395</v>
      </c>
      <c r="HN108" s="169" t="s">
        <v>395</v>
      </c>
      <c r="HY108" s="169" t="s">
        <v>395</v>
      </c>
      <c r="IJ108" s="169" t="s">
        <v>395</v>
      </c>
      <c r="IU108" s="169" t="s">
        <v>395</v>
      </c>
    </row>
    <row r="109" spans="1:255" ht="15.75" thickTop="1">
      <c r="B109" s="169" t="s">
        <v>395</v>
      </c>
      <c r="M109" s="169" t="s">
        <v>395</v>
      </c>
      <c r="X109" s="169" t="s">
        <v>395</v>
      </c>
      <c r="AI109" s="169" t="s">
        <v>395</v>
      </c>
      <c r="AT109" s="169" t="s">
        <v>395</v>
      </c>
      <c r="BE109" s="169" t="s">
        <v>395</v>
      </c>
      <c r="BP109" s="169" t="s">
        <v>395</v>
      </c>
      <c r="CA109" s="169" t="s">
        <v>395</v>
      </c>
      <c r="CL109" s="169" t="s">
        <v>395</v>
      </c>
      <c r="CW109" s="169" t="s">
        <v>395</v>
      </c>
      <c r="DH109" s="169" t="s">
        <v>395</v>
      </c>
      <c r="DS109" s="169" t="s">
        <v>395</v>
      </c>
      <c r="ED109" s="169" t="s">
        <v>395</v>
      </c>
      <c r="EO109" s="169" t="s">
        <v>395</v>
      </c>
      <c r="EZ109" s="169" t="s">
        <v>395</v>
      </c>
      <c r="FK109" s="169" t="s">
        <v>395</v>
      </c>
      <c r="FV109" s="169" t="s">
        <v>395</v>
      </c>
      <c r="GG109" s="169" t="s">
        <v>395</v>
      </c>
      <c r="GR109" s="169" t="s">
        <v>395</v>
      </c>
      <c r="HC109" s="169" t="s">
        <v>395</v>
      </c>
      <c r="HN109" s="169" t="s">
        <v>395</v>
      </c>
      <c r="HY109" s="169" t="s">
        <v>395</v>
      </c>
      <c r="IJ109" s="169" t="s">
        <v>395</v>
      </c>
      <c r="IU109" s="169" t="s">
        <v>395</v>
      </c>
    </row>
    <row r="110" spans="1:255">
      <c r="B110" s="169" t="s">
        <v>395</v>
      </c>
      <c r="M110" s="169" t="s">
        <v>395</v>
      </c>
      <c r="X110" s="169" t="s">
        <v>395</v>
      </c>
      <c r="AI110" s="169" t="s">
        <v>395</v>
      </c>
      <c r="AT110" s="169" t="s">
        <v>395</v>
      </c>
      <c r="BE110" s="169" t="s">
        <v>395</v>
      </c>
      <c r="BP110" s="169" t="s">
        <v>395</v>
      </c>
      <c r="CA110" s="169" t="s">
        <v>395</v>
      </c>
      <c r="CL110" s="169" t="s">
        <v>395</v>
      </c>
      <c r="CW110" s="169" t="s">
        <v>395</v>
      </c>
      <c r="DH110" s="169" t="s">
        <v>395</v>
      </c>
      <c r="DS110" s="169" t="s">
        <v>395</v>
      </c>
      <c r="ED110" s="169" t="s">
        <v>395</v>
      </c>
      <c r="EO110" s="169" t="s">
        <v>395</v>
      </c>
      <c r="EZ110" s="169" t="s">
        <v>395</v>
      </c>
      <c r="FK110" s="169" t="s">
        <v>395</v>
      </c>
      <c r="FV110" s="169" t="s">
        <v>395</v>
      </c>
      <c r="GG110" s="169" t="s">
        <v>395</v>
      </c>
      <c r="GR110" s="169" t="s">
        <v>395</v>
      </c>
      <c r="HC110" s="169" t="s">
        <v>395</v>
      </c>
      <c r="HN110" s="169" t="s">
        <v>395</v>
      </c>
      <c r="HY110" s="169" t="s">
        <v>395</v>
      </c>
      <c r="IJ110" s="169" t="s">
        <v>395</v>
      </c>
      <c r="IU110" s="169" t="s">
        <v>395</v>
      </c>
    </row>
    <row r="111" spans="1:255">
      <c r="B111" s="169" t="s">
        <v>395</v>
      </c>
      <c r="M111" s="169" t="s">
        <v>395</v>
      </c>
      <c r="X111" s="169" t="s">
        <v>395</v>
      </c>
      <c r="AI111" s="169" t="s">
        <v>395</v>
      </c>
      <c r="AT111" s="169" t="s">
        <v>395</v>
      </c>
      <c r="BE111" s="169" t="s">
        <v>395</v>
      </c>
      <c r="BP111" s="169" t="s">
        <v>395</v>
      </c>
      <c r="CA111" s="169" t="s">
        <v>395</v>
      </c>
      <c r="CL111" s="169" t="s">
        <v>395</v>
      </c>
      <c r="CW111" s="169" t="s">
        <v>395</v>
      </c>
      <c r="DH111" s="169" t="s">
        <v>395</v>
      </c>
      <c r="DS111" s="169" t="s">
        <v>395</v>
      </c>
      <c r="ED111" s="169" t="s">
        <v>395</v>
      </c>
      <c r="EO111" s="169" t="s">
        <v>395</v>
      </c>
      <c r="EZ111" s="169" t="s">
        <v>395</v>
      </c>
      <c r="FK111" s="169" t="s">
        <v>395</v>
      </c>
      <c r="FV111" s="169" t="s">
        <v>395</v>
      </c>
      <c r="GG111" s="169" t="s">
        <v>395</v>
      </c>
      <c r="GR111" s="169" t="s">
        <v>395</v>
      </c>
      <c r="HC111" s="169" t="s">
        <v>395</v>
      </c>
      <c r="HN111" s="169" t="s">
        <v>395</v>
      </c>
      <c r="HY111" s="169" t="s">
        <v>395</v>
      </c>
      <c r="IJ111" s="169" t="s">
        <v>395</v>
      </c>
      <c r="IU111" s="169" t="s">
        <v>395</v>
      </c>
    </row>
    <row r="112" spans="1:255">
      <c r="B112" s="169" t="s">
        <v>395</v>
      </c>
      <c r="M112" s="169" t="s">
        <v>395</v>
      </c>
      <c r="X112" s="169" t="s">
        <v>395</v>
      </c>
      <c r="AI112" s="169" t="s">
        <v>395</v>
      </c>
      <c r="AT112" s="169" t="s">
        <v>395</v>
      </c>
      <c r="BE112" s="169" t="s">
        <v>395</v>
      </c>
      <c r="BP112" s="169" t="s">
        <v>395</v>
      </c>
      <c r="CA112" s="169" t="s">
        <v>395</v>
      </c>
      <c r="CL112" s="169" t="s">
        <v>395</v>
      </c>
      <c r="CW112" s="169" t="s">
        <v>395</v>
      </c>
      <c r="DH112" s="169" t="s">
        <v>395</v>
      </c>
      <c r="DS112" s="169" t="s">
        <v>395</v>
      </c>
      <c r="ED112" s="169" t="s">
        <v>395</v>
      </c>
      <c r="EO112" s="169" t="s">
        <v>395</v>
      </c>
      <c r="EZ112" s="169" t="s">
        <v>395</v>
      </c>
      <c r="FK112" s="169" t="s">
        <v>395</v>
      </c>
      <c r="FV112" s="169" t="s">
        <v>395</v>
      </c>
      <c r="GG112" s="169" t="s">
        <v>395</v>
      </c>
      <c r="GR112" s="169" t="s">
        <v>395</v>
      </c>
      <c r="HC112" s="169" t="s">
        <v>395</v>
      </c>
      <c r="HN112" s="169" t="s">
        <v>395</v>
      </c>
      <c r="HY112" s="169" t="s">
        <v>395</v>
      </c>
      <c r="IJ112" s="169" t="s">
        <v>395</v>
      </c>
      <c r="IU112" s="169" t="s">
        <v>395</v>
      </c>
    </row>
    <row r="113" spans="2:255">
      <c r="B113" s="169" t="s">
        <v>395</v>
      </c>
      <c r="M113" s="169" t="s">
        <v>395</v>
      </c>
      <c r="X113" s="169" t="s">
        <v>395</v>
      </c>
      <c r="AI113" s="169" t="s">
        <v>395</v>
      </c>
      <c r="AT113" s="169" t="s">
        <v>395</v>
      </c>
      <c r="BE113" s="169" t="s">
        <v>395</v>
      </c>
      <c r="BP113" s="169" t="s">
        <v>395</v>
      </c>
      <c r="CA113" s="169" t="s">
        <v>395</v>
      </c>
      <c r="CL113" s="169" t="s">
        <v>395</v>
      </c>
      <c r="CW113" s="169" t="s">
        <v>395</v>
      </c>
      <c r="DH113" s="169" t="s">
        <v>395</v>
      </c>
      <c r="DS113" s="169" t="s">
        <v>395</v>
      </c>
      <c r="ED113" s="169" t="s">
        <v>395</v>
      </c>
      <c r="EO113" s="169" t="s">
        <v>395</v>
      </c>
      <c r="EZ113" s="169" t="s">
        <v>395</v>
      </c>
      <c r="FK113" s="169" t="s">
        <v>395</v>
      </c>
      <c r="FV113" s="169" t="s">
        <v>395</v>
      </c>
      <c r="GG113" s="169" t="s">
        <v>395</v>
      </c>
      <c r="GR113" s="169" t="s">
        <v>395</v>
      </c>
      <c r="HC113" s="169" t="s">
        <v>395</v>
      </c>
      <c r="HN113" s="169" t="s">
        <v>395</v>
      </c>
      <c r="HY113" s="169" t="s">
        <v>395</v>
      </c>
      <c r="IJ113" s="169" t="s">
        <v>395</v>
      </c>
      <c r="IU113" s="169" t="s">
        <v>395</v>
      </c>
    </row>
    <row r="114" spans="2:255">
      <c r="B114" s="169" t="s">
        <v>395</v>
      </c>
      <c r="M114" s="169" t="s">
        <v>395</v>
      </c>
      <c r="X114" s="169" t="s">
        <v>395</v>
      </c>
      <c r="AI114" s="169" t="s">
        <v>395</v>
      </c>
      <c r="AT114" s="169" t="s">
        <v>395</v>
      </c>
      <c r="BE114" s="169" t="s">
        <v>395</v>
      </c>
      <c r="BP114" s="169" t="s">
        <v>395</v>
      </c>
      <c r="CA114" s="169" t="s">
        <v>395</v>
      </c>
      <c r="CL114" s="169" t="s">
        <v>395</v>
      </c>
      <c r="CW114" s="169" t="s">
        <v>395</v>
      </c>
      <c r="DH114" s="169" t="s">
        <v>395</v>
      </c>
      <c r="DS114" s="169" t="s">
        <v>395</v>
      </c>
      <c r="ED114" s="169" t="s">
        <v>395</v>
      </c>
      <c r="EO114" s="169" t="s">
        <v>395</v>
      </c>
      <c r="EZ114" s="169" t="s">
        <v>395</v>
      </c>
      <c r="FK114" s="169" t="s">
        <v>395</v>
      </c>
      <c r="FV114" s="169" t="s">
        <v>395</v>
      </c>
      <c r="GG114" s="169" t="s">
        <v>395</v>
      </c>
      <c r="GR114" s="169" t="s">
        <v>395</v>
      </c>
      <c r="HC114" s="169" t="s">
        <v>395</v>
      </c>
      <c r="HN114" s="169" t="s">
        <v>395</v>
      </c>
      <c r="HY114" s="169" t="s">
        <v>395</v>
      </c>
      <c r="IJ114" s="169" t="s">
        <v>395</v>
      </c>
      <c r="IU114" s="169" t="s">
        <v>395</v>
      </c>
    </row>
    <row r="115" spans="2:255">
      <c r="B115" s="169" t="s">
        <v>395</v>
      </c>
      <c r="M115" s="169" t="s">
        <v>395</v>
      </c>
      <c r="X115" s="169" t="s">
        <v>395</v>
      </c>
      <c r="AI115" s="169" t="s">
        <v>395</v>
      </c>
      <c r="AT115" s="169" t="s">
        <v>395</v>
      </c>
      <c r="BE115" s="169" t="s">
        <v>395</v>
      </c>
      <c r="BP115" s="169" t="s">
        <v>395</v>
      </c>
      <c r="CA115" s="169" t="s">
        <v>395</v>
      </c>
      <c r="CL115" s="169" t="s">
        <v>395</v>
      </c>
      <c r="CW115" s="169" t="s">
        <v>395</v>
      </c>
      <c r="DH115" s="169" t="s">
        <v>395</v>
      </c>
      <c r="DS115" s="169" t="s">
        <v>395</v>
      </c>
      <c r="ED115" s="169" t="s">
        <v>395</v>
      </c>
      <c r="EO115" s="169" t="s">
        <v>395</v>
      </c>
      <c r="EZ115" s="169" t="s">
        <v>395</v>
      </c>
      <c r="FK115" s="169" t="s">
        <v>395</v>
      </c>
      <c r="FV115" s="169" t="s">
        <v>395</v>
      </c>
      <c r="GG115" s="169" t="s">
        <v>395</v>
      </c>
      <c r="GR115" s="169" t="s">
        <v>395</v>
      </c>
      <c r="HC115" s="169" t="s">
        <v>395</v>
      </c>
      <c r="HN115" s="169" t="s">
        <v>395</v>
      </c>
      <c r="HY115" s="169" t="s">
        <v>395</v>
      </c>
      <c r="IJ115" s="169" t="s">
        <v>395</v>
      </c>
      <c r="IU115" s="169" t="s">
        <v>395</v>
      </c>
    </row>
    <row r="116" spans="2:255">
      <c r="B116" s="169" t="s">
        <v>395</v>
      </c>
      <c r="M116" s="169" t="s">
        <v>395</v>
      </c>
      <c r="X116" s="169" t="s">
        <v>395</v>
      </c>
      <c r="AI116" s="169" t="s">
        <v>395</v>
      </c>
      <c r="AT116" s="169" t="s">
        <v>395</v>
      </c>
      <c r="BE116" s="169" t="s">
        <v>395</v>
      </c>
      <c r="BP116" s="169" t="s">
        <v>395</v>
      </c>
      <c r="CA116" s="169" t="s">
        <v>395</v>
      </c>
      <c r="CL116" s="169" t="s">
        <v>395</v>
      </c>
      <c r="CW116" s="169" t="s">
        <v>395</v>
      </c>
      <c r="DH116" s="169" t="s">
        <v>395</v>
      </c>
      <c r="DS116" s="169" t="s">
        <v>395</v>
      </c>
      <c r="ED116" s="169" t="s">
        <v>395</v>
      </c>
      <c r="EO116" s="169" t="s">
        <v>395</v>
      </c>
      <c r="EZ116" s="169" t="s">
        <v>395</v>
      </c>
      <c r="FK116" s="169" t="s">
        <v>395</v>
      </c>
      <c r="FV116" s="169" t="s">
        <v>395</v>
      </c>
      <c r="GG116" s="169" t="s">
        <v>395</v>
      </c>
      <c r="GR116" s="169" t="s">
        <v>395</v>
      </c>
      <c r="HC116" s="169" t="s">
        <v>395</v>
      </c>
      <c r="HN116" s="169" t="s">
        <v>395</v>
      </c>
      <c r="HY116" s="169" t="s">
        <v>395</v>
      </c>
      <c r="IJ116" s="169" t="s">
        <v>395</v>
      </c>
      <c r="IU116" s="169" t="s">
        <v>395</v>
      </c>
    </row>
    <row r="117" spans="2:255">
      <c r="B117" s="169" t="s">
        <v>395</v>
      </c>
      <c r="M117" s="169" t="s">
        <v>395</v>
      </c>
      <c r="X117" s="169" t="s">
        <v>395</v>
      </c>
      <c r="AI117" s="169" t="s">
        <v>395</v>
      </c>
      <c r="AT117" s="169" t="s">
        <v>395</v>
      </c>
      <c r="BE117" s="169" t="s">
        <v>395</v>
      </c>
      <c r="BP117" s="169" t="s">
        <v>395</v>
      </c>
      <c r="CA117" s="169" t="s">
        <v>395</v>
      </c>
      <c r="CL117" s="169" t="s">
        <v>395</v>
      </c>
      <c r="CW117" s="169" t="s">
        <v>395</v>
      </c>
      <c r="DH117" s="169" t="s">
        <v>395</v>
      </c>
      <c r="DS117" s="169" t="s">
        <v>395</v>
      </c>
      <c r="ED117" s="169" t="s">
        <v>395</v>
      </c>
      <c r="EO117" s="169" t="s">
        <v>395</v>
      </c>
      <c r="EZ117" s="169" t="s">
        <v>395</v>
      </c>
      <c r="FK117" s="169" t="s">
        <v>395</v>
      </c>
      <c r="FV117" s="169" t="s">
        <v>395</v>
      </c>
      <c r="GG117" s="169" t="s">
        <v>395</v>
      </c>
      <c r="GR117" s="169" t="s">
        <v>395</v>
      </c>
      <c r="HC117" s="169" t="s">
        <v>395</v>
      </c>
      <c r="HN117" s="169" t="s">
        <v>395</v>
      </c>
      <c r="HY117" s="169" t="s">
        <v>395</v>
      </c>
      <c r="IJ117" s="169" t="s">
        <v>395</v>
      </c>
      <c r="IU117" s="169" t="s">
        <v>395</v>
      </c>
    </row>
    <row r="118" spans="2:255">
      <c r="B118" s="169" t="s">
        <v>395</v>
      </c>
      <c r="M118" s="169" t="s">
        <v>395</v>
      </c>
      <c r="X118" s="169" t="s">
        <v>395</v>
      </c>
      <c r="AI118" s="169" t="s">
        <v>395</v>
      </c>
      <c r="AT118" s="169" t="s">
        <v>395</v>
      </c>
      <c r="BE118" s="169" t="s">
        <v>395</v>
      </c>
      <c r="BP118" s="169" t="s">
        <v>395</v>
      </c>
      <c r="CA118" s="169" t="s">
        <v>395</v>
      </c>
      <c r="CL118" s="169" t="s">
        <v>395</v>
      </c>
      <c r="CW118" s="169" t="s">
        <v>395</v>
      </c>
      <c r="DH118" s="169" t="s">
        <v>395</v>
      </c>
      <c r="DS118" s="169" t="s">
        <v>395</v>
      </c>
      <c r="ED118" s="169" t="s">
        <v>395</v>
      </c>
      <c r="EO118" s="169" t="s">
        <v>395</v>
      </c>
      <c r="EZ118" s="169" t="s">
        <v>395</v>
      </c>
      <c r="FK118" s="169" t="s">
        <v>395</v>
      </c>
      <c r="FV118" s="169" t="s">
        <v>395</v>
      </c>
      <c r="GG118" s="169" t="s">
        <v>395</v>
      </c>
      <c r="GR118" s="169" t="s">
        <v>395</v>
      </c>
      <c r="HC118" s="169" t="s">
        <v>395</v>
      </c>
      <c r="HN118" s="169" t="s">
        <v>395</v>
      </c>
      <c r="HY118" s="169" t="s">
        <v>395</v>
      </c>
      <c r="IJ118" s="169" t="s">
        <v>395</v>
      </c>
      <c r="IU118" s="169" t="s">
        <v>395</v>
      </c>
    </row>
    <row r="119" spans="2:255">
      <c r="B119" s="169" t="s">
        <v>395</v>
      </c>
      <c r="M119" s="169" t="s">
        <v>395</v>
      </c>
      <c r="X119" s="169" t="s">
        <v>395</v>
      </c>
      <c r="AI119" s="169" t="s">
        <v>395</v>
      </c>
      <c r="AT119" s="169" t="s">
        <v>395</v>
      </c>
      <c r="BE119" s="169" t="s">
        <v>395</v>
      </c>
      <c r="BP119" s="169" t="s">
        <v>395</v>
      </c>
      <c r="CA119" s="169" t="s">
        <v>395</v>
      </c>
      <c r="CL119" s="169" t="s">
        <v>395</v>
      </c>
      <c r="CW119" s="169" t="s">
        <v>395</v>
      </c>
      <c r="DH119" s="169" t="s">
        <v>395</v>
      </c>
      <c r="DS119" s="169" t="s">
        <v>395</v>
      </c>
      <c r="ED119" s="169" t="s">
        <v>395</v>
      </c>
      <c r="EO119" s="169" t="s">
        <v>395</v>
      </c>
      <c r="EZ119" s="169" t="s">
        <v>395</v>
      </c>
      <c r="FK119" s="169" t="s">
        <v>395</v>
      </c>
      <c r="FV119" s="169" t="s">
        <v>395</v>
      </c>
      <c r="GG119" s="169" t="s">
        <v>395</v>
      </c>
      <c r="GR119" s="169" t="s">
        <v>395</v>
      </c>
      <c r="HC119" s="169" t="s">
        <v>395</v>
      </c>
      <c r="HN119" s="169" t="s">
        <v>395</v>
      </c>
      <c r="HY119" s="169" t="s">
        <v>395</v>
      </c>
      <c r="IJ119" s="169" t="s">
        <v>395</v>
      </c>
      <c r="IU119" s="169" t="s">
        <v>395</v>
      </c>
    </row>
    <row r="120" spans="2:255">
      <c r="B120" s="169" t="s">
        <v>395</v>
      </c>
      <c r="M120" s="169" t="s">
        <v>395</v>
      </c>
      <c r="X120" s="169" t="s">
        <v>395</v>
      </c>
      <c r="AI120" s="169" t="s">
        <v>395</v>
      </c>
      <c r="AT120" s="169" t="s">
        <v>395</v>
      </c>
      <c r="BE120" s="169" t="s">
        <v>395</v>
      </c>
      <c r="BP120" s="169" t="s">
        <v>395</v>
      </c>
      <c r="CA120" s="169" t="s">
        <v>395</v>
      </c>
      <c r="CL120" s="169" t="s">
        <v>395</v>
      </c>
      <c r="CW120" s="169" t="s">
        <v>395</v>
      </c>
      <c r="DH120" s="169" t="s">
        <v>395</v>
      </c>
      <c r="DS120" s="169" t="s">
        <v>395</v>
      </c>
      <c r="ED120" s="169" t="s">
        <v>395</v>
      </c>
      <c r="EO120" s="169" t="s">
        <v>395</v>
      </c>
      <c r="EZ120" s="169" t="s">
        <v>395</v>
      </c>
      <c r="FK120" s="169" t="s">
        <v>395</v>
      </c>
      <c r="FV120" s="169" t="s">
        <v>395</v>
      </c>
      <c r="GG120" s="169" t="s">
        <v>395</v>
      </c>
      <c r="GR120" s="169" t="s">
        <v>395</v>
      </c>
      <c r="HC120" s="169" t="s">
        <v>395</v>
      </c>
      <c r="HN120" s="169" t="s">
        <v>395</v>
      </c>
      <c r="HY120" s="169" t="s">
        <v>395</v>
      </c>
      <c r="IJ120" s="169" t="s">
        <v>395</v>
      </c>
      <c r="IU120" s="169" t="s">
        <v>395</v>
      </c>
    </row>
    <row r="121" spans="2:255">
      <c r="B121" s="169" t="s">
        <v>395</v>
      </c>
      <c r="M121" s="169" t="s">
        <v>395</v>
      </c>
      <c r="X121" s="169" t="s">
        <v>395</v>
      </c>
      <c r="AI121" s="169" t="s">
        <v>395</v>
      </c>
      <c r="AT121" s="169" t="s">
        <v>395</v>
      </c>
      <c r="BE121" s="169" t="s">
        <v>395</v>
      </c>
      <c r="BP121" s="169" t="s">
        <v>395</v>
      </c>
      <c r="CA121" s="169" t="s">
        <v>395</v>
      </c>
      <c r="CL121" s="169" t="s">
        <v>395</v>
      </c>
      <c r="CW121" s="169" t="s">
        <v>395</v>
      </c>
      <c r="DH121" s="169" t="s">
        <v>395</v>
      </c>
      <c r="DS121" s="169" t="s">
        <v>395</v>
      </c>
      <c r="ED121" s="169" t="s">
        <v>395</v>
      </c>
      <c r="EO121" s="169" t="s">
        <v>395</v>
      </c>
      <c r="EZ121" s="169" t="s">
        <v>395</v>
      </c>
      <c r="FK121" s="169" t="s">
        <v>395</v>
      </c>
      <c r="FV121" s="169" t="s">
        <v>395</v>
      </c>
      <c r="GG121" s="169" t="s">
        <v>395</v>
      </c>
      <c r="GR121" s="169" t="s">
        <v>395</v>
      </c>
      <c r="HC121" s="169" t="s">
        <v>395</v>
      </c>
      <c r="HN121" s="169" t="s">
        <v>395</v>
      </c>
      <c r="HY121" s="169" t="s">
        <v>395</v>
      </c>
      <c r="IJ121" s="169" t="s">
        <v>395</v>
      </c>
      <c r="IU121" s="169" t="s">
        <v>395</v>
      </c>
    </row>
    <row r="122" spans="2:255">
      <c r="B122" s="169" t="s">
        <v>395</v>
      </c>
      <c r="M122" s="169" t="s">
        <v>395</v>
      </c>
      <c r="X122" s="169" t="s">
        <v>395</v>
      </c>
      <c r="AI122" s="169" t="s">
        <v>395</v>
      </c>
      <c r="AT122" s="169" t="s">
        <v>395</v>
      </c>
      <c r="BE122" s="169" t="s">
        <v>395</v>
      </c>
      <c r="BP122" s="169" t="s">
        <v>395</v>
      </c>
      <c r="CA122" s="169" t="s">
        <v>395</v>
      </c>
      <c r="CL122" s="169" t="s">
        <v>395</v>
      </c>
      <c r="CW122" s="169" t="s">
        <v>395</v>
      </c>
      <c r="DH122" s="169" t="s">
        <v>395</v>
      </c>
      <c r="DS122" s="169" t="s">
        <v>395</v>
      </c>
      <c r="ED122" s="169" t="s">
        <v>395</v>
      </c>
      <c r="EO122" s="169" t="s">
        <v>395</v>
      </c>
      <c r="EZ122" s="169" t="s">
        <v>395</v>
      </c>
      <c r="FK122" s="169" t="s">
        <v>395</v>
      </c>
      <c r="FV122" s="169" t="s">
        <v>395</v>
      </c>
      <c r="GG122" s="169" t="s">
        <v>395</v>
      </c>
      <c r="GR122" s="169" t="s">
        <v>395</v>
      </c>
      <c r="HC122" s="169" t="s">
        <v>395</v>
      </c>
      <c r="HN122" s="169" t="s">
        <v>395</v>
      </c>
      <c r="HY122" s="169" t="s">
        <v>395</v>
      </c>
      <c r="IJ122" s="169" t="s">
        <v>395</v>
      </c>
      <c r="IU122" s="169" t="s">
        <v>395</v>
      </c>
    </row>
    <row r="123" spans="2:255">
      <c r="B123" s="169" t="s">
        <v>395</v>
      </c>
      <c r="M123" s="169" t="s">
        <v>395</v>
      </c>
      <c r="X123" s="169" t="s">
        <v>395</v>
      </c>
      <c r="AI123" s="169" t="s">
        <v>395</v>
      </c>
      <c r="AT123" s="169" t="s">
        <v>395</v>
      </c>
      <c r="BE123" s="169" t="s">
        <v>395</v>
      </c>
      <c r="BP123" s="169" t="s">
        <v>395</v>
      </c>
      <c r="CA123" s="169" t="s">
        <v>395</v>
      </c>
      <c r="CL123" s="169" t="s">
        <v>395</v>
      </c>
      <c r="CW123" s="169" t="s">
        <v>395</v>
      </c>
      <c r="DH123" s="169" t="s">
        <v>395</v>
      </c>
      <c r="DS123" s="169" t="s">
        <v>395</v>
      </c>
      <c r="ED123" s="169" t="s">
        <v>395</v>
      </c>
      <c r="EO123" s="169" t="s">
        <v>395</v>
      </c>
      <c r="EZ123" s="169" t="s">
        <v>395</v>
      </c>
      <c r="FK123" s="169" t="s">
        <v>395</v>
      </c>
      <c r="FV123" s="169" t="s">
        <v>395</v>
      </c>
      <c r="GG123" s="169" t="s">
        <v>395</v>
      </c>
      <c r="GR123" s="169" t="s">
        <v>395</v>
      </c>
      <c r="HC123" s="169" t="s">
        <v>395</v>
      </c>
      <c r="HN123" s="169" t="s">
        <v>395</v>
      </c>
      <c r="HY123" s="169" t="s">
        <v>395</v>
      </c>
      <c r="IJ123" s="169" t="s">
        <v>395</v>
      </c>
      <c r="IU123" s="169" t="s">
        <v>395</v>
      </c>
    </row>
    <row r="124" spans="2:255">
      <c r="B124" s="169" t="s">
        <v>395</v>
      </c>
      <c r="M124" s="169" t="s">
        <v>395</v>
      </c>
      <c r="X124" s="169" t="s">
        <v>395</v>
      </c>
      <c r="AI124" s="169" t="s">
        <v>395</v>
      </c>
      <c r="AT124" s="169" t="s">
        <v>395</v>
      </c>
      <c r="BE124" s="169" t="s">
        <v>395</v>
      </c>
      <c r="BP124" s="169" t="s">
        <v>395</v>
      </c>
      <c r="CA124" s="169" t="s">
        <v>395</v>
      </c>
      <c r="CL124" s="169" t="s">
        <v>395</v>
      </c>
      <c r="CW124" s="169" t="s">
        <v>395</v>
      </c>
      <c r="DH124" s="169" t="s">
        <v>395</v>
      </c>
      <c r="DS124" s="169" t="s">
        <v>395</v>
      </c>
      <c r="ED124" s="169" t="s">
        <v>395</v>
      </c>
      <c r="EO124" s="169" t="s">
        <v>395</v>
      </c>
      <c r="EZ124" s="169" t="s">
        <v>395</v>
      </c>
      <c r="FK124" s="169" t="s">
        <v>395</v>
      </c>
      <c r="FV124" s="169" t="s">
        <v>395</v>
      </c>
      <c r="GG124" s="169" t="s">
        <v>395</v>
      </c>
      <c r="GR124" s="169" t="s">
        <v>395</v>
      </c>
      <c r="HC124" s="169" t="s">
        <v>395</v>
      </c>
      <c r="HN124" s="169" t="s">
        <v>395</v>
      </c>
      <c r="HY124" s="169" t="s">
        <v>395</v>
      </c>
      <c r="IJ124" s="169" t="s">
        <v>395</v>
      </c>
      <c r="IU124" s="169" t="s">
        <v>395</v>
      </c>
    </row>
    <row r="125" spans="2:255">
      <c r="B125" s="169" t="s">
        <v>395</v>
      </c>
      <c r="M125" s="169" t="s">
        <v>395</v>
      </c>
      <c r="X125" s="169" t="s">
        <v>395</v>
      </c>
      <c r="AI125" s="169" t="s">
        <v>395</v>
      </c>
      <c r="AT125" s="169" t="s">
        <v>395</v>
      </c>
      <c r="BE125" s="169" t="s">
        <v>395</v>
      </c>
      <c r="BP125" s="169" t="s">
        <v>395</v>
      </c>
      <c r="CA125" s="169" t="s">
        <v>395</v>
      </c>
      <c r="CL125" s="169" t="s">
        <v>395</v>
      </c>
      <c r="CW125" s="169" t="s">
        <v>395</v>
      </c>
      <c r="DH125" s="169" t="s">
        <v>395</v>
      </c>
      <c r="DS125" s="169" t="s">
        <v>395</v>
      </c>
      <c r="ED125" s="169" t="s">
        <v>395</v>
      </c>
      <c r="EO125" s="169" t="s">
        <v>395</v>
      </c>
      <c r="EZ125" s="169" t="s">
        <v>395</v>
      </c>
      <c r="FK125" s="169" t="s">
        <v>395</v>
      </c>
      <c r="FV125" s="169" t="s">
        <v>395</v>
      </c>
      <c r="GG125" s="169" t="s">
        <v>395</v>
      </c>
      <c r="GR125" s="169" t="s">
        <v>395</v>
      </c>
      <c r="HC125" s="169" t="s">
        <v>395</v>
      </c>
      <c r="HN125" s="169" t="s">
        <v>395</v>
      </c>
      <c r="HY125" s="169" t="s">
        <v>395</v>
      </c>
      <c r="IJ125" s="169" t="s">
        <v>395</v>
      </c>
      <c r="IU125" s="169" t="s">
        <v>395</v>
      </c>
    </row>
    <row r="126" spans="2:255">
      <c r="B126" s="169" t="s">
        <v>395</v>
      </c>
      <c r="M126" s="169" t="s">
        <v>395</v>
      </c>
      <c r="X126" s="169" t="s">
        <v>395</v>
      </c>
      <c r="AI126" s="169" t="s">
        <v>395</v>
      </c>
      <c r="AT126" s="169" t="s">
        <v>395</v>
      </c>
      <c r="BE126" s="169" t="s">
        <v>395</v>
      </c>
      <c r="BP126" s="169" t="s">
        <v>395</v>
      </c>
      <c r="CA126" s="169" t="s">
        <v>395</v>
      </c>
      <c r="CL126" s="169" t="s">
        <v>395</v>
      </c>
      <c r="CW126" s="169" t="s">
        <v>395</v>
      </c>
      <c r="DH126" s="169" t="s">
        <v>395</v>
      </c>
      <c r="DS126" s="169" t="s">
        <v>395</v>
      </c>
      <c r="ED126" s="169" t="s">
        <v>395</v>
      </c>
      <c r="EO126" s="169" t="s">
        <v>395</v>
      </c>
      <c r="EZ126" s="169" t="s">
        <v>395</v>
      </c>
      <c r="FK126" s="169" t="s">
        <v>395</v>
      </c>
      <c r="FV126" s="169" t="s">
        <v>395</v>
      </c>
      <c r="GG126" s="169" t="s">
        <v>395</v>
      </c>
      <c r="GR126" s="169" t="s">
        <v>395</v>
      </c>
      <c r="HC126" s="169" t="s">
        <v>395</v>
      </c>
      <c r="HN126" s="169" t="s">
        <v>395</v>
      </c>
      <c r="HY126" s="169" t="s">
        <v>395</v>
      </c>
      <c r="IJ126" s="169" t="s">
        <v>395</v>
      </c>
      <c r="IU126" s="169" t="s">
        <v>395</v>
      </c>
    </row>
    <row r="127" spans="2:255">
      <c r="B127" s="169" t="s">
        <v>395</v>
      </c>
      <c r="M127" s="169" t="s">
        <v>395</v>
      </c>
      <c r="X127" s="169" t="s">
        <v>395</v>
      </c>
      <c r="AI127" s="169" t="s">
        <v>395</v>
      </c>
      <c r="AT127" s="169" t="s">
        <v>395</v>
      </c>
      <c r="BE127" s="169" t="s">
        <v>395</v>
      </c>
      <c r="BP127" s="169" t="s">
        <v>395</v>
      </c>
      <c r="CA127" s="169" t="s">
        <v>395</v>
      </c>
      <c r="CL127" s="169" t="s">
        <v>395</v>
      </c>
      <c r="CW127" s="169" t="s">
        <v>395</v>
      </c>
      <c r="DH127" s="169" t="s">
        <v>395</v>
      </c>
      <c r="DS127" s="169" t="s">
        <v>395</v>
      </c>
      <c r="ED127" s="169" t="s">
        <v>395</v>
      </c>
      <c r="EO127" s="169" t="s">
        <v>395</v>
      </c>
      <c r="EZ127" s="169" t="s">
        <v>395</v>
      </c>
      <c r="FK127" s="169" t="s">
        <v>395</v>
      </c>
      <c r="FV127" s="169" t="s">
        <v>395</v>
      </c>
      <c r="GG127" s="169" t="s">
        <v>395</v>
      </c>
      <c r="GR127" s="169" t="s">
        <v>395</v>
      </c>
      <c r="HC127" s="169" t="s">
        <v>395</v>
      </c>
      <c r="HN127" s="169" t="s">
        <v>395</v>
      </c>
      <c r="HY127" s="169" t="s">
        <v>395</v>
      </c>
      <c r="IJ127" s="169" t="s">
        <v>395</v>
      </c>
      <c r="IU127" s="169" t="s">
        <v>395</v>
      </c>
    </row>
    <row r="128" spans="2:255">
      <c r="B128" s="169" t="s">
        <v>395</v>
      </c>
      <c r="M128" s="169" t="s">
        <v>395</v>
      </c>
      <c r="X128" s="169" t="s">
        <v>395</v>
      </c>
      <c r="AI128" s="169" t="s">
        <v>395</v>
      </c>
      <c r="AT128" s="169" t="s">
        <v>395</v>
      </c>
      <c r="BE128" s="169" t="s">
        <v>395</v>
      </c>
      <c r="BP128" s="169" t="s">
        <v>395</v>
      </c>
      <c r="CA128" s="169" t="s">
        <v>395</v>
      </c>
      <c r="CL128" s="169" t="s">
        <v>395</v>
      </c>
      <c r="CW128" s="169" t="s">
        <v>395</v>
      </c>
      <c r="DH128" s="169" t="s">
        <v>395</v>
      </c>
      <c r="DS128" s="169" t="s">
        <v>395</v>
      </c>
      <c r="ED128" s="169" t="s">
        <v>395</v>
      </c>
      <c r="EO128" s="169" t="s">
        <v>395</v>
      </c>
      <c r="EZ128" s="169" t="s">
        <v>395</v>
      </c>
      <c r="FK128" s="169" t="s">
        <v>395</v>
      </c>
      <c r="FV128" s="169" t="s">
        <v>395</v>
      </c>
      <c r="GG128" s="169" t="s">
        <v>395</v>
      </c>
      <c r="GR128" s="169" t="s">
        <v>395</v>
      </c>
      <c r="HC128" s="169" t="s">
        <v>395</v>
      </c>
      <c r="HN128" s="169" t="s">
        <v>395</v>
      </c>
      <c r="HY128" s="169" t="s">
        <v>395</v>
      </c>
      <c r="IJ128" s="169" t="s">
        <v>395</v>
      </c>
      <c r="IU128" s="169" t="s">
        <v>395</v>
      </c>
    </row>
    <row r="129" spans="2:255">
      <c r="B129" s="169" t="s">
        <v>395</v>
      </c>
      <c r="M129" s="169" t="s">
        <v>395</v>
      </c>
      <c r="X129" s="169" t="s">
        <v>395</v>
      </c>
      <c r="AI129" s="169" t="s">
        <v>395</v>
      </c>
      <c r="AT129" s="169" t="s">
        <v>395</v>
      </c>
      <c r="BE129" s="169" t="s">
        <v>395</v>
      </c>
      <c r="BP129" s="169" t="s">
        <v>395</v>
      </c>
      <c r="CA129" s="169" t="s">
        <v>395</v>
      </c>
      <c r="CL129" s="169" t="s">
        <v>395</v>
      </c>
      <c r="CW129" s="169" t="s">
        <v>395</v>
      </c>
      <c r="DH129" s="169" t="s">
        <v>395</v>
      </c>
      <c r="DS129" s="169" t="s">
        <v>395</v>
      </c>
      <c r="ED129" s="169" t="s">
        <v>395</v>
      </c>
      <c r="EO129" s="169" t="s">
        <v>395</v>
      </c>
      <c r="EZ129" s="169" t="s">
        <v>395</v>
      </c>
      <c r="FK129" s="169" t="s">
        <v>395</v>
      </c>
      <c r="FV129" s="169" t="s">
        <v>395</v>
      </c>
      <c r="GG129" s="169" t="s">
        <v>395</v>
      </c>
      <c r="GR129" s="169" t="s">
        <v>395</v>
      </c>
      <c r="HC129" s="169" t="s">
        <v>395</v>
      </c>
      <c r="HN129" s="169" t="s">
        <v>395</v>
      </c>
      <c r="HY129" s="169" t="s">
        <v>395</v>
      </c>
      <c r="IJ129" s="169" t="s">
        <v>395</v>
      </c>
      <c r="IU129" s="169" t="s">
        <v>395</v>
      </c>
    </row>
    <row r="130" spans="2:255">
      <c r="B130" s="169" t="s">
        <v>395</v>
      </c>
      <c r="M130" s="169" t="s">
        <v>395</v>
      </c>
      <c r="X130" s="169" t="s">
        <v>395</v>
      </c>
      <c r="AI130" s="169" t="s">
        <v>395</v>
      </c>
      <c r="AT130" s="169" t="s">
        <v>395</v>
      </c>
      <c r="BE130" s="169" t="s">
        <v>395</v>
      </c>
      <c r="BP130" s="169" t="s">
        <v>395</v>
      </c>
      <c r="CA130" s="169" t="s">
        <v>395</v>
      </c>
      <c r="CL130" s="169" t="s">
        <v>395</v>
      </c>
      <c r="CW130" s="169" t="s">
        <v>395</v>
      </c>
      <c r="DH130" s="169" t="s">
        <v>395</v>
      </c>
      <c r="DS130" s="169" t="s">
        <v>395</v>
      </c>
      <c r="ED130" s="169" t="s">
        <v>395</v>
      </c>
      <c r="EO130" s="169" t="s">
        <v>395</v>
      </c>
      <c r="EZ130" s="169" t="s">
        <v>395</v>
      </c>
      <c r="FK130" s="169" t="s">
        <v>395</v>
      </c>
      <c r="FV130" s="169" t="s">
        <v>395</v>
      </c>
      <c r="GG130" s="169" t="s">
        <v>395</v>
      </c>
      <c r="GR130" s="169" t="s">
        <v>395</v>
      </c>
      <c r="HC130" s="169" t="s">
        <v>395</v>
      </c>
      <c r="HN130" s="169" t="s">
        <v>395</v>
      </c>
      <c r="HY130" s="169" t="s">
        <v>395</v>
      </c>
      <c r="IJ130" s="169" t="s">
        <v>395</v>
      </c>
      <c r="IU130" s="169" t="s">
        <v>395</v>
      </c>
    </row>
    <row r="131" spans="2:255">
      <c r="B131" s="169" t="s">
        <v>395</v>
      </c>
      <c r="M131" s="169" t="s">
        <v>395</v>
      </c>
      <c r="X131" s="169" t="s">
        <v>395</v>
      </c>
      <c r="AI131" s="169" t="s">
        <v>395</v>
      </c>
      <c r="AT131" s="169" t="s">
        <v>395</v>
      </c>
      <c r="BE131" s="169" t="s">
        <v>395</v>
      </c>
      <c r="BP131" s="169" t="s">
        <v>395</v>
      </c>
      <c r="CA131" s="169" t="s">
        <v>395</v>
      </c>
      <c r="CL131" s="169" t="s">
        <v>395</v>
      </c>
      <c r="CW131" s="169" t="s">
        <v>395</v>
      </c>
      <c r="DH131" s="169" t="s">
        <v>395</v>
      </c>
      <c r="DS131" s="169" t="s">
        <v>395</v>
      </c>
      <c r="ED131" s="169" t="s">
        <v>395</v>
      </c>
      <c r="EO131" s="169" t="s">
        <v>395</v>
      </c>
      <c r="EZ131" s="169" t="s">
        <v>395</v>
      </c>
      <c r="FK131" s="169" t="s">
        <v>395</v>
      </c>
      <c r="FV131" s="169" t="s">
        <v>395</v>
      </c>
      <c r="GG131" s="169" t="s">
        <v>395</v>
      </c>
      <c r="GR131" s="169" t="s">
        <v>395</v>
      </c>
      <c r="HC131" s="169" t="s">
        <v>395</v>
      </c>
      <c r="HN131" s="169" t="s">
        <v>395</v>
      </c>
      <c r="HY131" s="169" t="s">
        <v>395</v>
      </c>
      <c r="IJ131" s="169" t="s">
        <v>395</v>
      </c>
      <c r="IU131" s="169" t="s">
        <v>395</v>
      </c>
    </row>
    <row r="132" spans="2:255">
      <c r="B132" s="169" t="s">
        <v>395</v>
      </c>
      <c r="M132" s="169" t="s">
        <v>395</v>
      </c>
      <c r="X132" s="169" t="s">
        <v>395</v>
      </c>
      <c r="AI132" s="169" t="s">
        <v>395</v>
      </c>
      <c r="AT132" s="169" t="s">
        <v>395</v>
      </c>
      <c r="BE132" s="169" t="s">
        <v>395</v>
      </c>
      <c r="BP132" s="169" t="s">
        <v>395</v>
      </c>
      <c r="CA132" s="169" t="s">
        <v>395</v>
      </c>
      <c r="CL132" s="169" t="s">
        <v>395</v>
      </c>
      <c r="CW132" s="169" t="s">
        <v>395</v>
      </c>
      <c r="DH132" s="169" t="s">
        <v>395</v>
      </c>
      <c r="DS132" s="169" t="s">
        <v>395</v>
      </c>
      <c r="ED132" s="169" t="s">
        <v>395</v>
      </c>
      <c r="EO132" s="169" t="s">
        <v>395</v>
      </c>
      <c r="EZ132" s="169" t="s">
        <v>395</v>
      </c>
      <c r="FK132" s="169" t="s">
        <v>395</v>
      </c>
      <c r="FV132" s="169" t="s">
        <v>395</v>
      </c>
      <c r="GG132" s="169" t="s">
        <v>395</v>
      </c>
      <c r="GR132" s="169" t="s">
        <v>395</v>
      </c>
      <c r="HC132" s="169" t="s">
        <v>395</v>
      </c>
      <c r="HN132" s="169" t="s">
        <v>395</v>
      </c>
      <c r="HY132" s="169" t="s">
        <v>395</v>
      </c>
      <c r="IJ132" s="169" t="s">
        <v>395</v>
      </c>
      <c r="IU132" s="169" t="s">
        <v>395</v>
      </c>
    </row>
    <row r="133" spans="2:255">
      <c r="B133" s="169" t="s">
        <v>395</v>
      </c>
      <c r="M133" s="169" t="s">
        <v>395</v>
      </c>
      <c r="X133" s="169" t="s">
        <v>395</v>
      </c>
      <c r="AI133" s="169" t="s">
        <v>395</v>
      </c>
      <c r="AT133" s="169" t="s">
        <v>395</v>
      </c>
      <c r="BE133" s="169" t="s">
        <v>395</v>
      </c>
      <c r="BP133" s="169" t="s">
        <v>395</v>
      </c>
      <c r="CA133" s="169" t="s">
        <v>395</v>
      </c>
      <c r="CL133" s="169" t="s">
        <v>395</v>
      </c>
      <c r="CW133" s="169" t="s">
        <v>395</v>
      </c>
      <c r="DH133" s="169" t="s">
        <v>395</v>
      </c>
      <c r="DS133" s="169" t="s">
        <v>395</v>
      </c>
      <c r="ED133" s="169" t="s">
        <v>395</v>
      </c>
      <c r="EO133" s="169" t="s">
        <v>395</v>
      </c>
      <c r="EZ133" s="169" t="s">
        <v>395</v>
      </c>
      <c r="FK133" s="169" t="s">
        <v>395</v>
      </c>
      <c r="FV133" s="169" t="s">
        <v>395</v>
      </c>
      <c r="GG133" s="169" t="s">
        <v>395</v>
      </c>
      <c r="GR133" s="169" t="s">
        <v>395</v>
      </c>
      <c r="HC133" s="169" t="s">
        <v>395</v>
      </c>
      <c r="HN133" s="169" t="s">
        <v>395</v>
      </c>
      <c r="HY133" s="169" t="s">
        <v>395</v>
      </c>
      <c r="IJ133" s="169" t="s">
        <v>395</v>
      </c>
      <c r="IU133" s="169" t="s">
        <v>395</v>
      </c>
    </row>
    <row r="134" spans="2:255">
      <c r="B134" s="169" t="s">
        <v>395</v>
      </c>
      <c r="M134" s="169" t="s">
        <v>395</v>
      </c>
      <c r="X134" s="169" t="s">
        <v>395</v>
      </c>
      <c r="AI134" s="169" t="s">
        <v>395</v>
      </c>
      <c r="AT134" s="169" t="s">
        <v>395</v>
      </c>
      <c r="BE134" s="169" t="s">
        <v>395</v>
      </c>
      <c r="BP134" s="169" t="s">
        <v>395</v>
      </c>
      <c r="CA134" s="169" t="s">
        <v>395</v>
      </c>
      <c r="CL134" s="169" t="s">
        <v>395</v>
      </c>
      <c r="CW134" s="169" t="s">
        <v>395</v>
      </c>
      <c r="DH134" s="169" t="s">
        <v>395</v>
      </c>
      <c r="DS134" s="169" t="s">
        <v>395</v>
      </c>
      <c r="ED134" s="169" t="s">
        <v>395</v>
      </c>
      <c r="EO134" s="169" t="s">
        <v>395</v>
      </c>
      <c r="EZ134" s="169" t="s">
        <v>395</v>
      </c>
      <c r="FK134" s="169" t="s">
        <v>395</v>
      </c>
      <c r="FV134" s="169" t="s">
        <v>395</v>
      </c>
      <c r="GG134" s="169" t="s">
        <v>395</v>
      </c>
      <c r="GR134" s="169" t="s">
        <v>395</v>
      </c>
      <c r="HC134" s="169" t="s">
        <v>395</v>
      </c>
      <c r="HN134" s="169" t="s">
        <v>395</v>
      </c>
      <c r="HY134" s="169" t="s">
        <v>395</v>
      </c>
      <c r="IJ134" s="169" t="s">
        <v>395</v>
      </c>
      <c r="IU134" s="169" t="s">
        <v>395</v>
      </c>
    </row>
    <row r="135" spans="2:255">
      <c r="B135" s="169" t="s">
        <v>395</v>
      </c>
      <c r="M135" s="169" t="s">
        <v>395</v>
      </c>
      <c r="X135" s="169" t="s">
        <v>395</v>
      </c>
      <c r="AI135" s="169" t="s">
        <v>395</v>
      </c>
      <c r="AT135" s="169" t="s">
        <v>395</v>
      </c>
      <c r="BE135" s="169" t="s">
        <v>395</v>
      </c>
      <c r="BP135" s="169" t="s">
        <v>395</v>
      </c>
      <c r="CA135" s="169" t="s">
        <v>395</v>
      </c>
      <c r="CL135" s="169" t="s">
        <v>395</v>
      </c>
      <c r="CW135" s="169" t="s">
        <v>395</v>
      </c>
      <c r="DH135" s="169" t="s">
        <v>395</v>
      </c>
      <c r="DS135" s="169" t="s">
        <v>395</v>
      </c>
      <c r="ED135" s="169" t="s">
        <v>395</v>
      </c>
      <c r="EO135" s="169" t="s">
        <v>395</v>
      </c>
      <c r="EZ135" s="169" t="s">
        <v>395</v>
      </c>
      <c r="FK135" s="169" t="s">
        <v>395</v>
      </c>
      <c r="FV135" s="169" t="s">
        <v>395</v>
      </c>
      <c r="GG135" s="169" t="s">
        <v>395</v>
      </c>
      <c r="GR135" s="169" t="s">
        <v>395</v>
      </c>
      <c r="HC135" s="169" t="s">
        <v>395</v>
      </c>
      <c r="HN135" s="169" t="s">
        <v>395</v>
      </c>
      <c r="HY135" s="169" t="s">
        <v>395</v>
      </c>
      <c r="IJ135" s="169" t="s">
        <v>395</v>
      </c>
      <c r="IU135" s="169" t="s">
        <v>395</v>
      </c>
    </row>
    <row r="136" spans="2:255">
      <c r="B136" s="169" t="s">
        <v>395</v>
      </c>
      <c r="M136" s="169" t="s">
        <v>395</v>
      </c>
      <c r="X136" s="169" t="s">
        <v>395</v>
      </c>
      <c r="AI136" s="169" t="s">
        <v>395</v>
      </c>
      <c r="AT136" s="169" t="s">
        <v>395</v>
      </c>
      <c r="BE136" s="169" t="s">
        <v>395</v>
      </c>
      <c r="BP136" s="169" t="s">
        <v>395</v>
      </c>
      <c r="CA136" s="169" t="s">
        <v>395</v>
      </c>
      <c r="CL136" s="169" t="s">
        <v>395</v>
      </c>
      <c r="CW136" s="169" t="s">
        <v>395</v>
      </c>
      <c r="DH136" s="169" t="s">
        <v>395</v>
      </c>
      <c r="DS136" s="169" t="s">
        <v>395</v>
      </c>
      <c r="ED136" s="169" t="s">
        <v>395</v>
      </c>
      <c r="EO136" s="169" t="s">
        <v>395</v>
      </c>
      <c r="EZ136" s="169" t="s">
        <v>395</v>
      </c>
      <c r="FK136" s="169" t="s">
        <v>395</v>
      </c>
      <c r="FV136" s="169" t="s">
        <v>395</v>
      </c>
      <c r="GG136" s="169" t="s">
        <v>395</v>
      </c>
      <c r="GR136" s="169" t="s">
        <v>395</v>
      </c>
      <c r="HC136" s="169" t="s">
        <v>395</v>
      </c>
      <c r="HN136" s="169" t="s">
        <v>395</v>
      </c>
      <c r="HY136" s="169" t="s">
        <v>395</v>
      </c>
      <c r="IJ136" s="169" t="s">
        <v>395</v>
      </c>
      <c r="IU136" s="169" t="s">
        <v>395</v>
      </c>
    </row>
    <row r="137" spans="2:255">
      <c r="B137" s="169" t="s">
        <v>395</v>
      </c>
      <c r="M137" s="169" t="s">
        <v>395</v>
      </c>
      <c r="X137" s="169" t="s">
        <v>395</v>
      </c>
      <c r="AI137" s="169" t="s">
        <v>395</v>
      </c>
      <c r="AT137" s="169" t="s">
        <v>395</v>
      </c>
      <c r="BE137" s="169" t="s">
        <v>395</v>
      </c>
      <c r="BP137" s="169" t="s">
        <v>395</v>
      </c>
      <c r="CA137" s="169" t="s">
        <v>395</v>
      </c>
      <c r="CL137" s="169" t="s">
        <v>395</v>
      </c>
      <c r="CW137" s="169" t="s">
        <v>395</v>
      </c>
      <c r="DH137" s="169" t="s">
        <v>395</v>
      </c>
      <c r="DS137" s="169" t="s">
        <v>395</v>
      </c>
      <c r="ED137" s="169" t="s">
        <v>395</v>
      </c>
      <c r="EO137" s="169" t="s">
        <v>395</v>
      </c>
      <c r="EZ137" s="169" t="s">
        <v>395</v>
      </c>
      <c r="FK137" s="169" t="s">
        <v>395</v>
      </c>
      <c r="FV137" s="169" t="s">
        <v>395</v>
      </c>
      <c r="GG137" s="169" t="s">
        <v>395</v>
      </c>
      <c r="GR137" s="169" t="s">
        <v>395</v>
      </c>
      <c r="HC137" s="169" t="s">
        <v>395</v>
      </c>
      <c r="HN137" s="169" t="s">
        <v>395</v>
      </c>
      <c r="HY137" s="169" t="s">
        <v>395</v>
      </c>
      <c r="IJ137" s="169" t="s">
        <v>395</v>
      </c>
      <c r="IU137" s="169" t="s">
        <v>395</v>
      </c>
    </row>
    <row r="138" spans="2:255">
      <c r="B138" s="169" t="s">
        <v>395</v>
      </c>
      <c r="M138" s="169" t="s">
        <v>395</v>
      </c>
      <c r="X138" s="169" t="s">
        <v>395</v>
      </c>
      <c r="AI138" s="169" t="s">
        <v>395</v>
      </c>
      <c r="AT138" s="169" t="s">
        <v>395</v>
      </c>
      <c r="BE138" s="169" t="s">
        <v>395</v>
      </c>
      <c r="BP138" s="169" t="s">
        <v>395</v>
      </c>
      <c r="CA138" s="169" t="s">
        <v>395</v>
      </c>
      <c r="CL138" s="169" t="s">
        <v>395</v>
      </c>
      <c r="CW138" s="169" t="s">
        <v>395</v>
      </c>
      <c r="DH138" s="169" t="s">
        <v>395</v>
      </c>
      <c r="DS138" s="169" t="s">
        <v>395</v>
      </c>
      <c r="ED138" s="169" t="s">
        <v>395</v>
      </c>
      <c r="EO138" s="169" t="s">
        <v>395</v>
      </c>
      <c r="EZ138" s="169" t="s">
        <v>395</v>
      </c>
      <c r="FK138" s="169" t="s">
        <v>395</v>
      </c>
      <c r="FV138" s="169" t="s">
        <v>395</v>
      </c>
      <c r="GG138" s="169" t="s">
        <v>395</v>
      </c>
      <c r="GR138" s="169" t="s">
        <v>395</v>
      </c>
      <c r="HC138" s="169" t="s">
        <v>395</v>
      </c>
      <c r="HN138" s="169" t="s">
        <v>395</v>
      </c>
      <c r="HY138" s="169" t="s">
        <v>395</v>
      </c>
      <c r="IJ138" s="169" t="s">
        <v>395</v>
      </c>
      <c r="IU138" s="169" t="s">
        <v>395</v>
      </c>
    </row>
    <row r="139" spans="2:255">
      <c r="B139" s="169" t="s">
        <v>395</v>
      </c>
      <c r="M139" s="169" t="s">
        <v>395</v>
      </c>
      <c r="X139" s="169" t="s">
        <v>395</v>
      </c>
      <c r="AI139" s="169" t="s">
        <v>395</v>
      </c>
      <c r="AT139" s="169" t="s">
        <v>395</v>
      </c>
      <c r="BE139" s="169" t="s">
        <v>395</v>
      </c>
      <c r="BP139" s="169" t="s">
        <v>395</v>
      </c>
      <c r="CA139" s="169" t="s">
        <v>395</v>
      </c>
      <c r="CL139" s="169" t="s">
        <v>395</v>
      </c>
      <c r="CW139" s="169" t="s">
        <v>395</v>
      </c>
      <c r="DH139" s="169" t="s">
        <v>395</v>
      </c>
      <c r="DS139" s="169" t="s">
        <v>395</v>
      </c>
      <c r="ED139" s="169" t="s">
        <v>395</v>
      </c>
      <c r="EO139" s="169" t="s">
        <v>395</v>
      </c>
      <c r="EZ139" s="169" t="s">
        <v>395</v>
      </c>
      <c r="FK139" s="169" t="s">
        <v>395</v>
      </c>
      <c r="FV139" s="169" t="s">
        <v>395</v>
      </c>
      <c r="GG139" s="169" t="s">
        <v>395</v>
      </c>
      <c r="GR139" s="169" t="s">
        <v>395</v>
      </c>
      <c r="HC139" s="169" t="s">
        <v>395</v>
      </c>
      <c r="HN139" s="169" t="s">
        <v>395</v>
      </c>
      <c r="HY139" s="169" t="s">
        <v>395</v>
      </c>
      <c r="IJ139" s="169" t="s">
        <v>395</v>
      </c>
      <c r="IU139" s="169" t="s">
        <v>395</v>
      </c>
    </row>
    <row r="140" spans="2:255">
      <c r="B140" s="169" t="s">
        <v>395</v>
      </c>
      <c r="M140" s="169" t="s">
        <v>395</v>
      </c>
      <c r="X140" s="169" t="s">
        <v>395</v>
      </c>
      <c r="AI140" s="169" t="s">
        <v>395</v>
      </c>
      <c r="AT140" s="169" t="s">
        <v>395</v>
      </c>
      <c r="BE140" s="169" t="s">
        <v>395</v>
      </c>
      <c r="BP140" s="169" t="s">
        <v>395</v>
      </c>
      <c r="CA140" s="169" t="s">
        <v>395</v>
      </c>
      <c r="CL140" s="169" t="s">
        <v>395</v>
      </c>
      <c r="CW140" s="169" t="s">
        <v>395</v>
      </c>
      <c r="DH140" s="169" t="s">
        <v>395</v>
      </c>
      <c r="DS140" s="169" t="s">
        <v>395</v>
      </c>
      <c r="ED140" s="169" t="s">
        <v>395</v>
      </c>
      <c r="EO140" s="169" t="s">
        <v>395</v>
      </c>
      <c r="EZ140" s="169" t="s">
        <v>395</v>
      </c>
      <c r="FK140" s="169" t="s">
        <v>395</v>
      </c>
      <c r="FV140" s="169" t="s">
        <v>395</v>
      </c>
      <c r="GG140" s="169" t="s">
        <v>395</v>
      </c>
      <c r="GR140" s="169" t="s">
        <v>395</v>
      </c>
      <c r="HC140" s="169" t="s">
        <v>395</v>
      </c>
      <c r="HN140" s="169" t="s">
        <v>395</v>
      </c>
      <c r="HY140" s="169" t="s">
        <v>395</v>
      </c>
      <c r="IJ140" s="169" t="s">
        <v>395</v>
      </c>
      <c r="IU140" s="169" t="s">
        <v>395</v>
      </c>
    </row>
    <row r="141" spans="2:255">
      <c r="B141" s="169" t="s">
        <v>395</v>
      </c>
      <c r="M141" s="169" t="s">
        <v>395</v>
      </c>
      <c r="X141" s="169" t="s">
        <v>395</v>
      </c>
      <c r="AI141" s="169" t="s">
        <v>395</v>
      </c>
      <c r="AT141" s="169" t="s">
        <v>395</v>
      </c>
      <c r="BE141" s="169" t="s">
        <v>395</v>
      </c>
      <c r="BP141" s="169" t="s">
        <v>395</v>
      </c>
      <c r="CA141" s="169" t="s">
        <v>395</v>
      </c>
      <c r="CL141" s="169" t="s">
        <v>395</v>
      </c>
      <c r="CW141" s="169" t="s">
        <v>395</v>
      </c>
      <c r="DH141" s="169" t="s">
        <v>395</v>
      </c>
      <c r="DS141" s="169" t="s">
        <v>395</v>
      </c>
      <c r="ED141" s="169" t="s">
        <v>395</v>
      </c>
      <c r="EO141" s="169" t="s">
        <v>395</v>
      </c>
      <c r="EZ141" s="169" t="s">
        <v>395</v>
      </c>
      <c r="FK141" s="169" t="s">
        <v>395</v>
      </c>
      <c r="FV141" s="169" t="s">
        <v>395</v>
      </c>
      <c r="GG141" s="169" t="s">
        <v>395</v>
      </c>
      <c r="GR141" s="169" t="s">
        <v>395</v>
      </c>
      <c r="HC141" s="169" t="s">
        <v>395</v>
      </c>
      <c r="HN141" s="169" t="s">
        <v>395</v>
      </c>
      <c r="HY141" s="169" t="s">
        <v>395</v>
      </c>
      <c r="IJ141" s="169" t="s">
        <v>395</v>
      </c>
      <c r="IU141" s="169" t="s">
        <v>395</v>
      </c>
    </row>
    <row r="142" spans="2:255">
      <c r="B142" s="169" t="s">
        <v>395</v>
      </c>
      <c r="M142" s="169" t="s">
        <v>395</v>
      </c>
      <c r="X142" s="169" t="s">
        <v>395</v>
      </c>
      <c r="AI142" s="169" t="s">
        <v>395</v>
      </c>
      <c r="AT142" s="169" t="s">
        <v>395</v>
      </c>
      <c r="BE142" s="169" t="s">
        <v>395</v>
      </c>
      <c r="BP142" s="169" t="s">
        <v>395</v>
      </c>
      <c r="CA142" s="169" t="s">
        <v>395</v>
      </c>
      <c r="CL142" s="169" t="s">
        <v>395</v>
      </c>
      <c r="CW142" s="169" t="s">
        <v>395</v>
      </c>
      <c r="DH142" s="169" t="s">
        <v>395</v>
      </c>
      <c r="DS142" s="169" t="s">
        <v>395</v>
      </c>
      <c r="ED142" s="169" t="s">
        <v>395</v>
      </c>
      <c r="EO142" s="169" t="s">
        <v>395</v>
      </c>
      <c r="EZ142" s="169" t="s">
        <v>395</v>
      </c>
      <c r="FK142" s="169" t="s">
        <v>395</v>
      </c>
      <c r="FV142" s="169" t="s">
        <v>395</v>
      </c>
      <c r="GG142" s="169" t="s">
        <v>395</v>
      </c>
      <c r="GR142" s="169" t="s">
        <v>395</v>
      </c>
      <c r="HC142" s="169" t="s">
        <v>395</v>
      </c>
      <c r="HN142" s="169" t="s">
        <v>395</v>
      </c>
      <c r="HY142" s="169" t="s">
        <v>395</v>
      </c>
      <c r="IJ142" s="169" t="s">
        <v>395</v>
      </c>
      <c r="IU142" s="169" t="s">
        <v>395</v>
      </c>
    </row>
    <row r="143" spans="2:255">
      <c r="B143" s="169" t="s">
        <v>395</v>
      </c>
      <c r="M143" s="169" t="s">
        <v>395</v>
      </c>
      <c r="X143" s="169" t="s">
        <v>395</v>
      </c>
      <c r="AI143" s="169" t="s">
        <v>395</v>
      </c>
      <c r="AT143" s="169" t="s">
        <v>395</v>
      </c>
      <c r="BE143" s="169" t="s">
        <v>395</v>
      </c>
      <c r="BP143" s="169" t="s">
        <v>395</v>
      </c>
      <c r="CA143" s="169" t="s">
        <v>395</v>
      </c>
      <c r="CL143" s="169" t="s">
        <v>395</v>
      </c>
      <c r="CW143" s="169" t="s">
        <v>395</v>
      </c>
      <c r="DH143" s="169" t="s">
        <v>395</v>
      </c>
      <c r="DS143" s="169" t="s">
        <v>395</v>
      </c>
      <c r="ED143" s="169" t="s">
        <v>395</v>
      </c>
      <c r="EO143" s="169" t="s">
        <v>395</v>
      </c>
      <c r="EZ143" s="169" t="s">
        <v>395</v>
      </c>
      <c r="FK143" s="169" t="s">
        <v>395</v>
      </c>
      <c r="FV143" s="169" t="s">
        <v>395</v>
      </c>
      <c r="GG143" s="169" t="s">
        <v>395</v>
      </c>
      <c r="GR143" s="169" t="s">
        <v>395</v>
      </c>
      <c r="HC143" s="169" t="s">
        <v>395</v>
      </c>
      <c r="HN143" s="169" t="s">
        <v>395</v>
      </c>
      <c r="HY143" s="169" t="s">
        <v>395</v>
      </c>
      <c r="IJ143" s="169" t="s">
        <v>395</v>
      </c>
      <c r="IU143" s="169" t="s">
        <v>395</v>
      </c>
    </row>
    <row r="144" spans="2:255">
      <c r="B144" s="169" t="s">
        <v>395</v>
      </c>
      <c r="M144" s="169" t="s">
        <v>395</v>
      </c>
      <c r="X144" s="169" t="s">
        <v>395</v>
      </c>
      <c r="AI144" s="169" t="s">
        <v>395</v>
      </c>
      <c r="AT144" s="169" t="s">
        <v>395</v>
      </c>
      <c r="BE144" s="169" t="s">
        <v>395</v>
      </c>
      <c r="BP144" s="169" t="s">
        <v>395</v>
      </c>
      <c r="CA144" s="169" t="s">
        <v>395</v>
      </c>
      <c r="CL144" s="169" t="s">
        <v>395</v>
      </c>
      <c r="CW144" s="169" t="s">
        <v>395</v>
      </c>
      <c r="DH144" s="169" t="s">
        <v>395</v>
      </c>
      <c r="DS144" s="169" t="s">
        <v>395</v>
      </c>
      <c r="ED144" s="169" t="s">
        <v>395</v>
      </c>
      <c r="EO144" s="169" t="s">
        <v>395</v>
      </c>
      <c r="EZ144" s="169" t="s">
        <v>395</v>
      </c>
      <c r="FK144" s="169" t="s">
        <v>395</v>
      </c>
      <c r="FV144" s="169" t="s">
        <v>395</v>
      </c>
      <c r="GG144" s="169" t="s">
        <v>395</v>
      </c>
      <c r="GR144" s="169" t="s">
        <v>395</v>
      </c>
      <c r="HC144" s="169" t="s">
        <v>395</v>
      </c>
      <c r="HN144" s="169" t="s">
        <v>395</v>
      </c>
      <c r="HY144" s="169" t="s">
        <v>395</v>
      </c>
      <c r="IJ144" s="169" t="s">
        <v>395</v>
      </c>
      <c r="IU144" s="169" t="s">
        <v>395</v>
      </c>
    </row>
    <row r="145" spans="2:255">
      <c r="B145" s="169" t="s">
        <v>395</v>
      </c>
      <c r="M145" s="169" t="s">
        <v>395</v>
      </c>
      <c r="X145" s="169" t="s">
        <v>395</v>
      </c>
      <c r="AI145" s="169" t="s">
        <v>395</v>
      </c>
      <c r="AT145" s="169" t="s">
        <v>395</v>
      </c>
      <c r="BE145" s="169" t="s">
        <v>395</v>
      </c>
      <c r="BP145" s="169" t="s">
        <v>395</v>
      </c>
      <c r="CA145" s="169" t="s">
        <v>395</v>
      </c>
      <c r="CL145" s="169" t="s">
        <v>395</v>
      </c>
      <c r="CW145" s="169" t="s">
        <v>395</v>
      </c>
      <c r="DH145" s="169" t="s">
        <v>395</v>
      </c>
      <c r="DS145" s="169" t="s">
        <v>395</v>
      </c>
      <c r="ED145" s="169" t="s">
        <v>395</v>
      </c>
      <c r="EO145" s="169" t="s">
        <v>395</v>
      </c>
      <c r="EZ145" s="169" t="s">
        <v>395</v>
      </c>
      <c r="FK145" s="169" t="s">
        <v>395</v>
      </c>
      <c r="FV145" s="169" t="s">
        <v>395</v>
      </c>
      <c r="GG145" s="169" t="s">
        <v>395</v>
      </c>
      <c r="GR145" s="169" t="s">
        <v>395</v>
      </c>
      <c r="HC145" s="169" t="s">
        <v>395</v>
      </c>
      <c r="HN145" s="169" t="s">
        <v>395</v>
      </c>
      <c r="HY145" s="169" t="s">
        <v>395</v>
      </c>
      <c r="IJ145" s="169" t="s">
        <v>395</v>
      </c>
      <c r="IU145" s="169" t="s">
        <v>395</v>
      </c>
    </row>
    <row r="146" spans="2:255">
      <c r="B146" s="169" t="s">
        <v>395</v>
      </c>
      <c r="M146" s="169" t="s">
        <v>395</v>
      </c>
      <c r="X146" s="169" t="s">
        <v>395</v>
      </c>
      <c r="AI146" s="169" t="s">
        <v>395</v>
      </c>
      <c r="AT146" s="169" t="s">
        <v>395</v>
      </c>
      <c r="BE146" s="169" t="s">
        <v>395</v>
      </c>
      <c r="BP146" s="169" t="s">
        <v>395</v>
      </c>
      <c r="CA146" s="169" t="s">
        <v>395</v>
      </c>
      <c r="CL146" s="169" t="s">
        <v>395</v>
      </c>
      <c r="CW146" s="169" t="s">
        <v>395</v>
      </c>
      <c r="DH146" s="169" t="s">
        <v>395</v>
      </c>
      <c r="DS146" s="169" t="s">
        <v>395</v>
      </c>
      <c r="ED146" s="169" t="s">
        <v>395</v>
      </c>
      <c r="EO146" s="169" t="s">
        <v>395</v>
      </c>
      <c r="EZ146" s="169" t="s">
        <v>395</v>
      </c>
      <c r="FK146" s="169" t="s">
        <v>395</v>
      </c>
      <c r="FV146" s="169" t="s">
        <v>395</v>
      </c>
      <c r="GG146" s="169" t="s">
        <v>395</v>
      </c>
      <c r="GR146" s="169" t="s">
        <v>395</v>
      </c>
      <c r="HC146" s="169" t="s">
        <v>395</v>
      </c>
      <c r="HN146" s="169" t="s">
        <v>395</v>
      </c>
      <c r="HY146" s="169" t="s">
        <v>395</v>
      </c>
      <c r="IJ146" s="169" t="s">
        <v>395</v>
      </c>
      <c r="IU146" s="169" t="s">
        <v>395</v>
      </c>
    </row>
    <row r="147" spans="2:255">
      <c r="B147" s="169" t="s">
        <v>395</v>
      </c>
      <c r="M147" s="169" t="s">
        <v>395</v>
      </c>
      <c r="X147" s="169" t="s">
        <v>395</v>
      </c>
      <c r="AI147" s="169" t="s">
        <v>395</v>
      </c>
      <c r="AT147" s="169" t="s">
        <v>395</v>
      </c>
      <c r="BE147" s="169" t="s">
        <v>395</v>
      </c>
      <c r="BP147" s="169" t="s">
        <v>395</v>
      </c>
      <c r="CA147" s="169" t="s">
        <v>395</v>
      </c>
      <c r="CL147" s="169" t="s">
        <v>395</v>
      </c>
      <c r="CW147" s="169" t="s">
        <v>395</v>
      </c>
      <c r="DH147" s="169" t="s">
        <v>395</v>
      </c>
      <c r="DS147" s="169" t="s">
        <v>395</v>
      </c>
      <c r="ED147" s="169" t="s">
        <v>395</v>
      </c>
      <c r="EO147" s="169" t="s">
        <v>395</v>
      </c>
      <c r="EZ147" s="169" t="s">
        <v>395</v>
      </c>
      <c r="FK147" s="169" t="s">
        <v>395</v>
      </c>
      <c r="FV147" s="169" t="s">
        <v>395</v>
      </c>
      <c r="GG147" s="169" t="s">
        <v>395</v>
      </c>
      <c r="GR147" s="169" t="s">
        <v>395</v>
      </c>
      <c r="HC147" s="169" t="s">
        <v>395</v>
      </c>
      <c r="HN147" s="169" t="s">
        <v>395</v>
      </c>
      <c r="HY147" s="169" t="s">
        <v>395</v>
      </c>
      <c r="IJ147" s="169" t="s">
        <v>395</v>
      </c>
      <c r="IU147" s="169" t="s">
        <v>395</v>
      </c>
    </row>
    <row r="148" spans="2:255">
      <c r="B148" s="169" t="s">
        <v>395</v>
      </c>
      <c r="M148" s="169" t="s">
        <v>395</v>
      </c>
      <c r="X148" s="169" t="s">
        <v>395</v>
      </c>
      <c r="AI148" s="169" t="s">
        <v>395</v>
      </c>
      <c r="AT148" s="169" t="s">
        <v>395</v>
      </c>
      <c r="BE148" s="169" t="s">
        <v>395</v>
      </c>
      <c r="BP148" s="169" t="s">
        <v>395</v>
      </c>
      <c r="CA148" s="169" t="s">
        <v>395</v>
      </c>
      <c r="CL148" s="169" t="s">
        <v>395</v>
      </c>
      <c r="CW148" s="169" t="s">
        <v>395</v>
      </c>
      <c r="DH148" s="169" t="s">
        <v>395</v>
      </c>
      <c r="DS148" s="169" t="s">
        <v>395</v>
      </c>
      <c r="ED148" s="169" t="s">
        <v>395</v>
      </c>
      <c r="EO148" s="169" t="s">
        <v>395</v>
      </c>
      <c r="EZ148" s="169" t="s">
        <v>395</v>
      </c>
      <c r="FK148" s="169" t="s">
        <v>395</v>
      </c>
      <c r="FV148" s="169" t="s">
        <v>395</v>
      </c>
      <c r="GG148" s="169" t="s">
        <v>395</v>
      </c>
      <c r="GR148" s="169" t="s">
        <v>395</v>
      </c>
      <c r="HC148" s="169" t="s">
        <v>395</v>
      </c>
      <c r="HN148" s="169" t="s">
        <v>395</v>
      </c>
      <c r="HY148" s="169" t="s">
        <v>395</v>
      </c>
      <c r="IJ148" s="169" t="s">
        <v>395</v>
      </c>
      <c r="IU148" s="169" t="s">
        <v>395</v>
      </c>
    </row>
    <row r="149" spans="2:255">
      <c r="B149" s="169" t="s">
        <v>395</v>
      </c>
      <c r="M149" s="169" t="s">
        <v>395</v>
      </c>
      <c r="X149" s="169" t="s">
        <v>395</v>
      </c>
      <c r="AI149" s="169" t="s">
        <v>395</v>
      </c>
      <c r="AT149" s="169" t="s">
        <v>395</v>
      </c>
      <c r="BE149" s="169" t="s">
        <v>395</v>
      </c>
      <c r="BP149" s="169" t="s">
        <v>395</v>
      </c>
      <c r="CA149" s="169" t="s">
        <v>395</v>
      </c>
      <c r="CL149" s="169" t="s">
        <v>395</v>
      </c>
      <c r="CW149" s="169" t="s">
        <v>395</v>
      </c>
      <c r="DH149" s="169" t="s">
        <v>395</v>
      </c>
      <c r="DS149" s="169" t="s">
        <v>395</v>
      </c>
      <c r="ED149" s="169" t="s">
        <v>395</v>
      </c>
      <c r="EO149" s="169" t="s">
        <v>395</v>
      </c>
      <c r="EZ149" s="169" t="s">
        <v>395</v>
      </c>
      <c r="FK149" s="169" t="s">
        <v>395</v>
      </c>
      <c r="FV149" s="169" t="s">
        <v>395</v>
      </c>
      <c r="GG149" s="169" t="s">
        <v>395</v>
      </c>
      <c r="GR149" s="169" t="s">
        <v>395</v>
      </c>
      <c r="HC149" s="169" t="s">
        <v>395</v>
      </c>
      <c r="HN149" s="169" t="s">
        <v>395</v>
      </c>
      <c r="HY149" s="169" t="s">
        <v>395</v>
      </c>
      <c r="IJ149" s="169" t="s">
        <v>395</v>
      </c>
      <c r="IU149" s="169" t="s">
        <v>395</v>
      </c>
    </row>
    <row r="150" spans="2:255">
      <c r="B150" s="169" t="s">
        <v>395</v>
      </c>
      <c r="M150" s="169" t="s">
        <v>395</v>
      </c>
      <c r="X150" s="169" t="s">
        <v>395</v>
      </c>
      <c r="AI150" s="169" t="s">
        <v>395</v>
      </c>
      <c r="AT150" s="169" t="s">
        <v>395</v>
      </c>
      <c r="BE150" s="169" t="s">
        <v>395</v>
      </c>
      <c r="BP150" s="169" t="s">
        <v>395</v>
      </c>
      <c r="CA150" s="169" t="s">
        <v>395</v>
      </c>
      <c r="CL150" s="169" t="s">
        <v>395</v>
      </c>
      <c r="CW150" s="169" t="s">
        <v>395</v>
      </c>
      <c r="DH150" s="169" t="s">
        <v>395</v>
      </c>
      <c r="DS150" s="169" t="s">
        <v>395</v>
      </c>
      <c r="ED150" s="169" t="s">
        <v>395</v>
      </c>
      <c r="EO150" s="169" t="s">
        <v>395</v>
      </c>
      <c r="EZ150" s="169" t="s">
        <v>395</v>
      </c>
      <c r="FK150" s="169" t="s">
        <v>395</v>
      </c>
      <c r="FV150" s="169" t="s">
        <v>395</v>
      </c>
      <c r="GG150" s="169" t="s">
        <v>395</v>
      </c>
      <c r="GR150" s="169" t="s">
        <v>395</v>
      </c>
      <c r="HC150" s="169" t="s">
        <v>395</v>
      </c>
      <c r="HN150" s="169" t="s">
        <v>395</v>
      </c>
      <c r="HY150" s="169" t="s">
        <v>395</v>
      </c>
      <c r="IJ150" s="169" t="s">
        <v>395</v>
      </c>
      <c r="IU150" s="169" t="s">
        <v>395</v>
      </c>
    </row>
    <row r="151" spans="2:255">
      <c r="B151" s="169" t="s">
        <v>395</v>
      </c>
      <c r="M151" s="169" t="s">
        <v>395</v>
      </c>
      <c r="X151" s="169" t="s">
        <v>395</v>
      </c>
      <c r="AI151" s="169" t="s">
        <v>395</v>
      </c>
      <c r="AT151" s="169" t="s">
        <v>395</v>
      </c>
      <c r="BE151" s="169" t="s">
        <v>395</v>
      </c>
      <c r="BP151" s="169" t="s">
        <v>395</v>
      </c>
      <c r="CA151" s="169" t="s">
        <v>395</v>
      </c>
      <c r="CL151" s="169" t="s">
        <v>395</v>
      </c>
      <c r="CW151" s="169" t="s">
        <v>395</v>
      </c>
      <c r="DH151" s="169" t="s">
        <v>395</v>
      </c>
      <c r="DS151" s="169" t="s">
        <v>395</v>
      </c>
      <c r="ED151" s="169" t="s">
        <v>395</v>
      </c>
      <c r="EO151" s="169" t="s">
        <v>395</v>
      </c>
      <c r="EZ151" s="169" t="s">
        <v>395</v>
      </c>
      <c r="FK151" s="169" t="s">
        <v>395</v>
      </c>
      <c r="FV151" s="169" t="s">
        <v>395</v>
      </c>
      <c r="GG151" s="169" t="s">
        <v>395</v>
      </c>
      <c r="GR151" s="169" t="s">
        <v>395</v>
      </c>
      <c r="HC151" s="169" t="s">
        <v>395</v>
      </c>
      <c r="HN151" s="169" t="s">
        <v>395</v>
      </c>
      <c r="HY151" s="169" t="s">
        <v>395</v>
      </c>
      <c r="IJ151" s="169" t="s">
        <v>395</v>
      </c>
      <c r="IU151" s="169" t="s">
        <v>395</v>
      </c>
    </row>
    <row r="152" spans="2:255">
      <c r="B152" s="169" t="s">
        <v>395</v>
      </c>
      <c r="M152" s="169" t="s">
        <v>395</v>
      </c>
      <c r="X152" s="169" t="s">
        <v>395</v>
      </c>
      <c r="AI152" s="169" t="s">
        <v>395</v>
      </c>
      <c r="AT152" s="169" t="s">
        <v>395</v>
      </c>
      <c r="BE152" s="169" t="s">
        <v>395</v>
      </c>
      <c r="BP152" s="169" t="s">
        <v>395</v>
      </c>
      <c r="CA152" s="169" t="s">
        <v>395</v>
      </c>
      <c r="CL152" s="169" t="s">
        <v>395</v>
      </c>
      <c r="CW152" s="169" t="s">
        <v>395</v>
      </c>
      <c r="DH152" s="169" t="s">
        <v>395</v>
      </c>
      <c r="DS152" s="169" t="s">
        <v>395</v>
      </c>
      <c r="ED152" s="169" t="s">
        <v>395</v>
      </c>
      <c r="EO152" s="169" t="s">
        <v>395</v>
      </c>
      <c r="EZ152" s="169" t="s">
        <v>395</v>
      </c>
      <c r="FK152" s="169" t="s">
        <v>395</v>
      </c>
      <c r="FV152" s="169" t="s">
        <v>395</v>
      </c>
      <c r="GG152" s="169" t="s">
        <v>395</v>
      </c>
      <c r="GR152" s="169" t="s">
        <v>395</v>
      </c>
      <c r="HC152" s="169" t="s">
        <v>395</v>
      </c>
      <c r="HN152" s="169" t="s">
        <v>395</v>
      </c>
      <c r="HY152" s="169" t="s">
        <v>395</v>
      </c>
      <c r="IJ152" s="169" t="s">
        <v>395</v>
      </c>
      <c r="IU152" s="169" t="s">
        <v>395</v>
      </c>
    </row>
    <row r="153" spans="2:255">
      <c r="B153" s="169" t="s">
        <v>395</v>
      </c>
      <c r="M153" s="169" t="s">
        <v>395</v>
      </c>
      <c r="X153" s="169" t="s">
        <v>395</v>
      </c>
      <c r="AI153" s="169" t="s">
        <v>395</v>
      </c>
      <c r="AT153" s="169" t="s">
        <v>395</v>
      </c>
      <c r="BE153" s="169" t="s">
        <v>395</v>
      </c>
      <c r="BP153" s="169" t="s">
        <v>395</v>
      </c>
      <c r="CA153" s="169" t="s">
        <v>395</v>
      </c>
      <c r="CL153" s="169" t="s">
        <v>395</v>
      </c>
      <c r="CW153" s="169" t="s">
        <v>395</v>
      </c>
      <c r="DH153" s="169" t="s">
        <v>395</v>
      </c>
      <c r="DS153" s="169" t="s">
        <v>395</v>
      </c>
      <c r="ED153" s="169" t="s">
        <v>395</v>
      </c>
      <c r="EO153" s="169" t="s">
        <v>395</v>
      </c>
      <c r="EZ153" s="169" t="s">
        <v>395</v>
      </c>
      <c r="FK153" s="169" t="s">
        <v>395</v>
      </c>
      <c r="FV153" s="169" t="s">
        <v>395</v>
      </c>
      <c r="GG153" s="169" t="s">
        <v>395</v>
      </c>
      <c r="GR153" s="169" t="s">
        <v>395</v>
      </c>
      <c r="HC153" s="169" t="s">
        <v>395</v>
      </c>
      <c r="HN153" s="169" t="s">
        <v>395</v>
      </c>
      <c r="HY153" s="169" t="s">
        <v>395</v>
      </c>
      <c r="IJ153" s="169" t="s">
        <v>395</v>
      </c>
      <c r="IU153" s="169" t="s">
        <v>395</v>
      </c>
    </row>
    <row r="154" spans="2:255">
      <c r="B154" s="169" t="s">
        <v>395</v>
      </c>
      <c r="M154" s="169" t="s">
        <v>395</v>
      </c>
      <c r="X154" s="169" t="s">
        <v>395</v>
      </c>
      <c r="AI154" s="169" t="s">
        <v>395</v>
      </c>
      <c r="AT154" s="169" t="s">
        <v>395</v>
      </c>
      <c r="BE154" s="169" t="s">
        <v>395</v>
      </c>
      <c r="BP154" s="169" t="s">
        <v>395</v>
      </c>
      <c r="CA154" s="169" t="s">
        <v>395</v>
      </c>
      <c r="CL154" s="169" t="s">
        <v>395</v>
      </c>
      <c r="CW154" s="169" t="s">
        <v>395</v>
      </c>
      <c r="DH154" s="169" t="s">
        <v>395</v>
      </c>
      <c r="DS154" s="169" t="s">
        <v>395</v>
      </c>
      <c r="ED154" s="169" t="s">
        <v>395</v>
      </c>
      <c r="EO154" s="169" t="s">
        <v>395</v>
      </c>
      <c r="EZ154" s="169" t="s">
        <v>395</v>
      </c>
      <c r="FK154" s="169" t="s">
        <v>395</v>
      </c>
      <c r="FV154" s="169" t="s">
        <v>395</v>
      </c>
      <c r="GG154" s="169" t="s">
        <v>395</v>
      </c>
      <c r="GR154" s="169" t="s">
        <v>395</v>
      </c>
      <c r="HC154" s="169" t="s">
        <v>395</v>
      </c>
      <c r="HN154" s="169" t="s">
        <v>395</v>
      </c>
      <c r="HY154" s="169" t="s">
        <v>395</v>
      </c>
      <c r="IJ154" s="169" t="s">
        <v>395</v>
      </c>
      <c r="IU154" s="169" t="s">
        <v>395</v>
      </c>
    </row>
    <row r="155" spans="2:255">
      <c r="B155" s="169" t="s">
        <v>395</v>
      </c>
      <c r="M155" s="169" t="s">
        <v>395</v>
      </c>
      <c r="X155" s="169" t="s">
        <v>395</v>
      </c>
      <c r="AI155" s="169" t="s">
        <v>395</v>
      </c>
      <c r="AT155" s="169" t="s">
        <v>395</v>
      </c>
      <c r="BE155" s="169" t="s">
        <v>395</v>
      </c>
      <c r="BP155" s="169" t="s">
        <v>395</v>
      </c>
      <c r="CA155" s="169" t="s">
        <v>395</v>
      </c>
      <c r="CL155" s="169" t="s">
        <v>395</v>
      </c>
      <c r="CW155" s="169" t="s">
        <v>395</v>
      </c>
      <c r="DH155" s="169" t="s">
        <v>395</v>
      </c>
      <c r="DS155" s="169" t="s">
        <v>395</v>
      </c>
      <c r="ED155" s="169" t="s">
        <v>395</v>
      </c>
      <c r="EO155" s="169" t="s">
        <v>395</v>
      </c>
      <c r="EZ155" s="169" t="s">
        <v>395</v>
      </c>
      <c r="FK155" s="169" t="s">
        <v>395</v>
      </c>
      <c r="FV155" s="169" t="s">
        <v>395</v>
      </c>
      <c r="GG155" s="169" t="s">
        <v>395</v>
      </c>
      <c r="GR155" s="169" t="s">
        <v>395</v>
      </c>
      <c r="HC155" s="169" t="s">
        <v>395</v>
      </c>
      <c r="HN155" s="169" t="s">
        <v>395</v>
      </c>
      <c r="HY155" s="169" t="s">
        <v>395</v>
      </c>
      <c r="IJ155" s="169" t="s">
        <v>395</v>
      </c>
      <c r="IU155" s="169" t="s">
        <v>395</v>
      </c>
    </row>
    <row r="156" spans="2:255">
      <c r="B156" s="169" t="s">
        <v>395</v>
      </c>
      <c r="M156" s="169" t="s">
        <v>395</v>
      </c>
      <c r="X156" s="169" t="s">
        <v>395</v>
      </c>
      <c r="AI156" s="169" t="s">
        <v>395</v>
      </c>
      <c r="AT156" s="169" t="s">
        <v>395</v>
      </c>
      <c r="BE156" s="169" t="s">
        <v>395</v>
      </c>
      <c r="BP156" s="169" t="s">
        <v>395</v>
      </c>
      <c r="CA156" s="169" t="s">
        <v>395</v>
      </c>
      <c r="CL156" s="169" t="s">
        <v>395</v>
      </c>
      <c r="CW156" s="169" t="s">
        <v>395</v>
      </c>
      <c r="DH156" s="169" t="s">
        <v>395</v>
      </c>
      <c r="DS156" s="169" t="s">
        <v>395</v>
      </c>
      <c r="ED156" s="169" t="s">
        <v>395</v>
      </c>
      <c r="EO156" s="169" t="s">
        <v>395</v>
      </c>
      <c r="EZ156" s="169" t="s">
        <v>395</v>
      </c>
      <c r="FK156" s="169" t="s">
        <v>395</v>
      </c>
      <c r="FV156" s="169" t="s">
        <v>395</v>
      </c>
      <c r="GG156" s="169" t="s">
        <v>395</v>
      </c>
      <c r="GR156" s="169" t="s">
        <v>395</v>
      </c>
      <c r="HC156" s="169" t="s">
        <v>395</v>
      </c>
      <c r="HN156" s="169" t="s">
        <v>395</v>
      </c>
      <c r="HY156" s="169" t="s">
        <v>395</v>
      </c>
      <c r="IJ156" s="169" t="s">
        <v>395</v>
      </c>
      <c r="IU156" s="169" t="s">
        <v>395</v>
      </c>
    </row>
    <row r="157" spans="2:255">
      <c r="B157" s="169" t="s">
        <v>395</v>
      </c>
      <c r="M157" s="169" t="s">
        <v>395</v>
      </c>
      <c r="X157" s="169" t="s">
        <v>395</v>
      </c>
      <c r="AI157" s="169" t="s">
        <v>395</v>
      </c>
      <c r="AT157" s="169" t="s">
        <v>395</v>
      </c>
      <c r="BE157" s="169" t="s">
        <v>395</v>
      </c>
      <c r="BP157" s="169" t="s">
        <v>395</v>
      </c>
      <c r="CA157" s="169" t="s">
        <v>395</v>
      </c>
      <c r="CL157" s="169" t="s">
        <v>395</v>
      </c>
      <c r="CW157" s="169" t="s">
        <v>395</v>
      </c>
      <c r="DH157" s="169" t="s">
        <v>395</v>
      </c>
      <c r="DS157" s="169" t="s">
        <v>395</v>
      </c>
      <c r="ED157" s="169" t="s">
        <v>395</v>
      </c>
      <c r="EO157" s="169" t="s">
        <v>395</v>
      </c>
      <c r="EZ157" s="169" t="s">
        <v>395</v>
      </c>
      <c r="FK157" s="169" t="s">
        <v>395</v>
      </c>
      <c r="FV157" s="169" t="s">
        <v>395</v>
      </c>
      <c r="GG157" s="169" t="s">
        <v>395</v>
      </c>
      <c r="GR157" s="169" t="s">
        <v>395</v>
      </c>
      <c r="HC157" s="169" t="s">
        <v>395</v>
      </c>
      <c r="HN157" s="169" t="s">
        <v>395</v>
      </c>
      <c r="HY157" s="169" t="s">
        <v>395</v>
      </c>
      <c r="IJ157" s="169" t="s">
        <v>395</v>
      </c>
      <c r="IU157" s="169" t="s">
        <v>395</v>
      </c>
    </row>
    <row r="158" spans="2:255">
      <c r="B158" s="169" t="s">
        <v>395</v>
      </c>
      <c r="M158" s="169" t="s">
        <v>395</v>
      </c>
      <c r="X158" s="169" t="s">
        <v>395</v>
      </c>
      <c r="AI158" s="169" t="s">
        <v>395</v>
      </c>
      <c r="AT158" s="169" t="s">
        <v>395</v>
      </c>
      <c r="BE158" s="169" t="s">
        <v>395</v>
      </c>
      <c r="BP158" s="169" t="s">
        <v>395</v>
      </c>
      <c r="CA158" s="169" t="s">
        <v>395</v>
      </c>
      <c r="CL158" s="169" t="s">
        <v>395</v>
      </c>
      <c r="CW158" s="169" t="s">
        <v>395</v>
      </c>
      <c r="DH158" s="169" t="s">
        <v>395</v>
      </c>
      <c r="DS158" s="169" t="s">
        <v>395</v>
      </c>
      <c r="ED158" s="169" t="s">
        <v>395</v>
      </c>
      <c r="EO158" s="169" t="s">
        <v>395</v>
      </c>
      <c r="EZ158" s="169" t="s">
        <v>395</v>
      </c>
      <c r="FK158" s="169" t="s">
        <v>395</v>
      </c>
      <c r="FV158" s="169" t="s">
        <v>395</v>
      </c>
      <c r="GG158" s="169" t="s">
        <v>395</v>
      </c>
      <c r="GR158" s="169" t="s">
        <v>395</v>
      </c>
      <c r="HC158" s="169" t="s">
        <v>395</v>
      </c>
      <c r="HN158" s="169" t="s">
        <v>395</v>
      </c>
      <c r="HY158" s="169" t="s">
        <v>395</v>
      </c>
      <c r="IJ158" s="169" t="s">
        <v>395</v>
      </c>
      <c r="IU158" s="169" t="s">
        <v>395</v>
      </c>
    </row>
    <row r="159" spans="2:255">
      <c r="B159" s="169" t="s">
        <v>395</v>
      </c>
      <c r="M159" s="169" t="s">
        <v>395</v>
      </c>
      <c r="X159" s="169" t="s">
        <v>395</v>
      </c>
      <c r="AI159" s="169" t="s">
        <v>395</v>
      </c>
      <c r="AT159" s="169" t="s">
        <v>395</v>
      </c>
      <c r="BE159" s="169" t="s">
        <v>395</v>
      </c>
      <c r="BP159" s="169" t="s">
        <v>395</v>
      </c>
      <c r="CA159" s="169" t="s">
        <v>395</v>
      </c>
      <c r="CL159" s="169" t="s">
        <v>395</v>
      </c>
      <c r="CW159" s="169" t="s">
        <v>395</v>
      </c>
      <c r="DH159" s="169" t="s">
        <v>395</v>
      </c>
      <c r="DS159" s="169" t="s">
        <v>395</v>
      </c>
      <c r="ED159" s="169" t="s">
        <v>395</v>
      </c>
      <c r="EO159" s="169" t="s">
        <v>395</v>
      </c>
      <c r="EZ159" s="169" t="s">
        <v>395</v>
      </c>
      <c r="FK159" s="169" t="s">
        <v>395</v>
      </c>
      <c r="FV159" s="169" t="s">
        <v>395</v>
      </c>
      <c r="GG159" s="169" t="s">
        <v>395</v>
      </c>
      <c r="GR159" s="169" t="s">
        <v>395</v>
      </c>
      <c r="HC159" s="169" t="s">
        <v>395</v>
      </c>
      <c r="HN159" s="169" t="s">
        <v>395</v>
      </c>
      <c r="HY159" s="169" t="s">
        <v>395</v>
      </c>
      <c r="IJ159" s="169" t="s">
        <v>395</v>
      </c>
      <c r="IU159" s="169" t="s">
        <v>395</v>
      </c>
    </row>
    <row r="160" spans="2:255">
      <c r="B160" s="169" t="s">
        <v>395</v>
      </c>
      <c r="M160" s="169" t="s">
        <v>395</v>
      </c>
      <c r="X160" s="169" t="s">
        <v>395</v>
      </c>
      <c r="AI160" s="169" t="s">
        <v>395</v>
      </c>
      <c r="AT160" s="169" t="s">
        <v>395</v>
      </c>
      <c r="BE160" s="169" t="s">
        <v>395</v>
      </c>
      <c r="BP160" s="169" t="s">
        <v>395</v>
      </c>
      <c r="CA160" s="169" t="s">
        <v>395</v>
      </c>
      <c r="CL160" s="169" t="s">
        <v>395</v>
      </c>
      <c r="CW160" s="169" t="s">
        <v>395</v>
      </c>
      <c r="DH160" s="169" t="s">
        <v>395</v>
      </c>
      <c r="DS160" s="169" t="s">
        <v>395</v>
      </c>
      <c r="ED160" s="169" t="s">
        <v>395</v>
      </c>
      <c r="EO160" s="169" t="s">
        <v>395</v>
      </c>
      <c r="EZ160" s="169" t="s">
        <v>395</v>
      </c>
      <c r="FK160" s="169" t="s">
        <v>395</v>
      </c>
      <c r="FV160" s="169" t="s">
        <v>395</v>
      </c>
      <c r="GG160" s="169" t="s">
        <v>395</v>
      </c>
      <c r="GR160" s="169" t="s">
        <v>395</v>
      </c>
      <c r="HC160" s="169" t="s">
        <v>395</v>
      </c>
      <c r="HN160" s="169" t="s">
        <v>395</v>
      </c>
      <c r="HY160" s="169" t="s">
        <v>395</v>
      </c>
      <c r="IJ160" s="169" t="s">
        <v>395</v>
      </c>
      <c r="IU160" s="169" t="s">
        <v>395</v>
      </c>
    </row>
    <row r="161" spans="2:255">
      <c r="B161" s="169" t="s">
        <v>395</v>
      </c>
      <c r="M161" s="169" t="s">
        <v>395</v>
      </c>
      <c r="X161" s="169" t="s">
        <v>395</v>
      </c>
      <c r="AI161" s="169" t="s">
        <v>395</v>
      </c>
      <c r="AT161" s="169" t="s">
        <v>395</v>
      </c>
      <c r="BE161" s="169" t="s">
        <v>395</v>
      </c>
      <c r="BP161" s="169" t="s">
        <v>395</v>
      </c>
      <c r="CA161" s="169" t="s">
        <v>395</v>
      </c>
      <c r="CL161" s="169" t="s">
        <v>395</v>
      </c>
      <c r="CW161" s="169" t="s">
        <v>395</v>
      </c>
      <c r="DH161" s="169" t="s">
        <v>395</v>
      </c>
      <c r="DS161" s="169" t="s">
        <v>395</v>
      </c>
      <c r="ED161" s="169" t="s">
        <v>395</v>
      </c>
      <c r="EO161" s="169" t="s">
        <v>395</v>
      </c>
      <c r="EZ161" s="169" t="s">
        <v>395</v>
      </c>
      <c r="FK161" s="169" t="s">
        <v>395</v>
      </c>
      <c r="FV161" s="169" t="s">
        <v>395</v>
      </c>
      <c r="GG161" s="169" t="s">
        <v>395</v>
      </c>
      <c r="GR161" s="169" t="s">
        <v>395</v>
      </c>
      <c r="HC161" s="169" t="s">
        <v>395</v>
      </c>
      <c r="HN161" s="169" t="s">
        <v>395</v>
      </c>
      <c r="HY161" s="169" t="s">
        <v>395</v>
      </c>
      <c r="IJ161" s="169" t="s">
        <v>395</v>
      </c>
      <c r="IU161" s="169" t="s">
        <v>395</v>
      </c>
    </row>
    <row r="162" spans="2:255">
      <c r="B162" s="169" t="s">
        <v>395</v>
      </c>
      <c r="M162" s="169" t="s">
        <v>395</v>
      </c>
      <c r="X162" s="169" t="s">
        <v>395</v>
      </c>
      <c r="AI162" s="169" t="s">
        <v>395</v>
      </c>
      <c r="AT162" s="169" t="s">
        <v>395</v>
      </c>
      <c r="BE162" s="169" t="s">
        <v>395</v>
      </c>
      <c r="BP162" s="169" t="s">
        <v>395</v>
      </c>
      <c r="CA162" s="169" t="s">
        <v>395</v>
      </c>
      <c r="CL162" s="169" t="s">
        <v>395</v>
      </c>
      <c r="CW162" s="169" t="s">
        <v>395</v>
      </c>
      <c r="DH162" s="169" t="s">
        <v>395</v>
      </c>
      <c r="DS162" s="169" t="s">
        <v>395</v>
      </c>
      <c r="ED162" s="169" t="s">
        <v>395</v>
      </c>
      <c r="EO162" s="169" t="s">
        <v>395</v>
      </c>
      <c r="EZ162" s="169" t="s">
        <v>395</v>
      </c>
      <c r="FK162" s="169" t="s">
        <v>395</v>
      </c>
      <c r="FV162" s="169" t="s">
        <v>395</v>
      </c>
      <c r="GG162" s="169" t="s">
        <v>395</v>
      </c>
      <c r="GR162" s="169" t="s">
        <v>395</v>
      </c>
      <c r="HC162" s="169" t="s">
        <v>395</v>
      </c>
      <c r="HN162" s="169" t="s">
        <v>395</v>
      </c>
      <c r="HY162" s="169" t="s">
        <v>395</v>
      </c>
      <c r="IJ162" s="169" t="s">
        <v>395</v>
      </c>
      <c r="IU162" s="169" t="s">
        <v>395</v>
      </c>
    </row>
    <row r="163" spans="2:255">
      <c r="B163" s="169" t="s">
        <v>395</v>
      </c>
      <c r="M163" s="169" t="s">
        <v>395</v>
      </c>
      <c r="X163" s="169" t="s">
        <v>395</v>
      </c>
      <c r="AI163" s="169" t="s">
        <v>395</v>
      </c>
      <c r="AT163" s="169" t="s">
        <v>395</v>
      </c>
      <c r="BE163" s="169" t="s">
        <v>395</v>
      </c>
      <c r="BP163" s="169" t="s">
        <v>395</v>
      </c>
      <c r="CA163" s="169" t="s">
        <v>395</v>
      </c>
      <c r="CL163" s="169" t="s">
        <v>395</v>
      </c>
      <c r="CW163" s="169" t="s">
        <v>395</v>
      </c>
      <c r="DH163" s="169" t="s">
        <v>395</v>
      </c>
      <c r="DS163" s="169" t="s">
        <v>395</v>
      </c>
      <c r="ED163" s="169" t="s">
        <v>395</v>
      </c>
      <c r="EO163" s="169" t="s">
        <v>395</v>
      </c>
      <c r="EZ163" s="169" t="s">
        <v>395</v>
      </c>
      <c r="FK163" s="169" t="s">
        <v>395</v>
      </c>
      <c r="FV163" s="169" t="s">
        <v>395</v>
      </c>
      <c r="GG163" s="169" t="s">
        <v>395</v>
      </c>
      <c r="GR163" s="169" t="s">
        <v>395</v>
      </c>
      <c r="HC163" s="169" t="s">
        <v>395</v>
      </c>
      <c r="HN163" s="169" t="s">
        <v>395</v>
      </c>
      <c r="HY163" s="169" t="s">
        <v>395</v>
      </c>
      <c r="IJ163" s="169" t="s">
        <v>395</v>
      </c>
      <c r="IU163" s="169" t="s">
        <v>395</v>
      </c>
    </row>
    <row r="164" spans="2:255">
      <c r="B164" s="169" t="s">
        <v>395</v>
      </c>
      <c r="M164" s="169" t="s">
        <v>395</v>
      </c>
      <c r="X164" s="169" t="s">
        <v>395</v>
      </c>
      <c r="AI164" s="169" t="s">
        <v>395</v>
      </c>
      <c r="AT164" s="169" t="s">
        <v>395</v>
      </c>
      <c r="BE164" s="169" t="s">
        <v>395</v>
      </c>
      <c r="BP164" s="169" t="s">
        <v>395</v>
      </c>
      <c r="CA164" s="169" t="s">
        <v>395</v>
      </c>
      <c r="CL164" s="169" t="s">
        <v>395</v>
      </c>
      <c r="CW164" s="169" t="s">
        <v>395</v>
      </c>
      <c r="DH164" s="169" t="s">
        <v>395</v>
      </c>
      <c r="DS164" s="169" t="s">
        <v>395</v>
      </c>
      <c r="ED164" s="169" t="s">
        <v>395</v>
      </c>
      <c r="EO164" s="169" t="s">
        <v>395</v>
      </c>
      <c r="EZ164" s="169" t="s">
        <v>395</v>
      </c>
      <c r="FK164" s="169" t="s">
        <v>395</v>
      </c>
      <c r="FV164" s="169" t="s">
        <v>395</v>
      </c>
      <c r="GG164" s="169" t="s">
        <v>395</v>
      </c>
      <c r="GR164" s="169" t="s">
        <v>395</v>
      </c>
      <c r="HC164" s="169" t="s">
        <v>395</v>
      </c>
      <c r="HN164" s="169" t="s">
        <v>395</v>
      </c>
      <c r="HY164" s="169" t="s">
        <v>395</v>
      </c>
      <c r="IJ164" s="169" t="s">
        <v>395</v>
      </c>
      <c r="IU164" s="169" t="s">
        <v>395</v>
      </c>
    </row>
    <row r="165" spans="2:255">
      <c r="B165" s="169" t="s">
        <v>395</v>
      </c>
      <c r="M165" s="169" t="s">
        <v>395</v>
      </c>
      <c r="X165" s="169" t="s">
        <v>395</v>
      </c>
      <c r="AI165" s="169" t="s">
        <v>395</v>
      </c>
      <c r="AT165" s="169" t="s">
        <v>395</v>
      </c>
      <c r="BE165" s="169" t="s">
        <v>395</v>
      </c>
      <c r="BP165" s="169" t="s">
        <v>395</v>
      </c>
      <c r="CA165" s="169" t="s">
        <v>395</v>
      </c>
      <c r="CL165" s="169" t="s">
        <v>395</v>
      </c>
      <c r="CW165" s="169" t="s">
        <v>395</v>
      </c>
      <c r="DH165" s="169" t="s">
        <v>395</v>
      </c>
      <c r="DS165" s="169" t="s">
        <v>395</v>
      </c>
      <c r="ED165" s="169" t="s">
        <v>395</v>
      </c>
      <c r="EO165" s="169" t="s">
        <v>395</v>
      </c>
      <c r="EZ165" s="169" t="s">
        <v>395</v>
      </c>
      <c r="FK165" s="169" t="s">
        <v>395</v>
      </c>
      <c r="FV165" s="169" t="s">
        <v>395</v>
      </c>
      <c r="GG165" s="169" t="s">
        <v>395</v>
      </c>
      <c r="GR165" s="169" t="s">
        <v>395</v>
      </c>
      <c r="HC165" s="169" t="s">
        <v>395</v>
      </c>
      <c r="HN165" s="169" t="s">
        <v>395</v>
      </c>
      <c r="HY165" s="169" t="s">
        <v>395</v>
      </c>
      <c r="IJ165" s="169" t="s">
        <v>395</v>
      </c>
      <c r="IU165" s="169" t="s">
        <v>395</v>
      </c>
    </row>
    <row r="166" spans="2:255">
      <c r="B166" s="169" t="s">
        <v>395</v>
      </c>
      <c r="M166" s="169" t="s">
        <v>395</v>
      </c>
      <c r="X166" s="169" t="s">
        <v>395</v>
      </c>
      <c r="AI166" s="169" t="s">
        <v>395</v>
      </c>
      <c r="AT166" s="169" t="s">
        <v>395</v>
      </c>
      <c r="BE166" s="169" t="s">
        <v>395</v>
      </c>
      <c r="BP166" s="169" t="s">
        <v>395</v>
      </c>
      <c r="CA166" s="169" t="s">
        <v>395</v>
      </c>
      <c r="CL166" s="169" t="s">
        <v>395</v>
      </c>
      <c r="CW166" s="169" t="s">
        <v>395</v>
      </c>
      <c r="DH166" s="169" t="s">
        <v>395</v>
      </c>
      <c r="DS166" s="169" t="s">
        <v>395</v>
      </c>
      <c r="ED166" s="169" t="s">
        <v>395</v>
      </c>
      <c r="EO166" s="169" t="s">
        <v>395</v>
      </c>
      <c r="EZ166" s="169" t="s">
        <v>395</v>
      </c>
      <c r="FK166" s="169" t="s">
        <v>395</v>
      </c>
      <c r="FV166" s="169" t="s">
        <v>395</v>
      </c>
      <c r="GG166" s="169" t="s">
        <v>395</v>
      </c>
      <c r="GR166" s="169" t="s">
        <v>395</v>
      </c>
      <c r="HC166" s="169" t="s">
        <v>395</v>
      </c>
      <c r="HN166" s="169" t="s">
        <v>395</v>
      </c>
      <c r="HY166" s="169" t="s">
        <v>395</v>
      </c>
      <c r="IJ166" s="169" t="s">
        <v>395</v>
      </c>
      <c r="IU166" s="169" t="s">
        <v>395</v>
      </c>
    </row>
    <row r="167" spans="2:255">
      <c r="B167" s="169" t="s">
        <v>395</v>
      </c>
      <c r="M167" s="169" t="s">
        <v>395</v>
      </c>
      <c r="X167" s="169" t="s">
        <v>395</v>
      </c>
      <c r="AI167" s="169" t="s">
        <v>395</v>
      </c>
      <c r="AT167" s="169" t="s">
        <v>395</v>
      </c>
      <c r="BE167" s="169" t="s">
        <v>395</v>
      </c>
      <c r="BP167" s="169" t="s">
        <v>395</v>
      </c>
      <c r="CA167" s="169" t="s">
        <v>395</v>
      </c>
      <c r="CL167" s="169" t="s">
        <v>395</v>
      </c>
      <c r="CW167" s="169" t="s">
        <v>395</v>
      </c>
      <c r="DH167" s="169" t="s">
        <v>395</v>
      </c>
      <c r="DS167" s="169" t="s">
        <v>395</v>
      </c>
      <c r="ED167" s="169" t="s">
        <v>395</v>
      </c>
      <c r="EO167" s="169" t="s">
        <v>395</v>
      </c>
      <c r="EZ167" s="169" t="s">
        <v>395</v>
      </c>
      <c r="FK167" s="169" t="s">
        <v>395</v>
      </c>
      <c r="FV167" s="169" t="s">
        <v>395</v>
      </c>
      <c r="GG167" s="169" t="s">
        <v>395</v>
      </c>
      <c r="GR167" s="169" t="s">
        <v>395</v>
      </c>
      <c r="HC167" s="169" t="s">
        <v>395</v>
      </c>
      <c r="HN167" s="169" t="s">
        <v>395</v>
      </c>
      <c r="HY167" s="169" t="s">
        <v>395</v>
      </c>
      <c r="IJ167" s="169" t="s">
        <v>395</v>
      </c>
      <c r="IU167" s="169" t="s">
        <v>395</v>
      </c>
    </row>
    <row r="168" spans="2:255">
      <c r="B168" s="169" t="s">
        <v>395</v>
      </c>
      <c r="M168" s="169" t="s">
        <v>395</v>
      </c>
      <c r="X168" s="169" t="s">
        <v>395</v>
      </c>
      <c r="AI168" s="169" t="s">
        <v>395</v>
      </c>
      <c r="AT168" s="169" t="s">
        <v>395</v>
      </c>
      <c r="BE168" s="169" t="s">
        <v>395</v>
      </c>
      <c r="BP168" s="169" t="s">
        <v>395</v>
      </c>
      <c r="CA168" s="169" t="s">
        <v>395</v>
      </c>
      <c r="CL168" s="169" t="s">
        <v>395</v>
      </c>
      <c r="CW168" s="169" t="s">
        <v>395</v>
      </c>
      <c r="DH168" s="169" t="s">
        <v>395</v>
      </c>
      <c r="DS168" s="169" t="s">
        <v>395</v>
      </c>
      <c r="ED168" s="169" t="s">
        <v>395</v>
      </c>
      <c r="EO168" s="169" t="s">
        <v>395</v>
      </c>
      <c r="EZ168" s="169" t="s">
        <v>395</v>
      </c>
      <c r="FK168" s="169" t="s">
        <v>395</v>
      </c>
      <c r="FV168" s="169" t="s">
        <v>395</v>
      </c>
      <c r="GG168" s="169" t="s">
        <v>395</v>
      </c>
      <c r="GR168" s="169" t="s">
        <v>395</v>
      </c>
      <c r="HC168" s="169" t="s">
        <v>395</v>
      </c>
      <c r="HN168" s="169" t="s">
        <v>395</v>
      </c>
      <c r="HY168" s="169" t="s">
        <v>395</v>
      </c>
      <c r="IJ168" s="169" t="s">
        <v>395</v>
      </c>
      <c r="IU168" s="169" t="s">
        <v>395</v>
      </c>
    </row>
    <row r="169" spans="2:255">
      <c r="B169" s="169" t="s">
        <v>395</v>
      </c>
      <c r="M169" s="169" t="s">
        <v>395</v>
      </c>
      <c r="X169" s="169" t="s">
        <v>395</v>
      </c>
      <c r="AI169" s="169" t="s">
        <v>395</v>
      </c>
      <c r="AT169" s="169" t="s">
        <v>395</v>
      </c>
      <c r="BE169" s="169" t="s">
        <v>395</v>
      </c>
      <c r="BP169" s="169" t="s">
        <v>395</v>
      </c>
      <c r="CA169" s="169" t="s">
        <v>395</v>
      </c>
      <c r="CL169" s="169" t="s">
        <v>395</v>
      </c>
      <c r="CW169" s="169" t="s">
        <v>395</v>
      </c>
      <c r="DH169" s="169" t="s">
        <v>395</v>
      </c>
      <c r="DS169" s="169" t="s">
        <v>395</v>
      </c>
      <c r="ED169" s="169" t="s">
        <v>395</v>
      </c>
      <c r="EO169" s="169" t="s">
        <v>395</v>
      </c>
      <c r="EZ169" s="169" t="s">
        <v>395</v>
      </c>
      <c r="FK169" s="169" t="s">
        <v>395</v>
      </c>
      <c r="FV169" s="169" t="s">
        <v>395</v>
      </c>
      <c r="GG169" s="169" t="s">
        <v>395</v>
      </c>
      <c r="GR169" s="169" t="s">
        <v>395</v>
      </c>
      <c r="HC169" s="169" t="s">
        <v>395</v>
      </c>
      <c r="HN169" s="169" t="s">
        <v>395</v>
      </c>
      <c r="HY169" s="169" t="s">
        <v>395</v>
      </c>
      <c r="IJ169" s="169" t="s">
        <v>395</v>
      </c>
      <c r="IU169" s="169" t="s">
        <v>395</v>
      </c>
    </row>
    <row r="170" spans="2:255">
      <c r="B170" s="169" t="s">
        <v>395</v>
      </c>
      <c r="M170" s="169" t="s">
        <v>395</v>
      </c>
      <c r="X170" s="169" t="s">
        <v>395</v>
      </c>
      <c r="AI170" s="169" t="s">
        <v>395</v>
      </c>
      <c r="AT170" s="169" t="s">
        <v>395</v>
      </c>
      <c r="BE170" s="169" t="s">
        <v>395</v>
      </c>
      <c r="BP170" s="169" t="s">
        <v>395</v>
      </c>
      <c r="CA170" s="169" t="s">
        <v>395</v>
      </c>
      <c r="CL170" s="169" t="s">
        <v>395</v>
      </c>
      <c r="CW170" s="169" t="s">
        <v>395</v>
      </c>
      <c r="DH170" s="169" t="s">
        <v>395</v>
      </c>
      <c r="DS170" s="169" t="s">
        <v>395</v>
      </c>
      <c r="ED170" s="169" t="s">
        <v>395</v>
      </c>
      <c r="EO170" s="169" t="s">
        <v>395</v>
      </c>
      <c r="EZ170" s="169" t="s">
        <v>395</v>
      </c>
      <c r="FK170" s="169" t="s">
        <v>395</v>
      </c>
      <c r="FV170" s="169" t="s">
        <v>395</v>
      </c>
      <c r="GG170" s="169" t="s">
        <v>395</v>
      </c>
      <c r="GR170" s="169" t="s">
        <v>395</v>
      </c>
      <c r="HC170" s="169" t="s">
        <v>395</v>
      </c>
      <c r="HN170" s="169" t="s">
        <v>395</v>
      </c>
      <c r="HY170" s="169" t="s">
        <v>395</v>
      </c>
      <c r="IJ170" s="169" t="s">
        <v>395</v>
      </c>
      <c r="IU170" s="169" t="s">
        <v>395</v>
      </c>
    </row>
    <row r="171" spans="2:255">
      <c r="B171" s="169" t="s">
        <v>395</v>
      </c>
      <c r="M171" s="169" t="s">
        <v>395</v>
      </c>
      <c r="X171" s="169" t="s">
        <v>395</v>
      </c>
      <c r="AI171" s="169" t="s">
        <v>395</v>
      </c>
      <c r="AT171" s="169" t="s">
        <v>395</v>
      </c>
      <c r="BE171" s="169" t="s">
        <v>395</v>
      </c>
      <c r="BP171" s="169" t="s">
        <v>395</v>
      </c>
      <c r="CA171" s="169" t="s">
        <v>395</v>
      </c>
      <c r="CL171" s="169" t="s">
        <v>395</v>
      </c>
      <c r="CW171" s="169" t="s">
        <v>395</v>
      </c>
      <c r="DH171" s="169" t="s">
        <v>395</v>
      </c>
      <c r="DS171" s="169" t="s">
        <v>395</v>
      </c>
      <c r="ED171" s="169" t="s">
        <v>395</v>
      </c>
      <c r="EO171" s="169" t="s">
        <v>395</v>
      </c>
      <c r="EZ171" s="169" t="s">
        <v>395</v>
      </c>
      <c r="FK171" s="169" t="s">
        <v>395</v>
      </c>
      <c r="FV171" s="169" t="s">
        <v>395</v>
      </c>
      <c r="GG171" s="169" t="s">
        <v>395</v>
      </c>
      <c r="GR171" s="169" t="s">
        <v>395</v>
      </c>
      <c r="HC171" s="169" t="s">
        <v>395</v>
      </c>
      <c r="HN171" s="169" t="s">
        <v>395</v>
      </c>
      <c r="HY171" s="169" t="s">
        <v>395</v>
      </c>
      <c r="IJ171" s="169" t="s">
        <v>395</v>
      </c>
      <c r="IU171" s="169" t="s">
        <v>395</v>
      </c>
    </row>
    <row r="172" spans="2:255">
      <c r="B172" s="169" t="s">
        <v>395</v>
      </c>
      <c r="M172" s="169" t="s">
        <v>395</v>
      </c>
      <c r="X172" s="169" t="s">
        <v>395</v>
      </c>
      <c r="AI172" s="169" t="s">
        <v>395</v>
      </c>
      <c r="AT172" s="169" t="s">
        <v>395</v>
      </c>
      <c r="BE172" s="169" t="s">
        <v>395</v>
      </c>
      <c r="BP172" s="169" t="s">
        <v>395</v>
      </c>
      <c r="CA172" s="169" t="s">
        <v>395</v>
      </c>
      <c r="CL172" s="169" t="s">
        <v>395</v>
      </c>
      <c r="CW172" s="169" t="s">
        <v>395</v>
      </c>
      <c r="DH172" s="169" t="s">
        <v>395</v>
      </c>
      <c r="DS172" s="169" t="s">
        <v>395</v>
      </c>
      <c r="ED172" s="169" t="s">
        <v>395</v>
      </c>
      <c r="EO172" s="169" t="s">
        <v>395</v>
      </c>
      <c r="EZ172" s="169" t="s">
        <v>395</v>
      </c>
      <c r="FK172" s="169" t="s">
        <v>395</v>
      </c>
      <c r="FV172" s="169" t="s">
        <v>395</v>
      </c>
      <c r="GG172" s="169" t="s">
        <v>395</v>
      </c>
      <c r="GR172" s="169" t="s">
        <v>395</v>
      </c>
      <c r="HC172" s="169" t="s">
        <v>395</v>
      </c>
      <c r="HN172" s="169" t="s">
        <v>395</v>
      </c>
      <c r="HY172" s="169" t="s">
        <v>395</v>
      </c>
      <c r="IJ172" s="169" t="s">
        <v>395</v>
      </c>
      <c r="IU172" s="169" t="s">
        <v>395</v>
      </c>
    </row>
    <row r="173" spans="2:255">
      <c r="B173" s="169" t="s">
        <v>395</v>
      </c>
      <c r="M173" s="169" t="s">
        <v>395</v>
      </c>
      <c r="X173" s="169" t="s">
        <v>395</v>
      </c>
      <c r="AI173" s="169" t="s">
        <v>395</v>
      </c>
      <c r="AT173" s="169" t="s">
        <v>395</v>
      </c>
      <c r="BE173" s="169" t="s">
        <v>395</v>
      </c>
      <c r="BP173" s="169" t="s">
        <v>395</v>
      </c>
      <c r="CA173" s="169" t="s">
        <v>395</v>
      </c>
      <c r="CL173" s="169" t="s">
        <v>395</v>
      </c>
      <c r="CW173" s="169" t="s">
        <v>395</v>
      </c>
      <c r="DH173" s="169" t="s">
        <v>395</v>
      </c>
      <c r="DS173" s="169" t="s">
        <v>395</v>
      </c>
      <c r="ED173" s="169" t="s">
        <v>395</v>
      </c>
      <c r="EO173" s="169" t="s">
        <v>395</v>
      </c>
      <c r="EZ173" s="169" t="s">
        <v>395</v>
      </c>
      <c r="FK173" s="169" t="s">
        <v>395</v>
      </c>
      <c r="FV173" s="169" t="s">
        <v>395</v>
      </c>
      <c r="GG173" s="169" t="s">
        <v>395</v>
      </c>
      <c r="GR173" s="169" t="s">
        <v>395</v>
      </c>
      <c r="HC173" s="169" t="s">
        <v>395</v>
      </c>
      <c r="HN173" s="169" t="s">
        <v>395</v>
      </c>
      <c r="HY173" s="169" t="s">
        <v>395</v>
      </c>
      <c r="IJ173" s="169" t="s">
        <v>395</v>
      </c>
      <c r="IU173" s="169" t="s">
        <v>395</v>
      </c>
    </row>
    <row r="174" spans="2:255">
      <c r="B174" s="169" t="s">
        <v>395</v>
      </c>
      <c r="M174" s="169" t="s">
        <v>395</v>
      </c>
      <c r="X174" s="169" t="s">
        <v>395</v>
      </c>
      <c r="AI174" s="169" t="s">
        <v>395</v>
      </c>
      <c r="AT174" s="169" t="s">
        <v>395</v>
      </c>
      <c r="BE174" s="169" t="s">
        <v>395</v>
      </c>
      <c r="BP174" s="169" t="s">
        <v>395</v>
      </c>
      <c r="CA174" s="169" t="s">
        <v>395</v>
      </c>
      <c r="CL174" s="169" t="s">
        <v>395</v>
      </c>
      <c r="CW174" s="169" t="s">
        <v>395</v>
      </c>
      <c r="DH174" s="169" t="s">
        <v>395</v>
      </c>
      <c r="DS174" s="169" t="s">
        <v>395</v>
      </c>
      <c r="ED174" s="169" t="s">
        <v>395</v>
      </c>
      <c r="EO174" s="169" t="s">
        <v>395</v>
      </c>
      <c r="EZ174" s="169" t="s">
        <v>395</v>
      </c>
      <c r="FK174" s="169" t="s">
        <v>395</v>
      </c>
      <c r="FV174" s="169" t="s">
        <v>395</v>
      </c>
      <c r="GG174" s="169" t="s">
        <v>395</v>
      </c>
      <c r="GR174" s="169" t="s">
        <v>395</v>
      </c>
      <c r="HC174" s="169" t="s">
        <v>395</v>
      </c>
      <c r="HN174" s="169" t="s">
        <v>395</v>
      </c>
      <c r="HY174" s="169" t="s">
        <v>395</v>
      </c>
      <c r="IJ174" s="169" t="s">
        <v>395</v>
      </c>
      <c r="IU174" s="169" t="s">
        <v>395</v>
      </c>
    </row>
    <row r="175" spans="2:255">
      <c r="B175" s="169" t="s">
        <v>395</v>
      </c>
      <c r="M175" s="169" t="s">
        <v>395</v>
      </c>
      <c r="X175" s="169" t="s">
        <v>395</v>
      </c>
      <c r="AI175" s="169" t="s">
        <v>395</v>
      </c>
      <c r="AT175" s="169" t="s">
        <v>395</v>
      </c>
      <c r="BE175" s="169" t="s">
        <v>395</v>
      </c>
      <c r="BP175" s="169" t="s">
        <v>395</v>
      </c>
      <c r="CA175" s="169" t="s">
        <v>395</v>
      </c>
      <c r="CL175" s="169" t="s">
        <v>395</v>
      </c>
      <c r="CW175" s="169" t="s">
        <v>395</v>
      </c>
      <c r="DH175" s="169" t="s">
        <v>395</v>
      </c>
      <c r="DS175" s="169" t="s">
        <v>395</v>
      </c>
      <c r="ED175" s="169" t="s">
        <v>395</v>
      </c>
      <c r="EO175" s="169" t="s">
        <v>395</v>
      </c>
      <c r="EZ175" s="169" t="s">
        <v>395</v>
      </c>
      <c r="FK175" s="169" t="s">
        <v>395</v>
      </c>
      <c r="FV175" s="169" t="s">
        <v>395</v>
      </c>
      <c r="GG175" s="169" t="s">
        <v>395</v>
      </c>
      <c r="GR175" s="169" t="s">
        <v>395</v>
      </c>
      <c r="HC175" s="169" t="s">
        <v>395</v>
      </c>
      <c r="HN175" s="169" t="s">
        <v>395</v>
      </c>
      <c r="HY175" s="169" t="s">
        <v>395</v>
      </c>
      <c r="IJ175" s="169" t="s">
        <v>395</v>
      </c>
      <c r="IU175" s="169" t="s">
        <v>395</v>
      </c>
    </row>
    <row r="176" spans="2:255">
      <c r="B176" s="169" t="s">
        <v>395</v>
      </c>
      <c r="M176" s="169" t="s">
        <v>395</v>
      </c>
      <c r="X176" s="169" t="s">
        <v>395</v>
      </c>
      <c r="AI176" s="169" t="s">
        <v>395</v>
      </c>
      <c r="AT176" s="169" t="s">
        <v>395</v>
      </c>
      <c r="BE176" s="169" t="s">
        <v>395</v>
      </c>
      <c r="BP176" s="169" t="s">
        <v>395</v>
      </c>
      <c r="CA176" s="169" t="s">
        <v>395</v>
      </c>
      <c r="CL176" s="169" t="s">
        <v>395</v>
      </c>
      <c r="CW176" s="169" t="s">
        <v>395</v>
      </c>
      <c r="DH176" s="169" t="s">
        <v>395</v>
      </c>
      <c r="DS176" s="169" t="s">
        <v>395</v>
      </c>
      <c r="ED176" s="169" t="s">
        <v>395</v>
      </c>
      <c r="EO176" s="169" t="s">
        <v>395</v>
      </c>
      <c r="EZ176" s="169" t="s">
        <v>395</v>
      </c>
      <c r="FK176" s="169" t="s">
        <v>395</v>
      </c>
      <c r="FV176" s="169" t="s">
        <v>395</v>
      </c>
      <c r="GG176" s="169" t="s">
        <v>395</v>
      </c>
      <c r="GR176" s="169" t="s">
        <v>395</v>
      </c>
      <c r="HC176" s="169" t="s">
        <v>395</v>
      </c>
      <c r="HN176" s="169" t="s">
        <v>395</v>
      </c>
      <c r="HY176" s="169" t="s">
        <v>395</v>
      </c>
      <c r="IJ176" s="169" t="s">
        <v>395</v>
      </c>
      <c r="IU176" s="169" t="s">
        <v>395</v>
      </c>
    </row>
    <row r="177" spans="2:255">
      <c r="B177" s="169" t="s">
        <v>395</v>
      </c>
      <c r="M177" s="169" t="s">
        <v>395</v>
      </c>
      <c r="X177" s="169" t="s">
        <v>395</v>
      </c>
      <c r="AI177" s="169" t="s">
        <v>395</v>
      </c>
      <c r="AT177" s="169" t="s">
        <v>395</v>
      </c>
      <c r="BE177" s="169" t="s">
        <v>395</v>
      </c>
      <c r="BP177" s="169" t="s">
        <v>395</v>
      </c>
      <c r="CA177" s="169" t="s">
        <v>395</v>
      </c>
      <c r="CL177" s="169" t="s">
        <v>395</v>
      </c>
      <c r="CW177" s="169" t="s">
        <v>395</v>
      </c>
      <c r="DH177" s="169" t="s">
        <v>395</v>
      </c>
      <c r="DS177" s="169" t="s">
        <v>395</v>
      </c>
      <c r="ED177" s="169" t="s">
        <v>395</v>
      </c>
      <c r="EO177" s="169" t="s">
        <v>395</v>
      </c>
      <c r="EZ177" s="169" t="s">
        <v>395</v>
      </c>
      <c r="FK177" s="169" t="s">
        <v>395</v>
      </c>
      <c r="FV177" s="169" t="s">
        <v>395</v>
      </c>
      <c r="GG177" s="169" t="s">
        <v>395</v>
      </c>
      <c r="GR177" s="169" t="s">
        <v>395</v>
      </c>
      <c r="HC177" s="169" t="s">
        <v>395</v>
      </c>
      <c r="HN177" s="169" t="s">
        <v>395</v>
      </c>
      <c r="HY177" s="169" t="s">
        <v>395</v>
      </c>
      <c r="IJ177" s="169" t="s">
        <v>395</v>
      </c>
      <c r="IU177" s="169" t="s">
        <v>395</v>
      </c>
    </row>
    <row r="178" spans="2:255">
      <c r="B178" s="169" t="s">
        <v>395</v>
      </c>
      <c r="M178" s="169" t="s">
        <v>395</v>
      </c>
      <c r="X178" s="169" t="s">
        <v>395</v>
      </c>
      <c r="AI178" s="169" t="s">
        <v>395</v>
      </c>
      <c r="AT178" s="169" t="s">
        <v>395</v>
      </c>
      <c r="BE178" s="169" t="s">
        <v>395</v>
      </c>
      <c r="BP178" s="169" t="s">
        <v>395</v>
      </c>
      <c r="CA178" s="169" t="s">
        <v>395</v>
      </c>
      <c r="CL178" s="169" t="s">
        <v>395</v>
      </c>
      <c r="CW178" s="169" t="s">
        <v>395</v>
      </c>
      <c r="DH178" s="169" t="s">
        <v>395</v>
      </c>
      <c r="DS178" s="169" t="s">
        <v>395</v>
      </c>
      <c r="ED178" s="169" t="s">
        <v>395</v>
      </c>
      <c r="EO178" s="169" t="s">
        <v>395</v>
      </c>
      <c r="EZ178" s="169" t="s">
        <v>395</v>
      </c>
      <c r="FK178" s="169" t="s">
        <v>395</v>
      </c>
      <c r="FV178" s="169" t="s">
        <v>395</v>
      </c>
      <c r="GG178" s="169" t="s">
        <v>395</v>
      </c>
      <c r="GR178" s="169" t="s">
        <v>395</v>
      </c>
      <c r="HC178" s="169" t="s">
        <v>395</v>
      </c>
      <c r="HN178" s="169" t="s">
        <v>395</v>
      </c>
      <c r="HY178" s="169" t="s">
        <v>395</v>
      </c>
      <c r="IJ178" s="169" t="s">
        <v>395</v>
      </c>
      <c r="IU178" s="169" t="s">
        <v>395</v>
      </c>
    </row>
    <row r="179" spans="2:255">
      <c r="B179" s="169" t="s">
        <v>395</v>
      </c>
      <c r="M179" s="169" t="s">
        <v>395</v>
      </c>
      <c r="X179" s="169" t="s">
        <v>395</v>
      </c>
      <c r="AI179" s="169" t="s">
        <v>395</v>
      </c>
      <c r="AT179" s="169" t="s">
        <v>395</v>
      </c>
      <c r="BE179" s="169" t="s">
        <v>395</v>
      </c>
      <c r="BP179" s="169" t="s">
        <v>395</v>
      </c>
      <c r="CA179" s="169" t="s">
        <v>395</v>
      </c>
      <c r="CL179" s="169" t="s">
        <v>395</v>
      </c>
      <c r="CW179" s="169" t="s">
        <v>395</v>
      </c>
      <c r="DH179" s="169" t="s">
        <v>395</v>
      </c>
      <c r="DS179" s="169" t="s">
        <v>395</v>
      </c>
      <c r="ED179" s="169" t="s">
        <v>395</v>
      </c>
      <c r="EO179" s="169" t="s">
        <v>395</v>
      </c>
      <c r="EZ179" s="169" t="s">
        <v>395</v>
      </c>
      <c r="FK179" s="169" t="s">
        <v>395</v>
      </c>
      <c r="FV179" s="169" t="s">
        <v>395</v>
      </c>
      <c r="GG179" s="169" t="s">
        <v>395</v>
      </c>
      <c r="GR179" s="169" t="s">
        <v>395</v>
      </c>
      <c r="HC179" s="169" t="s">
        <v>395</v>
      </c>
      <c r="HN179" s="169" t="s">
        <v>395</v>
      </c>
      <c r="HY179" s="169" t="s">
        <v>395</v>
      </c>
      <c r="IJ179" s="169" t="s">
        <v>395</v>
      </c>
      <c r="IU179" s="169" t="s">
        <v>395</v>
      </c>
    </row>
    <row r="180" spans="2:255">
      <c r="B180" s="169" t="s">
        <v>395</v>
      </c>
      <c r="M180" s="169" t="s">
        <v>395</v>
      </c>
      <c r="X180" s="169" t="s">
        <v>395</v>
      </c>
      <c r="AI180" s="169" t="s">
        <v>395</v>
      </c>
      <c r="AT180" s="169" t="s">
        <v>395</v>
      </c>
      <c r="BE180" s="169" t="s">
        <v>395</v>
      </c>
      <c r="BP180" s="169" t="s">
        <v>395</v>
      </c>
      <c r="CA180" s="169" t="s">
        <v>395</v>
      </c>
      <c r="CL180" s="169" t="s">
        <v>395</v>
      </c>
      <c r="CW180" s="169" t="s">
        <v>395</v>
      </c>
      <c r="DH180" s="169" t="s">
        <v>395</v>
      </c>
      <c r="DS180" s="169" t="s">
        <v>395</v>
      </c>
      <c r="ED180" s="169" t="s">
        <v>395</v>
      </c>
      <c r="EO180" s="169" t="s">
        <v>395</v>
      </c>
      <c r="EZ180" s="169" t="s">
        <v>395</v>
      </c>
      <c r="FK180" s="169" t="s">
        <v>395</v>
      </c>
      <c r="FV180" s="169" t="s">
        <v>395</v>
      </c>
      <c r="GG180" s="169" t="s">
        <v>395</v>
      </c>
      <c r="GR180" s="169" t="s">
        <v>395</v>
      </c>
      <c r="HC180" s="169" t="s">
        <v>395</v>
      </c>
      <c r="HN180" s="169" t="s">
        <v>395</v>
      </c>
      <c r="HY180" s="169" t="s">
        <v>395</v>
      </c>
      <c r="IJ180" s="169" t="s">
        <v>395</v>
      </c>
      <c r="IU180" s="169" t="s">
        <v>395</v>
      </c>
    </row>
    <row r="181" spans="2:255">
      <c r="B181" s="169" t="s">
        <v>395</v>
      </c>
      <c r="M181" s="169" t="s">
        <v>395</v>
      </c>
      <c r="X181" s="169" t="s">
        <v>395</v>
      </c>
      <c r="AI181" s="169" t="s">
        <v>395</v>
      </c>
      <c r="AT181" s="169" t="s">
        <v>395</v>
      </c>
      <c r="BE181" s="169" t="s">
        <v>395</v>
      </c>
      <c r="BP181" s="169" t="s">
        <v>395</v>
      </c>
      <c r="CA181" s="169" t="s">
        <v>395</v>
      </c>
      <c r="CL181" s="169" t="s">
        <v>395</v>
      </c>
      <c r="CW181" s="169" t="s">
        <v>395</v>
      </c>
      <c r="DH181" s="169" t="s">
        <v>395</v>
      </c>
      <c r="DS181" s="169" t="s">
        <v>395</v>
      </c>
      <c r="ED181" s="169" t="s">
        <v>395</v>
      </c>
      <c r="EO181" s="169" t="s">
        <v>395</v>
      </c>
      <c r="EZ181" s="169" t="s">
        <v>395</v>
      </c>
      <c r="FK181" s="169" t="s">
        <v>395</v>
      </c>
      <c r="FV181" s="169" t="s">
        <v>395</v>
      </c>
      <c r="GG181" s="169" t="s">
        <v>395</v>
      </c>
      <c r="GR181" s="169" t="s">
        <v>395</v>
      </c>
      <c r="HC181" s="169" t="s">
        <v>395</v>
      </c>
      <c r="HN181" s="169" t="s">
        <v>395</v>
      </c>
      <c r="HY181" s="169" t="s">
        <v>395</v>
      </c>
      <c r="IJ181" s="169" t="s">
        <v>395</v>
      </c>
      <c r="IU181" s="169" t="s">
        <v>395</v>
      </c>
    </row>
    <row r="182" spans="2:255">
      <c r="B182" s="169" t="s">
        <v>395</v>
      </c>
      <c r="M182" s="169" t="s">
        <v>395</v>
      </c>
      <c r="X182" s="169" t="s">
        <v>395</v>
      </c>
      <c r="AI182" s="169" t="s">
        <v>395</v>
      </c>
      <c r="AT182" s="169" t="s">
        <v>395</v>
      </c>
      <c r="BE182" s="169" t="s">
        <v>395</v>
      </c>
      <c r="BP182" s="169" t="s">
        <v>395</v>
      </c>
      <c r="CA182" s="169" t="s">
        <v>395</v>
      </c>
      <c r="CL182" s="169" t="s">
        <v>395</v>
      </c>
      <c r="CW182" s="169" t="s">
        <v>395</v>
      </c>
      <c r="DH182" s="169" t="s">
        <v>395</v>
      </c>
      <c r="DS182" s="169" t="s">
        <v>395</v>
      </c>
      <c r="ED182" s="169" t="s">
        <v>395</v>
      </c>
      <c r="EO182" s="169" t="s">
        <v>395</v>
      </c>
      <c r="EZ182" s="169" t="s">
        <v>395</v>
      </c>
      <c r="FK182" s="169" t="s">
        <v>395</v>
      </c>
      <c r="FV182" s="169" t="s">
        <v>395</v>
      </c>
      <c r="GG182" s="169" t="s">
        <v>395</v>
      </c>
      <c r="GR182" s="169" t="s">
        <v>395</v>
      </c>
      <c r="HC182" s="169" t="s">
        <v>395</v>
      </c>
      <c r="HN182" s="169" t="s">
        <v>395</v>
      </c>
      <c r="HY182" s="169" t="s">
        <v>395</v>
      </c>
      <c r="IJ182" s="169" t="s">
        <v>395</v>
      </c>
      <c r="IU182" s="169" t="s">
        <v>395</v>
      </c>
    </row>
    <row r="183" spans="2:255">
      <c r="B183" s="169" t="s">
        <v>395</v>
      </c>
      <c r="M183" s="169" t="s">
        <v>395</v>
      </c>
      <c r="X183" s="169" t="s">
        <v>395</v>
      </c>
      <c r="AI183" s="169" t="s">
        <v>395</v>
      </c>
      <c r="AT183" s="169" t="s">
        <v>395</v>
      </c>
      <c r="BE183" s="169" t="s">
        <v>395</v>
      </c>
      <c r="BP183" s="169" t="s">
        <v>395</v>
      </c>
      <c r="CA183" s="169" t="s">
        <v>395</v>
      </c>
      <c r="CL183" s="169" t="s">
        <v>395</v>
      </c>
      <c r="CW183" s="169" t="s">
        <v>395</v>
      </c>
      <c r="DH183" s="169" t="s">
        <v>395</v>
      </c>
      <c r="DS183" s="169" t="s">
        <v>395</v>
      </c>
      <c r="ED183" s="169" t="s">
        <v>395</v>
      </c>
      <c r="EO183" s="169" t="s">
        <v>395</v>
      </c>
      <c r="EZ183" s="169" t="s">
        <v>395</v>
      </c>
      <c r="FK183" s="169" t="s">
        <v>395</v>
      </c>
      <c r="FV183" s="169" t="s">
        <v>395</v>
      </c>
      <c r="GG183" s="169" t="s">
        <v>395</v>
      </c>
      <c r="GR183" s="169" t="s">
        <v>395</v>
      </c>
      <c r="HC183" s="169" t="s">
        <v>395</v>
      </c>
      <c r="HN183" s="169" t="s">
        <v>395</v>
      </c>
      <c r="HY183" s="169" t="s">
        <v>395</v>
      </c>
      <c r="IJ183" s="169" t="s">
        <v>395</v>
      </c>
      <c r="IU183" s="169" t="s">
        <v>395</v>
      </c>
    </row>
    <row r="184" spans="2:255">
      <c r="B184" s="169" t="s">
        <v>395</v>
      </c>
      <c r="M184" s="169" t="s">
        <v>395</v>
      </c>
      <c r="X184" s="169" t="s">
        <v>395</v>
      </c>
      <c r="AI184" s="169" t="s">
        <v>395</v>
      </c>
      <c r="AT184" s="169" t="s">
        <v>395</v>
      </c>
      <c r="BE184" s="169" t="s">
        <v>395</v>
      </c>
      <c r="BP184" s="169" t="s">
        <v>395</v>
      </c>
      <c r="CA184" s="169" t="s">
        <v>395</v>
      </c>
      <c r="CL184" s="169" t="s">
        <v>395</v>
      </c>
      <c r="CW184" s="169" t="s">
        <v>395</v>
      </c>
      <c r="DH184" s="169" t="s">
        <v>395</v>
      </c>
      <c r="DS184" s="169" t="s">
        <v>395</v>
      </c>
      <c r="ED184" s="169" t="s">
        <v>395</v>
      </c>
      <c r="EO184" s="169" t="s">
        <v>395</v>
      </c>
      <c r="EZ184" s="169" t="s">
        <v>395</v>
      </c>
      <c r="FK184" s="169" t="s">
        <v>395</v>
      </c>
      <c r="FV184" s="169" t="s">
        <v>395</v>
      </c>
      <c r="GG184" s="169" t="s">
        <v>395</v>
      </c>
      <c r="GR184" s="169" t="s">
        <v>395</v>
      </c>
      <c r="HC184" s="169" t="s">
        <v>395</v>
      </c>
      <c r="HN184" s="169" t="s">
        <v>395</v>
      </c>
      <c r="HY184" s="169" t="s">
        <v>395</v>
      </c>
      <c r="IJ184" s="169" t="s">
        <v>395</v>
      </c>
      <c r="IU184" s="169" t="s">
        <v>395</v>
      </c>
    </row>
    <row r="185" spans="2:255">
      <c r="B185" s="169" t="s">
        <v>395</v>
      </c>
      <c r="M185" s="169" t="s">
        <v>395</v>
      </c>
      <c r="X185" s="169" t="s">
        <v>395</v>
      </c>
      <c r="AI185" s="169" t="s">
        <v>395</v>
      </c>
      <c r="AT185" s="169" t="s">
        <v>395</v>
      </c>
      <c r="BE185" s="169" t="s">
        <v>395</v>
      </c>
      <c r="BP185" s="169" t="s">
        <v>395</v>
      </c>
      <c r="CA185" s="169" t="s">
        <v>395</v>
      </c>
      <c r="CL185" s="169" t="s">
        <v>395</v>
      </c>
      <c r="CW185" s="169" t="s">
        <v>395</v>
      </c>
      <c r="DH185" s="169" t="s">
        <v>395</v>
      </c>
      <c r="DS185" s="169" t="s">
        <v>395</v>
      </c>
      <c r="ED185" s="169" t="s">
        <v>395</v>
      </c>
      <c r="EO185" s="169" t="s">
        <v>395</v>
      </c>
      <c r="EZ185" s="169" t="s">
        <v>395</v>
      </c>
      <c r="FK185" s="169" t="s">
        <v>395</v>
      </c>
      <c r="FV185" s="169" t="s">
        <v>395</v>
      </c>
      <c r="GG185" s="169" t="s">
        <v>395</v>
      </c>
      <c r="GR185" s="169" t="s">
        <v>395</v>
      </c>
      <c r="HC185" s="169" t="s">
        <v>395</v>
      </c>
      <c r="HN185" s="169" t="s">
        <v>395</v>
      </c>
      <c r="HY185" s="169" t="s">
        <v>395</v>
      </c>
      <c r="IJ185" s="169" t="s">
        <v>395</v>
      </c>
      <c r="IU185" s="169" t="s">
        <v>395</v>
      </c>
    </row>
    <row r="186" spans="2:255">
      <c r="B186" s="169" t="s">
        <v>395</v>
      </c>
      <c r="M186" s="169" t="s">
        <v>395</v>
      </c>
      <c r="X186" s="169" t="s">
        <v>395</v>
      </c>
      <c r="AI186" s="169" t="s">
        <v>395</v>
      </c>
      <c r="AT186" s="169" t="s">
        <v>395</v>
      </c>
      <c r="BE186" s="169" t="s">
        <v>395</v>
      </c>
      <c r="BP186" s="169" t="s">
        <v>395</v>
      </c>
      <c r="CA186" s="169" t="s">
        <v>395</v>
      </c>
      <c r="CL186" s="169" t="s">
        <v>395</v>
      </c>
      <c r="CW186" s="169" t="s">
        <v>395</v>
      </c>
      <c r="DH186" s="169" t="s">
        <v>395</v>
      </c>
      <c r="DS186" s="169" t="s">
        <v>395</v>
      </c>
      <c r="ED186" s="169" t="s">
        <v>395</v>
      </c>
      <c r="EO186" s="169" t="s">
        <v>395</v>
      </c>
      <c r="EZ186" s="169" t="s">
        <v>395</v>
      </c>
      <c r="FK186" s="169" t="s">
        <v>395</v>
      </c>
      <c r="FV186" s="169" t="s">
        <v>395</v>
      </c>
      <c r="GG186" s="169" t="s">
        <v>395</v>
      </c>
      <c r="GR186" s="169" t="s">
        <v>395</v>
      </c>
      <c r="HC186" s="169" t="s">
        <v>395</v>
      </c>
      <c r="HN186" s="169" t="s">
        <v>395</v>
      </c>
      <c r="HY186" s="169" t="s">
        <v>395</v>
      </c>
      <c r="IJ186" s="169" t="s">
        <v>395</v>
      </c>
      <c r="IU186" s="169" t="s">
        <v>395</v>
      </c>
    </row>
    <row r="187" spans="2:255">
      <c r="B187" s="169" t="s">
        <v>395</v>
      </c>
      <c r="M187" s="169" t="s">
        <v>395</v>
      </c>
      <c r="X187" s="169" t="s">
        <v>395</v>
      </c>
      <c r="AI187" s="169" t="s">
        <v>395</v>
      </c>
      <c r="AT187" s="169" t="s">
        <v>395</v>
      </c>
      <c r="BE187" s="169" t="s">
        <v>395</v>
      </c>
      <c r="BP187" s="169" t="s">
        <v>395</v>
      </c>
      <c r="CA187" s="169" t="s">
        <v>395</v>
      </c>
      <c r="CL187" s="169" t="s">
        <v>395</v>
      </c>
      <c r="CW187" s="169" t="s">
        <v>395</v>
      </c>
      <c r="DH187" s="169" t="s">
        <v>395</v>
      </c>
      <c r="DS187" s="169" t="s">
        <v>395</v>
      </c>
      <c r="ED187" s="169" t="s">
        <v>395</v>
      </c>
      <c r="EO187" s="169" t="s">
        <v>395</v>
      </c>
      <c r="EZ187" s="169" t="s">
        <v>395</v>
      </c>
      <c r="FK187" s="169" t="s">
        <v>395</v>
      </c>
      <c r="FV187" s="169" t="s">
        <v>395</v>
      </c>
      <c r="GG187" s="169" t="s">
        <v>395</v>
      </c>
      <c r="GR187" s="169" t="s">
        <v>395</v>
      </c>
      <c r="HC187" s="169" t="s">
        <v>395</v>
      </c>
      <c r="HN187" s="169" t="s">
        <v>395</v>
      </c>
      <c r="HY187" s="169" t="s">
        <v>395</v>
      </c>
      <c r="IJ187" s="169" t="s">
        <v>395</v>
      </c>
      <c r="IU187" s="169" t="s">
        <v>395</v>
      </c>
    </row>
    <row r="188" spans="2:255">
      <c r="B188" s="169" t="s">
        <v>395</v>
      </c>
      <c r="M188" s="169" t="s">
        <v>395</v>
      </c>
      <c r="X188" s="169" t="s">
        <v>395</v>
      </c>
      <c r="AI188" s="169" t="s">
        <v>395</v>
      </c>
      <c r="AT188" s="169" t="s">
        <v>395</v>
      </c>
      <c r="BE188" s="169" t="s">
        <v>395</v>
      </c>
      <c r="BP188" s="169" t="s">
        <v>395</v>
      </c>
      <c r="CA188" s="169" t="s">
        <v>395</v>
      </c>
      <c r="CL188" s="169" t="s">
        <v>395</v>
      </c>
      <c r="CW188" s="169" t="s">
        <v>395</v>
      </c>
      <c r="DH188" s="169" t="s">
        <v>395</v>
      </c>
      <c r="DS188" s="169" t="s">
        <v>395</v>
      </c>
      <c r="ED188" s="169" t="s">
        <v>395</v>
      </c>
      <c r="EO188" s="169" t="s">
        <v>395</v>
      </c>
      <c r="EZ188" s="169" t="s">
        <v>395</v>
      </c>
      <c r="FK188" s="169" t="s">
        <v>395</v>
      </c>
      <c r="FV188" s="169" t="s">
        <v>395</v>
      </c>
      <c r="GG188" s="169" t="s">
        <v>395</v>
      </c>
      <c r="GR188" s="169" t="s">
        <v>395</v>
      </c>
      <c r="HC188" s="169" t="s">
        <v>395</v>
      </c>
      <c r="HN188" s="169" t="s">
        <v>395</v>
      </c>
      <c r="HY188" s="169" t="s">
        <v>395</v>
      </c>
      <c r="IJ188" s="169" t="s">
        <v>395</v>
      </c>
      <c r="IU188" s="169" t="s">
        <v>395</v>
      </c>
    </row>
    <row r="189" spans="2:255">
      <c r="B189" s="169" t="s">
        <v>395</v>
      </c>
      <c r="M189" s="169" t="s">
        <v>395</v>
      </c>
      <c r="X189" s="169" t="s">
        <v>395</v>
      </c>
      <c r="AI189" s="169" t="s">
        <v>395</v>
      </c>
      <c r="AT189" s="169" t="s">
        <v>395</v>
      </c>
      <c r="BE189" s="169" t="s">
        <v>395</v>
      </c>
      <c r="BP189" s="169" t="s">
        <v>395</v>
      </c>
      <c r="CA189" s="169" t="s">
        <v>395</v>
      </c>
      <c r="CL189" s="169" t="s">
        <v>395</v>
      </c>
      <c r="CW189" s="169" t="s">
        <v>395</v>
      </c>
      <c r="DH189" s="169" t="s">
        <v>395</v>
      </c>
      <c r="DS189" s="169" t="s">
        <v>395</v>
      </c>
      <c r="ED189" s="169" t="s">
        <v>395</v>
      </c>
      <c r="EO189" s="169" t="s">
        <v>395</v>
      </c>
      <c r="EZ189" s="169" t="s">
        <v>395</v>
      </c>
      <c r="FK189" s="169" t="s">
        <v>395</v>
      </c>
      <c r="FV189" s="169" t="s">
        <v>395</v>
      </c>
      <c r="GG189" s="169" t="s">
        <v>395</v>
      </c>
      <c r="GR189" s="169" t="s">
        <v>395</v>
      </c>
      <c r="HC189" s="169" t="s">
        <v>395</v>
      </c>
      <c r="HN189" s="169" t="s">
        <v>395</v>
      </c>
      <c r="HY189" s="169" t="s">
        <v>395</v>
      </c>
      <c r="IJ189" s="169" t="s">
        <v>395</v>
      </c>
      <c r="IU189" s="169" t="s">
        <v>395</v>
      </c>
    </row>
    <row r="190" spans="2:255">
      <c r="B190" s="169" t="s">
        <v>395</v>
      </c>
      <c r="M190" s="169" t="s">
        <v>395</v>
      </c>
      <c r="X190" s="169" t="s">
        <v>395</v>
      </c>
      <c r="AI190" s="169" t="s">
        <v>395</v>
      </c>
      <c r="AT190" s="169" t="s">
        <v>395</v>
      </c>
      <c r="BE190" s="169" t="s">
        <v>395</v>
      </c>
      <c r="BP190" s="169" t="s">
        <v>395</v>
      </c>
      <c r="CA190" s="169" t="s">
        <v>395</v>
      </c>
      <c r="CL190" s="169" t="s">
        <v>395</v>
      </c>
      <c r="CW190" s="169" t="s">
        <v>395</v>
      </c>
      <c r="DH190" s="169" t="s">
        <v>395</v>
      </c>
      <c r="DS190" s="169" t="s">
        <v>395</v>
      </c>
      <c r="ED190" s="169" t="s">
        <v>395</v>
      </c>
      <c r="EO190" s="169" t="s">
        <v>395</v>
      </c>
      <c r="EZ190" s="169" t="s">
        <v>395</v>
      </c>
      <c r="FK190" s="169" t="s">
        <v>395</v>
      </c>
      <c r="FV190" s="169" t="s">
        <v>395</v>
      </c>
      <c r="GG190" s="169" t="s">
        <v>395</v>
      </c>
      <c r="GR190" s="169" t="s">
        <v>395</v>
      </c>
      <c r="HC190" s="169" t="s">
        <v>395</v>
      </c>
      <c r="HN190" s="169" t="s">
        <v>395</v>
      </c>
      <c r="HY190" s="169" t="s">
        <v>395</v>
      </c>
      <c r="IJ190" s="169" t="s">
        <v>395</v>
      </c>
      <c r="IU190" s="169" t="s">
        <v>395</v>
      </c>
    </row>
    <row r="191" spans="2:255">
      <c r="B191" s="169" t="s">
        <v>395</v>
      </c>
      <c r="M191" s="169" t="s">
        <v>395</v>
      </c>
      <c r="X191" s="169" t="s">
        <v>395</v>
      </c>
      <c r="AI191" s="169" t="s">
        <v>395</v>
      </c>
      <c r="AT191" s="169" t="s">
        <v>395</v>
      </c>
      <c r="BE191" s="169" t="s">
        <v>395</v>
      </c>
      <c r="BP191" s="169" t="s">
        <v>395</v>
      </c>
      <c r="CA191" s="169" t="s">
        <v>395</v>
      </c>
      <c r="CL191" s="169" t="s">
        <v>395</v>
      </c>
      <c r="CW191" s="169" t="s">
        <v>395</v>
      </c>
      <c r="DH191" s="169" t="s">
        <v>395</v>
      </c>
      <c r="DS191" s="169" t="s">
        <v>395</v>
      </c>
      <c r="ED191" s="169" t="s">
        <v>395</v>
      </c>
      <c r="EO191" s="169" t="s">
        <v>395</v>
      </c>
      <c r="EZ191" s="169" t="s">
        <v>395</v>
      </c>
      <c r="FK191" s="169" t="s">
        <v>395</v>
      </c>
      <c r="FV191" s="169" t="s">
        <v>395</v>
      </c>
      <c r="GG191" s="169" t="s">
        <v>395</v>
      </c>
      <c r="GR191" s="169" t="s">
        <v>395</v>
      </c>
      <c r="HC191" s="169" t="s">
        <v>395</v>
      </c>
      <c r="HN191" s="169" t="s">
        <v>395</v>
      </c>
      <c r="HY191" s="169" t="s">
        <v>395</v>
      </c>
      <c r="IJ191" s="169" t="s">
        <v>395</v>
      </c>
      <c r="IU191" s="169" t="s">
        <v>395</v>
      </c>
    </row>
    <row r="192" spans="2:255">
      <c r="B192" s="169" t="s">
        <v>395</v>
      </c>
      <c r="M192" s="169" t="s">
        <v>395</v>
      </c>
      <c r="X192" s="169" t="s">
        <v>395</v>
      </c>
      <c r="AI192" s="169" t="s">
        <v>395</v>
      </c>
      <c r="AT192" s="169" t="s">
        <v>395</v>
      </c>
      <c r="BE192" s="169" t="s">
        <v>395</v>
      </c>
      <c r="BP192" s="169" t="s">
        <v>395</v>
      </c>
      <c r="CA192" s="169" t="s">
        <v>395</v>
      </c>
      <c r="CL192" s="169" t="s">
        <v>395</v>
      </c>
      <c r="CW192" s="169" t="s">
        <v>395</v>
      </c>
      <c r="DH192" s="169" t="s">
        <v>395</v>
      </c>
      <c r="DS192" s="169" t="s">
        <v>395</v>
      </c>
      <c r="ED192" s="169" t="s">
        <v>395</v>
      </c>
      <c r="EO192" s="169" t="s">
        <v>395</v>
      </c>
      <c r="EZ192" s="169" t="s">
        <v>395</v>
      </c>
      <c r="FK192" s="169" t="s">
        <v>395</v>
      </c>
      <c r="FV192" s="169" t="s">
        <v>395</v>
      </c>
      <c r="GG192" s="169" t="s">
        <v>395</v>
      </c>
      <c r="GR192" s="169" t="s">
        <v>395</v>
      </c>
      <c r="HC192" s="169" t="s">
        <v>395</v>
      </c>
      <c r="HN192" s="169" t="s">
        <v>395</v>
      </c>
      <c r="HY192" s="169" t="s">
        <v>395</v>
      </c>
      <c r="IJ192" s="169" t="s">
        <v>395</v>
      </c>
      <c r="IU192" s="169" t="s">
        <v>395</v>
      </c>
    </row>
    <row r="193" spans="2:255">
      <c r="B193" s="169" t="s">
        <v>395</v>
      </c>
      <c r="M193" s="169" t="s">
        <v>395</v>
      </c>
      <c r="X193" s="169" t="s">
        <v>395</v>
      </c>
      <c r="AI193" s="169" t="s">
        <v>395</v>
      </c>
      <c r="AT193" s="169" t="s">
        <v>395</v>
      </c>
      <c r="BE193" s="169" t="s">
        <v>395</v>
      </c>
      <c r="BP193" s="169" t="s">
        <v>395</v>
      </c>
      <c r="CA193" s="169" t="s">
        <v>395</v>
      </c>
      <c r="CL193" s="169" t="s">
        <v>395</v>
      </c>
      <c r="CW193" s="169" t="s">
        <v>395</v>
      </c>
      <c r="DH193" s="169" t="s">
        <v>395</v>
      </c>
      <c r="DS193" s="169" t="s">
        <v>395</v>
      </c>
      <c r="ED193" s="169" t="s">
        <v>395</v>
      </c>
      <c r="EO193" s="169" t="s">
        <v>395</v>
      </c>
      <c r="EZ193" s="169" t="s">
        <v>395</v>
      </c>
      <c r="FK193" s="169" t="s">
        <v>395</v>
      </c>
      <c r="FV193" s="169" t="s">
        <v>395</v>
      </c>
      <c r="GG193" s="169" t="s">
        <v>395</v>
      </c>
      <c r="GR193" s="169" t="s">
        <v>395</v>
      </c>
      <c r="HC193" s="169" t="s">
        <v>395</v>
      </c>
      <c r="HN193" s="169" t="s">
        <v>395</v>
      </c>
      <c r="HY193" s="169" t="s">
        <v>395</v>
      </c>
      <c r="IJ193" s="169" t="s">
        <v>395</v>
      </c>
      <c r="IU193" s="169" t="s">
        <v>395</v>
      </c>
    </row>
    <row r="194" spans="2:255">
      <c r="B194" s="169" t="s">
        <v>395</v>
      </c>
      <c r="M194" s="169" t="s">
        <v>395</v>
      </c>
      <c r="X194" s="169" t="s">
        <v>395</v>
      </c>
      <c r="AI194" s="169" t="s">
        <v>395</v>
      </c>
      <c r="AT194" s="169" t="s">
        <v>395</v>
      </c>
      <c r="BE194" s="169" t="s">
        <v>395</v>
      </c>
      <c r="BP194" s="169" t="s">
        <v>395</v>
      </c>
      <c r="CA194" s="169" t="s">
        <v>395</v>
      </c>
      <c r="CL194" s="169" t="s">
        <v>395</v>
      </c>
      <c r="CW194" s="169" t="s">
        <v>395</v>
      </c>
      <c r="DH194" s="169" t="s">
        <v>395</v>
      </c>
      <c r="DS194" s="169" t="s">
        <v>395</v>
      </c>
      <c r="ED194" s="169" t="s">
        <v>395</v>
      </c>
      <c r="EO194" s="169" t="s">
        <v>395</v>
      </c>
      <c r="EZ194" s="169" t="s">
        <v>395</v>
      </c>
      <c r="FK194" s="169" t="s">
        <v>395</v>
      </c>
      <c r="FV194" s="169" t="s">
        <v>395</v>
      </c>
      <c r="GG194" s="169" t="s">
        <v>395</v>
      </c>
      <c r="GR194" s="169" t="s">
        <v>395</v>
      </c>
      <c r="HC194" s="169" t="s">
        <v>395</v>
      </c>
      <c r="HN194" s="169" t="s">
        <v>395</v>
      </c>
      <c r="HY194" s="169" t="s">
        <v>395</v>
      </c>
      <c r="IJ194" s="169" t="s">
        <v>395</v>
      </c>
      <c r="IU194" s="169" t="s">
        <v>395</v>
      </c>
    </row>
    <row r="195" spans="2:255">
      <c r="B195" s="169" t="s">
        <v>395</v>
      </c>
      <c r="M195" s="169" t="s">
        <v>395</v>
      </c>
      <c r="X195" s="169" t="s">
        <v>395</v>
      </c>
      <c r="AI195" s="169" t="s">
        <v>395</v>
      </c>
      <c r="AT195" s="169" t="s">
        <v>395</v>
      </c>
      <c r="BE195" s="169" t="s">
        <v>395</v>
      </c>
      <c r="BP195" s="169" t="s">
        <v>395</v>
      </c>
      <c r="CA195" s="169" t="s">
        <v>395</v>
      </c>
      <c r="CL195" s="169" t="s">
        <v>395</v>
      </c>
      <c r="CW195" s="169" t="s">
        <v>395</v>
      </c>
      <c r="DH195" s="169" t="s">
        <v>395</v>
      </c>
      <c r="DS195" s="169" t="s">
        <v>395</v>
      </c>
      <c r="ED195" s="169" t="s">
        <v>395</v>
      </c>
      <c r="EO195" s="169" t="s">
        <v>395</v>
      </c>
      <c r="EZ195" s="169" t="s">
        <v>395</v>
      </c>
      <c r="FK195" s="169" t="s">
        <v>395</v>
      </c>
      <c r="FV195" s="169" t="s">
        <v>395</v>
      </c>
      <c r="GG195" s="169" t="s">
        <v>395</v>
      </c>
      <c r="GR195" s="169" t="s">
        <v>395</v>
      </c>
      <c r="HC195" s="169" t="s">
        <v>395</v>
      </c>
      <c r="HN195" s="169" t="s">
        <v>395</v>
      </c>
      <c r="HY195" s="169" t="s">
        <v>395</v>
      </c>
      <c r="IJ195" s="169" t="s">
        <v>395</v>
      </c>
      <c r="IU195" s="169" t="s">
        <v>395</v>
      </c>
    </row>
    <row r="196" spans="2:255">
      <c r="B196" s="169" t="s">
        <v>395</v>
      </c>
      <c r="M196" s="169" t="s">
        <v>395</v>
      </c>
      <c r="X196" s="169" t="s">
        <v>395</v>
      </c>
      <c r="AI196" s="169" t="s">
        <v>395</v>
      </c>
      <c r="AT196" s="169" t="s">
        <v>395</v>
      </c>
      <c r="BE196" s="169" t="s">
        <v>395</v>
      </c>
      <c r="BP196" s="169" t="s">
        <v>395</v>
      </c>
      <c r="CA196" s="169" t="s">
        <v>395</v>
      </c>
      <c r="CL196" s="169" t="s">
        <v>395</v>
      </c>
      <c r="CW196" s="169" t="s">
        <v>395</v>
      </c>
      <c r="DH196" s="169" t="s">
        <v>395</v>
      </c>
      <c r="DS196" s="169" t="s">
        <v>395</v>
      </c>
      <c r="ED196" s="169" t="s">
        <v>395</v>
      </c>
      <c r="EO196" s="169" t="s">
        <v>395</v>
      </c>
      <c r="EZ196" s="169" t="s">
        <v>395</v>
      </c>
      <c r="FK196" s="169" t="s">
        <v>395</v>
      </c>
      <c r="FV196" s="169" t="s">
        <v>395</v>
      </c>
      <c r="GG196" s="169" t="s">
        <v>395</v>
      </c>
      <c r="GR196" s="169" t="s">
        <v>395</v>
      </c>
      <c r="HC196" s="169" t="s">
        <v>395</v>
      </c>
      <c r="HN196" s="169" t="s">
        <v>395</v>
      </c>
      <c r="HY196" s="169" t="s">
        <v>395</v>
      </c>
      <c r="IJ196" s="169" t="s">
        <v>395</v>
      </c>
      <c r="IU196" s="169" t="s">
        <v>395</v>
      </c>
    </row>
    <row r="197" spans="2:255">
      <c r="B197" s="169" t="s">
        <v>395</v>
      </c>
      <c r="M197" s="169" t="s">
        <v>395</v>
      </c>
      <c r="X197" s="169" t="s">
        <v>395</v>
      </c>
      <c r="AI197" s="169" t="s">
        <v>395</v>
      </c>
      <c r="AT197" s="169" t="s">
        <v>395</v>
      </c>
      <c r="BE197" s="169" t="s">
        <v>395</v>
      </c>
      <c r="BP197" s="169" t="s">
        <v>395</v>
      </c>
      <c r="CA197" s="169" t="s">
        <v>395</v>
      </c>
      <c r="CL197" s="169" t="s">
        <v>395</v>
      </c>
      <c r="CW197" s="169" t="s">
        <v>395</v>
      </c>
      <c r="DH197" s="169" t="s">
        <v>395</v>
      </c>
      <c r="DS197" s="169" t="s">
        <v>395</v>
      </c>
      <c r="ED197" s="169" t="s">
        <v>395</v>
      </c>
      <c r="EO197" s="169" t="s">
        <v>395</v>
      </c>
      <c r="EZ197" s="169" t="s">
        <v>395</v>
      </c>
      <c r="FK197" s="169" t="s">
        <v>395</v>
      </c>
      <c r="FV197" s="169" t="s">
        <v>395</v>
      </c>
      <c r="GG197" s="169" t="s">
        <v>395</v>
      </c>
      <c r="GR197" s="169" t="s">
        <v>395</v>
      </c>
      <c r="HC197" s="169" t="s">
        <v>395</v>
      </c>
      <c r="HN197" s="169" t="s">
        <v>395</v>
      </c>
      <c r="HY197" s="169" t="s">
        <v>395</v>
      </c>
      <c r="IJ197" s="169" t="s">
        <v>395</v>
      </c>
      <c r="IU197" s="169" t="s">
        <v>395</v>
      </c>
    </row>
    <row r="198" spans="2:255">
      <c r="B198" s="169" t="s">
        <v>395</v>
      </c>
      <c r="M198" s="169" t="s">
        <v>395</v>
      </c>
      <c r="X198" s="169" t="s">
        <v>395</v>
      </c>
      <c r="AI198" s="169" t="s">
        <v>395</v>
      </c>
      <c r="AT198" s="169" t="s">
        <v>395</v>
      </c>
      <c r="BE198" s="169" t="s">
        <v>395</v>
      </c>
      <c r="BP198" s="169" t="s">
        <v>395</v>
      </c>
      <c r="CA198" s="169" t="s">
        <v>395</v>
      </c>
      <c r="CL198" s="169" t="s">
        <v>395</v>
      </c>
      <c r="CW198" s="169" t="s">
        <v>395</v>
      </c>
      <c r="DH198" s="169" t="s">
        <v>395</v>
      </c>
      <c r="DS198" s="169" t="s">
        <v>395</v>
      </c>
      <c r="ED198" s="169" t="s">
        <v>395</v>
      </c>
      <c r="EO198" s="169" t="s">
        <v>395</v>
      </c>
      <c r="EZ198" s="169" t="s">
        <v>395</v>
      </c>
      <c r="FK198" s="169" t="s">
        <v>395</v>
      </c>
      <c r="FV198" s="169" t="s">
        <v>395</v>
      </c>
      <c r="GG198" s="169" t="s">
        <v>395</v>
      </c>
      <c r="GR198" s="169" t="s">
        <v>395</v>
      </c>
      <c r="HC198" s="169" t="s">
        <v>395</v>
      </c>
      <c r="HN198" s="169" t="s">
        <v>395</v>
      </c>
      <c r="HY198" s="169" t="s">
        <v>395</v>
      </c>
      <c r="IJ198" s="169" t="s">
        <v>395</v>
      </c>
      <c r="IU198" s="169" t="s">
        <v>395</v>
      </c>
    </row>
    <row r="199" spans="2:255">
      <c r="B199" s="169" t="s">
        <v>395</v>
      </c>
      <c r="M199" s="169" t="s">
        <v>395</v>
      </c>
      <c r="X199" s="169" t="s">
        <v>395</v>
      </c>
      <c r="AI199" s="169" t="s">
        <v>395</v>
      </c>
      <c r="AT199" s="169" t="s">
        <v>395</v>
      </c>
      <c r="BE199" s="169" t="s">
        <v>395</v>
      </c>
      <c r="BP199" s="169" t="s">
        <v>395</v>
      </c>
      <c r="CA199" s="169" t="s">
        <v>395</v>
      </c>
      <c r="CL199" s="169" t="s">
        <v>395</v>
      </c>
      <c r="CW199" s="169" t="s">
        <v>395</v>
      </c>
      <c r="DH199" s="169" t="s">
        <v>395</v>
      </c>
      <c r="DS199" s="169" t="s">
        <v>395</v>
      </c>
      <c r="ED199" s="169" t="s">
        <v>395</v>
      </c>
      <c r="EO199" s="169" t="s">
        <v>395</v>
      </c>
      <c r="EZ199" s="169" t="s">
        <v>395</v>
      </c>
      <c r="FK199" s="169" t="s">
        <v>395</v>
      </c>
      <c r="FV199" s="169" t="s">
        <v>395</v>
      </c>
      <c r="GG199" s="169" t="s">
        <v>395</v>
      </c>
      <c r="GR199" s="169" t="s">
        <v>395</v>
      </c>
      <c r="HC199" s="169" t="s">
        <v>395</v>
      </c>
      <c r="HN199" s="169" t="s">
        <v>395</v>
      </c>
      <c r="HY199" s="169" t="s">
        <v>395</v>
      </c>
      <c r="IJ199" s="169" t="s">
        <v>395</v>
      </c>
      <c r="IU199" s="169" t="s">
        <v>395</v>
      </c>
    </row>
    <row r="200" spans="2:255">
      <c r="B200" s="169" t="s">
        <v>395</v>
      </c>
      <c r="M200" s="169" t="s">
        <v>395</v>
      </c>
      <c r="X200" s="169" t="s">
        <v>395</v>
      </c>
      <c r="AI200" s="169" t="s">
        <v>395</v>
      </c>
      <c r="AT200" s="169" t="s">
        <v>395</v>
      </c>
      <c r="BE200" s="169" t="s">
        <v>395</v>
      </c>
      <c r="BP200" s="169" t="s">
        <v>395</v>
      </c>
      <c r="CA200" s="169" t="s">
        <v>395</v>
      </c>
      <c r="CL200" s="169" t="s">
        <v>395</v>
      </c>
      <c r="CW200" s="169" t="s">
        <v>395</v>
      </c>
      <c r="DH200" s="169" t="s">
        <v>395</v>
      </c>
      <c r="DS200" s="169" t="s">
        <v>395</v>
      </c>
      <c r="ED200" s="169" t="s">
        <v>395</v>
      </c>
      <c r="EO200" s="169" t="s">
        <v>395</v>
      </c>
      <c r="EZ200" s="169" t="s">
        <v>395</v>
      </c>
      <c r="FK200" s="169" t="s">
        <v>395</v>
      </c>
      <c r="FV200" s="169" t="s">
        <v>395</v>
      </c>
      <c r="GG200" s="169" t="s">
        <v>395</v>
      </c>
      <c r="GR200" s="169" t="s">
        <v>395</v>
      </c>
      <c r="HC200" s="169" t="s">
        <v>395</v>
      </c>
      <c r="HN200" s="169" t="s">
        <v>395</v>
      </c>
      <c r="HY200" s="169" t="s">
        <v>395</v>
      </c>
      <c r="IJ200" s="169" t="s">
        <v>395</v>
      </c>
      <c r="IU200" s="169" t="s">
        <v>395</v>
      </c>
    </row>
    <row r="201" spans="2:255">
      <c r="B201" s="169" t="s">
        <v>395</v>
      </c>
      <c r="M201" s="169" t="s">
        <v>395</v>
      </c>
      <c r="X201" s="169" t="s">
        <v>395</v>
      </c>
      <c r="AI201" s="169" t="s">
        <v>395</v>
      </c>
      <c r="AT201" s="169" t="s">
        <v>395</v>
      </c>
      <c r="BE201" s="169" t="s">
        <v>395</v>
      </c>
      <c r="BP201" s="169" t="s">
        <v>395</v>
      </c>
      <c r="CA201" s="169" t="s">
        <v>395</v>
      </c>
      <c r="CL201" s="169" t="s">
        <v>395</v>
      </c>
      <c r="CW201" s="169" t="s">
        <v>395</v>
      </c>
      <c r="DH201" s="169" t="s">
        <v>395</v>
      </c>
      <c r="DS201" s="169" t="s">
        <v>395</v>
      </c>
      <c r="ED201" s="169" t="s">
        <v>395</v>
      </c>
      <c r="EO201" s="169" t="s">
        <v>395</v>
      </c>
      <c r="EZ201" s="169" t="s">
        <v>395</v>
      </c>
      <c r="FK201" s="169" t="s">
        <v>395</v>
      </c>
      <c r="FV201" s="169" t="s">
        <v>395</v>
      </c>
      <c r="GG201" s="169" t="s">
        <v>395</v>
      </c>
      <c r="GR201" s="169" t="s">
        <v>395</v>
      </c>
      <c r="HC201" s="169" t="s">
        <v>395</v>
      </c>
      <c r="HN201" s="169" t="s">
        <v>395</v>
      </c>
      <c r="HY201" s="169" t="s">
        <v>395</v>
      </c>
      <c r="IJ201" s="169" t="s">
        <v>395</v>
      </c>
      <c r="IU201" s="169" t="s">
        <v>395</v>
      </c>
    </row>
    <row r="202" spans="2:255">
      <c r="B202" s="169" t="s">
        <v>395</v>
      </c>
      <c r="M202" s="169" t="s">
        <v>395</v>
      </c>
      <c r="X202" s="169" t="s">
        <v>395</v>
      </c>
      <c r="AI202" s="169" t="s">
        <v>395</v>
      </c>
      <c r="AT202" s="169" t="s">
        <v>395</v>
      </c>
      <c r="BE202" s="169" t="s">
        <v>395</v>
      </c>
      <c r="BP202" s="169" t="s">
        <v>395</v>
      </c>
      <c r="CA202" s="169" t="s">
        <v>395</v>
      </c>
      <c r="CL202" s="169" t="s">
        <v>395</v>
      </c>
      <c r="CW202" s="169" t="s">
        <v>395</v>
      </c>
      <c r="DH202" s="169" t="s">
        <v>395</v>
      </c>
      <c r="DS202" s="169" t="s">
        <v>395</v>
      </c>
      <c r="ED202" s="169" t="s">
        <v>395</v>
      </c>
      <c r="EO202" s="169" t="s">
        <v>395</v>
      </c>
      <c r="EZ202" s="169" t="s">
        <v>395</v>
      </c>
      <c r="FK202" s="169" t="s">
        <v>395</v>
      </c>
      <c r="FV202" s="169" t="s">
        <v>395</v>
      </c>
      <c r="GG202" s="169" t="s">
        <v>395</v>
      </c>
      <c r="GR202" s="169" t="s">
        <v>395</v>
      </c>
      <c r="HC202" s="169" t="s">
        <v>395</v>
      </c>
      <c r="HN202" s="169" t="s">
        <v>395</v>
      </c>
      <c r="HY202" s="169" t="s">
        <v>395</v>
      </c>
      <c r="IJ202" s="169" t="s">
        <v>395</v>
      </c>
      <c r="IU202" s="169" t="s">
        <v>395</v>
      </c>
    </row>
    <row r="203" spans="2:255">
      <c r="B203" s="169" t="s">
        <v>395</v>
      </c>
      <c r="M203" s="169" t="s">
        <v>395</v>
      </c>
      <c r="X203" s="169" t="s">
        <v>395</v>
      </c>
      <c r="AI203" s="169" t="s">
        <v>395</v>
      </c>
      <c r="AT203" s="169" t="s">
        <v>395</v>
      </c>
      <c r="BE203" s="169" t="s">
        <v>395</v>
      </c>
      <c r="BP203" s="169" t="s">
        <v>395</v>
      </c>
      <c r="CA203" s="169" t="s">
        <v>395</v>
      </c>
      <c r="CL203" s="169" t="s">
        <v>395</v>
      </c>
      <c r="CW203" s="169" t="s">
        <v>395</v>
      </c>
      <c r="DH203" s="169" t="s">
        <v>395</v>
      </c>
      <c r="DS203" s="169" t="s">
        <v>395</v>
      </c>
      <c r="ED203" s="169" t="s">
        <v>395</v>
      </c>
      <c r="EO203" s="169" t="s">
        <v>395</v>
      </c>
      <c r="EZ203" s="169" t="s">
        <v>395</v>
      </c>
      <c r="FK203" s="169" t="s">
        <v>395</v>
      </c>
      <c r="FV203" s="169" t="s">
        <v>395</v>
      </c>
      <c r="GG203" s="169" t="s">
        <v>395</v>
      </c>
      <c r="GR203" s="169" t="s">
        <v>395</v>
      </c>
      <c r="HC203" s="169" t="s">
        <v>395</v>
      </c>
      <c r="HN203" s="169" t="s">
        <v>395</v>
      </c>
      <c r="HY203" s="169" t="s">
        <v>395</v>
      </c>
      <c r="IJ203" s="169" t="s">
        <v>395</v>
      </c>
      <c r="IU203" s="169" t="s">
        <v>395</v>
      </c>
    </row>
    <row r="204" spans="2:255">
      <c r="B204" s="169" t="s">
        <v>395</v>
      </c>
      <c r="M204" s="169" t="s">
        <v>395</v>
      </c>
      <c r="X204" s="169" t="s">
        <v>395</v>
      </c>
      <c r="AI204" s="169" t="s">
        <v>395</v>
      </c>
      <c r="AT204" s="169" t="s">
        <v>395</v>
      </c>
      <c r="BE204" s="169" t="s">
        <v>395</v>
      </c>
      <c r="BP204" s="169" t="s">
        <v>395</v>
      </c>
      <c r="CA204" s="169" t="s">
        <v>395</v>
      </c>
      <c r="CL204" s="169" t="s">
        <v>395</v>
      </c>
      <c r="CW204" s="169" t="s">
        <v>395</v>
      </c>
      <c r="DH204" s="169" t="s">
        <v>395</v>
      </c>
      <c r="DS204" s="169" t="s">
        <v>395</v>
      </c>
      <c r="ED204" s="169" t="s">
        <v>395</v>
      </c>
      <c r="EO204" s="169" t="s">
        <v>395</v>
      </c>
      <c r="EZ204" s="169" t="s">
        <v>395</v>
      </c>
      <c r="FK204" s="169" t="s">
        <v>395</v>
      </c>
      <c r="FV204" s="169" t="s">
        <v>395</v>
      </c>
      <c r="GG204" s="169" t="s">
        <v>395</v>
      </c>
      <c r="GR204" s="169" t="s">
        <v>395</v>
      </c>
      <c r="HC204" s="169" t="s">
        <v>395</v>
      </c>
      <c r="HN204" s="169" t="s">
        <v>395</v>
      </c>
      <c r="HY204" s="169" t="s">
        <v>395</v>
      </c>
      <c r="IJ204" s="169" t="s">
        <v>395</v>
      </c>
      <c r="IU204" s="169" t="s">
        <v>395</v>
      </c>
    </row>
    <row r="205" spans="2:255">
      <c r="B205" s="169" t="s">
        <v>395</v>
      </c>
      <c r="M205" s="169" t="s">
        <v>395</v>
      </c>
      <c r="X205" s="169" t="s">
        <v>395</v>
      </c>
      <c r="AI205" s="169" t="s">
        <v>395</v>
      </c>
      <c r="AT205" s="169" t="s">
        <v>395</v>
      </c>
      <c r="BE205" s="169" t="s">
        <v>395</v>
      </c>
      <c r="BP205" s="169" t="s">
        <v>395</v>
      </c>
      <c r="CA205" s="169" t="s">
        <v>395</v>
      </c>
      <c r="CL205" s="169" t="s">
        <v>395</v>
      </c>
      <c r="CW205" s="169" t="s">
        <v>395</v>
      </c>
      <c r="DH205" s="169" t="s">
        <v>395</v>
      </c>
      <c r="DS205" s="169" t="s">
        <v>395</v>
      </c>
      <c r="ED205" s="169" t="s">
        <v>395</v>
      </c>
      <c r="EO205" s="169" t="s">
        <v>395</v>
      </c>
      <c r="EZ205" s="169" t="s">
        <v>395</v>
      </c>
      <c r="FK205" s="169" t="s">
        <v>395</v>
      </c>
      <c r="FV205" s="169" t="s">
        <v>395</v>
      </c>
      <c r="GG205" s="169" t="s">
        <v>395</v>
      </c>
      <c r="GR205" s="169" t="s">
        <v>395</v>
      </c>
      <c r="HC205" s="169" t="s">
        <v>395</v>
      </c>
      <c r="HN205" s="169" t="s">
        <v>395</v>
      </c>
      <c r="HY205" s="169" t="s">
        <v>395</v>
      </c>
      <c r="IJ205" s="169" t="s">
        <v>395</v>
      </c>
      <c r="IU205" s="169" t="s">
        <v>395</v>
      </c>
    </row>
    <row r="206" spans="2:255">
      <c r="B206" s="169" t="s">
        <v>395</v>
      </c>
      <c r="M206" s="169" t="s">
        <v>395</v>
      </c>
      <c r="X206" s="169" t="s">
        <v>395</v>
      </c>
      <c r="AI206" s="169" t="s">
        <v>395</v>
      </c>
      <c r="AT206" s="169" t="s">
        <v>395</v>
      </c>
      <c r="BE206" s="169" t="s">
        <v>395</v>
      </c>
      <c r="BP206" s="169" t="s">
        <v>395</v>
      </c>
      <c r="CA206" s="169" t="s">
        <v>395</v>
      </c>
      <c r="CL206" s="169" t="s">
        <v>395</v>
      </c>
      <c r="CW206" s="169" t="s">
        <v>395</v>
      </c>
      <c r="DH206" s="169" t="s">
        <v>395</v>
      </c>
      <c r="DS206" s="169" t="s">
        <v>395</v>
      </c>
      <c r="ED206" s="169" t="s">
        <v>395</v>
      </c>
      <c r="EO206" s="169" t="s">
        <v>395</v>
      </c>
      <c r="EZ206" s="169" t="s">
        <v>395</v>
      </c>
      <c r="FK206" s="169" t="s">
        <v>395</v>
      </c>
      <c r="FV206" s="169" t="s">
        <v>395</v>
      </c>
      <c r="GG206" s="169" t="s">
        <v>395</v>
      </c>
      <c r="GR206" s="169" t="s">
        <v>395</v>
      </c>
      <c r="HC206" s="169" t="s">
        <v>395</v>
      </c>
      <c r="HN206" s="169" t="s">
        <v>395</v>
      </c>
      <c r="HY206" s="169" t="s">
        <v>395</v>
      </c>
      <c r="IJ206" s="169" t="s">
        <v>395</v>
      </c>
      <c r="IU206" s="169" t="s">
        <v>395</v>
      </c>
    </row>
    <row r="207" spans="2:255">
      <c r="B207" s="169" t="s">
        <v>395</v>
      </c>
      <c r="M207" s="169" t="s">
        <v>395</v>
      </c>
      <c r="X207" s="169" t="s">
        <v>395</v>
      </c>
      <c r="AI207" s="169" t="s">
        <v>395</v>
      </c>
      <c r="AT207" s="169" t="s">
        <v>395</v>
      </c>
      <c r="BE207" s="169" t="s">
        <v>395</v>
      </c>
      <c r="BP207" s="169" t="s">
        <v>395</v>
      </c>
      <c r="CA207" s="169" t="s">
        <v>395</v>
      </c>
      <c r="CL207" s="169" t="s">
        <v>395</v>
      </c>
      <c r="CW207" s="169" t="s">
        <v>395</v>
      </c>
      <c r="DH207" s="169" t="s">
        <v>395</v>
      </c>
      <c r="DS207" s="169" t="s">
        <v>395</v>
      </c>
      <c r="ED207" s="169" t="s">
        <v>395</v>
      </c>
      <c r="EO207" s="169" t="s">
        <v>395</v>
      </c>
      <c r="EZ207" s="169" t="s">
        <v>395</v>
      </c>
      <c r="FK207" s="169" t="s">
        <v>395</v>
      </c>
      <c r="FV207" s="169" t="s">
        <v>395</v>
      </c>
      <c r="GG207" s="169" t="s">
        <v>395</v>
      </c>
      <c r="GR207" s="169" t="s">
        <v>395</v>
      </c>
      <c r="HC207" s="169" t="s">
        <v>395</v>
      </c>
      <c r="HN207" s="169" t="s">
        <v>395</v>
      </c>
      <c r="HY207" s="169" t="s">
        <v>395</v>
      </c>
      <c r="IJ207" s="169" t="s">
        <v>395</v>
      </c>
      <c r="IU207" s="169" t="s">
        <v>395</v>
      </c>
    </row>
    <row r="208" spans="2:255">
      <c r="B208" s="169" t="s">
        <v>395</v>
      </c>
      <c r="M208" s="169" t="s">
        <v>395</v>
      </c>
      <c r="X208" s="169" t="s">
        <v>395</v>
      </c>
      <c r="AI208" s="169" t="s">
        <v>395</v>
      </c>
      <c r="AT208" s="169" t="s">
        <v>395</v>
      </c>
      <c r="BE208" s="169" t="s">
        <v>395</v>
      </c>
      <c r="BP208" s="169" t="s">
        <v>395</v>
      </c>
      <c r="CA208" s="169" t="s">
        <v>395</v>
      </c>
      <c r="CL208" s="169" t="s">
        <v>395</v>
      </c>
      <c r="CW208" s="169" t="s">
        <v>395</v>
      </c>
      <c r="DH208" s="169" t="s">
        <v>395</v>
      </c>
      <c r="DS208" s="169" t="s">
        <v>395</v>
      </c>
      <c r="ED208" s="169" t="s">
        <v>395</v>
      </c>
      <c r="EO208" s="169" t="s">
        <v>395</v>
      </c>
      <c r="EZ208" s="169" t="s">
        <v>395</v>
      </c>
      <c r="FK208" s="169" t="s">
        <v>395</v>
      </c>
      <c r="FV208" s="169" t="s">
        <v>395</v>
      </c>
      <c r="GG208" s="169" t="s">
        <v>395</v>
      </c>
      <c r="GR208" s="169" t="s">
        <v>395</v>
      </c>
      <c r="HC208" s="169" t="s">
        <v>395</v>
      </c>
      <c r="HN208" s="169" t="s">
        <v>395</v>
      </c>
      <c r="HY208" s="169" t="s">
        <v>395</v>
      </c>
      <c r="IJ208" s="169" t="s">
        <v>395</v>
      </c>
      <c r="IU208" s="169" t="s">
        <v>395</v>
      </c>
    </row>
    <row r="209" spans="2:255">
      <c r="B209" s="169" t="s">
        <v>395</v>
      </c>
      <c r="M209" s="169" t="s">
        <v>395</v>
      </c>
      <c r="X209" s="169" t="s">
        <v>395</v>
      </c>
      <c r="AI209" s="169" t="s">
        <v>395</v>
      </c>
      <c r="AT209" s="169" t="s">
        <v>395</v>
      </c>
      <c r="BE209" s="169" t="s">
        <v>395</v>
      </c>
      <c r="BP209" s="169" t="s">
        <v>395</v>
      </c>
      <c r="CA209" s="169" t="s">
        <v>395</v>
      </c>
      <c r="CL209" s="169" t="s">
        <v>395</v>
      </c>
      <c r="CW209" s="169" t="s">
        <v>395</v>
      </c>
      <c r="DH209" s="169" t="s">
        <v>395</v>
      </c>
      <c r="DS209" s="169" t="s">
        <v>395</v>
      </c>
      <c r="ED209" s="169" t="s">
        <v>395</v>
      </c>
      <c r="EO209" s="169" t="s">
        <v>395</v>
      </c>
      <c r="EZ209" s="169" t="s">
        <v>395</v>
      </c>
      <c r="FK209" s="169" t="s">
        <v>395</v>
      </c>
      <c r="FV209" s="169" t="s">
        <v>395</v>
      </c>
      <c r="GG209" s="169" t="s">
        <v>395</v>
      </c>
      <c r="GR209" s="169" t="s">
        <v>395</v>
      </c>
      <c r="HC209" s="169" t="s">
        <v>395</v>
      </c>
      <c r="HN209" s="169" t="s">
        <v>395</v>
      </c>
      <c r="HY209" s="169" t="s">
        <v>395</v>
      </c>
      <c r="IJ209" s="169" t="s">
        <v>395</v>
      </c>
      <c r="IU209" s="169" t="s">
        <v>395</v>
      </c>
    </row>
    <row r="210" spans="2:255">
      <c r="B210" s="169" t="s">
        <v>395</v>
      </c>
      <c r="M210" s="169" t="s">
        <v>395</v>
      </c>
      <c r="X210" s="169" t="s">
        <v>395</v>
      </c>
      <c r="AI210" s="169" t="s">
        <v>395</v>
      </c>
      <c r="AT210" s="169" t="s">
        <v>395</v>
      </c>
      <c r="BE210" s="169" t="s">
        <v>395</v>
      </c>
      <c r="BP210" s="169" t="s">
        <v>395</v>
      </c>
      <c r="CA210" s="169" t="s">
        <v>395</v>
      </c>
      <c r="CL210" s="169" t="s">
        <v>395</v>
      </c>
      <c r="CW210" s="169" t="s">
        <v>395</v>
      </c>
      <c r="DH210" s="169" t="s">
        <v>395</v>
      </c>
      <c r="DS210" s="169" t="s">
        <v>395</v>
      </c>
      <c r="ED210" s="169" t="s">
        <v>395</v>
      </c>
      <c r="EO210" s="169" t="s">
        <v>395</v>
      </c>
      <c r="EZ210" s="169" t="s">
        <v>395</v>
      </c>
      <c r="FK210" s="169" t="s">
        <v>395</v>
      </c>
      <c r="FV210" s="169" t="s">
        <v>395</v>
      </c>
      <c r="GG210" s="169" t="s">
        <v>395</v>
      </c>
      <c r="GR210" s="169" t="s">
        <v>395</v>
      </c>
      <c r="HC210" s="169" t="s">
        <v>395</v>
      </c>
      <c r="HN210" s="169" t="s">
        <v>395</v>
      </c>
      <c r="HY210" s="169" t="s">
        <v>395</v>
      </c>
      <c r="IJ210" s="169" t="s">
        <v>395</v>
      </c>
      <c r="IU210" s="169" t="s">
        <v>395</v>
      </c>
    </row>
    <row r="211" spans="2:255">
      <c r="B211" s="169" t="s">
        <v>395</v>
      </c>
      <c r="M211" s="169" t="s">
        <v>395</v>
      </c>
      <c r="X211" s="169" t="s">
        <v>395</v>
      </c>
      <c r="AI211" s="169" t="s">
        <v>395</v>
      </c>
      <c r="AT211" s="169" t="s">
        <v>395</v>
      </c>
      <c r="BE211" s="169" t="s">
        <v>395</v>
      </c>
      <c r="BP211" s="169" t="s">
        <v>395</v>
      </c>
      <c r="CA211" s="169" t="s">
        <v>395</v>
      </c>
      <c r="CL211" s="169" t="s">
        <v>395</v>
      </c>
      <c r="CW211" s="169" t="s">
        <v>395</v>
      </c>
      <c r="DH211" s="169" t="s">
        <v>395</v>
      </c>
      <c r="DS211" s="169" t="s">
        <v>395</v>
      </c>
      <c r="ED211" s="169" t="s">
        <v>395</v>
      </c>
      <c r="EO211" s="169" t="s">
        <v>395</v>
      </c>
      <c r="EZ211" s="169" t="s">
        <v>395</v>
      </c>
      <c r="FK211" s="169" t="s">
        <v>395</v>
      </c>
      <c r="FV211" s="169" t="s">
        <v>395</v>
      </c>
      <c r="GG211" s="169" t="s">
        <v>395</v>
      </c>
      <c r="GR211" s="169" t="s">
        <v>395</v>
      </c>
      <c r="HC211" s="169" t="s">
        <v>395</v>
      </c>
      <c r="HN211" s="169" t="s">
        <v>395</v>
      </c>
      <c r="HY211" s="169" t="s">
        <v>395</v>
      </c>
      <c r="IJ211" s="169" t="s">
        <v>395</v>
      </c>
      <c r="IU211" s="169" t="s">
        <v>395</v>
      </c>
    </row>
    <row r="212" spans="2:255">
      <c r="B212" s="169" t="s">
        <v>395</v>
      </c>
      <c r="M212" s="169" t="s">
        <v>395</v>
      </c>
      <c r="X212" s="169" t="s">
        <v>395</v>
      </c>
      <c r="AI212" s="169" t="s">
        <v>395</v>
      </c>
      <c r="AT212" s="169" t="s">
        <v>395</v>
      </c>
      <c r="BE212" s="169" t="s">
        <v>395</v>
      </c>
      <c r="BP212" s="169" t="s">
        <v>395</v>
      </c>
      <c r="CA212" s="169" t="s">
        <v>395</v>
      </c>
      <c r="CL212" s="169" t="s">
        <v>395</v>
      </c>
      <c r="CW212" s="169" t="s">
        <v>395</v>
      </c>
      <c r="DH212" s="169" t="s">
        <v>395</v>
      </c>
      <c r="DS212" s="169" t="s">
        <v>395</v>
      </c>
      <c r="ED212" s="169" t="s">
        <v>395</v>
      </c>
      <c r="EO212" s="169" t="s">
        <v>395</v>
      </c>
      <c r="EZ212" s="169" t="s">
        <v>395</v>
      </c>
      <c r="FK212" s="169" t="s">
        <v>395</v>
      </c>
      <c r="FV212" s="169" t="s">
        <v>395</v>
      </c>
      <c r="GG212" s="169" t="s">
        <v>395</v>
      </c>
      <c r="GR212" s="169" t="s">
        <v>395</v>
      </c>
      <c r="HC212" s="169" t="s">
        <v>395</v>
      </c>
      <c r="HN212" s="169" t="s">
        <v>395</v>
      </c>
      <c r="HY212" s="169" t="s">
        <v>395</v>
      </c>
      <c r="IJ212" s="169" t="s">
        <v>395</v>
      </c>
      <c r="IU212" s="169" t="s">
        <v>395</v>
      </c>
    </row>
    <row r="213" spans="2:255">
      <c r="B213" s="169" t="s">
        <v>395</v>
      </c>
      <c r="M213" s="169" t="s">
        <v>395</v>
      </c>
      <c r="X213" s="169" t="s">
        <v>395</v>
      </c>
      <c r="AI213" s="169" t="s">
        <v>395</v>
      </c>
      <c r="AT213" s="169" t="s">
        <v>395</v>
      </c>
      <c r="BE213" s="169" t="s">
        <v>395</v>
      </c>
      <c r="BP213" s="169" t="s">
        <v>395</v>
      </c>
      <c r="CA213" s="169" t="s">
        <v>395</v>
      </c>
      <c r="CL213" s="169" t="s">
        <v>395</v>
      </c>
      <c r="CW213" s="169" t="s">
        <v>395</v>
      </c>
      <c r="DH213" s="169" t="s">
        <v>395</v>
      </c>
      <c r="DS213" s="169" t="s">
        <v>395</v>
      </c>
      <c r="ED213" s="169" t="s">
        <v>395</v>
      </c>
      <c r="EO213" s="169" t="s">
        <v>395</v>
      </c>
      <c r="EZ213" s="169" t="s">
        <v>395</v>
      </c>
      <c r="FK213" s="169" t="s">
        <v>395</v>
      </c>
      <c r="FV213" s="169" t="s">
        <v>395</v>
      </c>
      <c r="GG213" s="169" t="s">
        <v>395</v>
      </c>
      <c r="GR213" s="169" t="s">
        <v>395</v>
      </c>
      <c r="HC213" s="169" t="s">
        <v>395</v>
      </c>
      <c r="HN213" s="169" t="s">
        <v>395</v>
      </c>
      <c r="HY213" s="169" t="s">
        <v>395</v>
      </c>
      <c r="IJ213" s="169" t="s">
        <v>395</v>
      </c>
      <c r="IU213" s="169" t="s">
        <v>395</v>
      </c>
    </row>
    <row r="214" spans="2:255">
      <c r="B214" s="169" t="s">
        <v>395</v>
      </c>
      <c r="M214" s="169" t="s">
        <v>395</v>
      </c>
      <c r="X214" s="169" t="s">
        <v>395</v>
      </c>
      <c r="AI214" s="169" t="s">
        <v>395</v>
      </c>
      <c r="AT214" s="169" t="s">
        <v>395</v>
      </c>
      <c r="BE214" s="169" t="s">
        <v>395</v>
      </c>
      <c r="BP214" s="169" t="s">
        <v>395</v>
      </c>
      <c r="CA214" s="169" t="s">
        <v>395</v>
      </c>
      <c r="CL214" s="169" t="s">
        <v>395</v>
      </c>
      <c r="CW214" s="169" t="s">
        <v>395</v>
      </c>
      <c r="DH214" s="169" t="s">
        <v>395</v>
      </c>
      <c r="DS214" s="169" t="s">
        <v>395</v>
      </c>
      <c r="ED214" s="169" t="s">
        <v>395</v>
      </c>
      <c r="EO214" s="169" t="s">
        <v>395</v>
      </c>
      <c r="EZ214" s="169" t="s">
        <v>395</v>
      </c>
      <c r="FK214" s="169" t="s">
        <v>395</v>
      </c>
      <c r="FV214" s="169" t="s">
        <v>395</v>
      </c>
      <c r="GG214" s="169" t="s">
        <v>395</v>
      </c>
      <c r="GR214" s="169" t="s">
        <v>395</v>
      </c>
      <c r="HC214" s="169" t="s">
        <v>395</v>
      </c>
      <c r="HN214" s="169" t="s">
        <v>395</v>
      </c>
      <c r="HY214" s="169" t="s">
        <v>395</v>
      </c>
      <c r="IJ214" s="169" t="s">
        <v>395</v>
      </c>
      <c r="IU214" s="169" t="s">
        <v>395</v>
      </c>
    </row>
    <row r="215" spans="2:255">
      <c r="B215" s="169" t="s">
        <v>395</v>
      </c>
      <c r="M215" s="169" t="s">
        <v>395</v>
      </c>
      <c r="X215" s="169" t="s">
        <v>395</v>
      </c>
      <c r="AI215" s="169" t="s">
        <v>395</v>
      </c>
      <c r="AT215" s="169" t="s">
        <v>395</v>
      </c>
      <c r="BE215" s="169" t="s">
        <v>395</v>
      </c>
      <c r="BP215" s="169" t="s">
        <v>395</v>
      </c>
      <c r="CA215" s="169" t="s">
        <v>395</v>
      </c>
      <c r="CL215" s="169" t="s">
        <v>395</v>
      </c>
      <c r="CW215" s="169" t="s">
        <v>395</v>
      </c>
      <c r="DH215" s="169" t="s">
        <v>395</v>
      </c>
      <c r="DS215" s="169" t="s">
        <v>395</v>
      </c>
      <c r="ED215" s="169" t="s">
        <v>395</v>
      </c>
      <c r="EO215" s="169" t="s">
        <v>395</v>
      </c>
      <c r="EZ215" s="169" t="s">
        <v>395</v>
      </c>
      <c r="FK215" s="169" t="s">
        <v>395</v>
      </c>
      <c r="FV215" s="169" t="s">
        <v>395</v>
      </c>
      <c r="GG215" s="169" t="s">
        <v>395</v>
      </c>
      <c r="GR215" s="169" t="s">
        <v>395</v>
      </c>
      <c r="HC215" s="169" t="s">
        <v>395</v>
      </c>
      <c r="HN215" s="169" t="s">
        <v>395</v>
      </c>
      <c r="HY215" s="169" t="s">
        <v>395</v>
      </c>
      <c r="IJ215" s="169" t="s">
        <v>395</v>
      </c>
      <c r="IU215" s="169" t="s">
        <v>395</v>
      </c>
    </row>
    <row r="216" spans="2:255">
      <c r="B216" s="169" t="s">
        <v>395</v>
      </c>
      <c r="M216" s="169" t="s">
        <v>395</v>
      </c>
      <c r="X216" s="169" t="s">
        <v>395</v>
      </c>
      <c r="AI216" s="169" t="s">
        <v>395</v>
      </c>
      <c r="AT216" s="169" t="s">
        <v>395</v>
      </c>
      <c r="BE216" s="169" t="s">
        <v>395</v>
      </c>
      <c r="BP216" s="169" t="s">
        <v>395</v>
      </c>
      <c r="CA216" s="169" t="s">
        <v>395</v>
      </c>
      <c r="CL216" s="169" t="s">
        <v>395</v>
      </c>
      <c r="CW216" s="169" t="s">
        <v>395</v>
      </c>
      <c r="DH216" s="169" t="s">
        <v>395</v>
      </c>
      <c r="DS216" s="169" t="s">
        <v>395</v>
      </c>
      <c r="ED216" s="169" t="s">
        <v>395</v>
      </c>
      <c r="EO216" s="169" t="s">
        <v>395</v>
      </c>
      <c r="EZ216" s="169" t="s">
        <v>395</v>
      </c>
      <c r="FK216" s="169" t="s">
        <v>395</v>
      </c>
      <c r="FV216" s="169" t="s">
        <v>395</v>
      </c>
      <c r="GG216" s="169" t="s">
        <v>395</v>
      </c>
      <c r="GR216" s="169" t="s">
        <v>395</v>
      </c>
      <c r="HC216" s="169" t="s">
        <v>395</v>
      </c>
      <c r="HN216" s="169" t="s">
        <v>395</v>
      </c>
      <c r="HY216" s="169" t="s">
        <v>395</v>
      </c>
      <c r="IJ216" s="169" t="s">
        <v>395</v>
      </c>
      <c r="IU216" s="169" t="s">
        <v>395</v>
      </c>
    </row>
    <row r="217" spans="2:255">
      <c r="B217" s="169" t="s">
        <v>395</v>
      </c>
      <c r="M217" s="169" t="s">
        <v>395</v>
      </c>
      <c r="X217" s="169" t="s">
        <v>395</v>
      </c>
      <c r="AI217" s="169" t="s">
        <v>395</v>
      </c>
      <c r="AT217" s="169" t="s">
        <v>395</v>
      </c>
      <c r="BE217" s="169" t="s">
        <v>395</v>
      </c>
      <c r="BP217" s="169" t="s">
        <v>395</v>
      </c>
      <c r="CA217" s="169" t="s">
        <v>395</v>
      </c>
      <c r="CL217" s="169" t="s">
        <v>395</v>
      </c>
      <c r="CW217" s="169" t="s">
        <v>395</v>
      </c>
      <c r="DH217" s="169" t="s">
        <v>395</v>
      </c>
      <c r="DS217" s="169" t="s">
        <v>395</v>
      </c>
      <c r="ED217" s="169" t="s">
        <v>395</v>
      </c>
      <c r="EO217" s="169" t="s">
        <v>395</v>
      </c>
      <c r="EZ217" s="169" t="s">
        <v>395</v>
      </c>
      <c r="FK217" s="169" t="s">
        <v>395</v>
      </c>
      <c r="FV217" s="169" t="s">
        <v>395</v>
      </c>
      <c r="GG217" s="169" t="s">
        <v>395</v>
      </c>
      <c r="GR217" s="169" t="s">
        <v>395</v>
      </c>
      <c r="HC217" s="169" t="s">
        <v>395</v>
      </c>
      <c r="HN217" s="169" t="s">
        <v>395</v>
      </c>
      <c r="HY217" s="169" t="s">
        <v>395</v>
      </c>
      <c r="IJ217" s="169" t="s">
        <v>395</v>
      </c>
      <c r="IU217" s="169" t="s">
        <v>395</v>
      </c>
    </row>
    <row r="218" spans="2:255">
      <c r="B218" s="169" t="s">
        <v>395</v>
      </c>
      <c r="M218" s="169" t="s">
        <v>395</v>
      </c>
      <c r="X218" s="169" t="s">
        <v>395</v>
      </c>
      <c r="AI218" s="169" t="s">
        <v>395</v>
      </c>
      <c r="AT218" s="169" t="s">
        <v>395</v>
      </c>
      <c r="BE218" s="169" t="s">
        <v>395</v>
      </c>
      <c r="BP218" s="169" t="s">
        <v>395</v>
      </c>
      <c r="CA218" s="169" t="s">
        <v>395</v>
      </c>
      <c r="CL218" s="169" t="s">
        <v>395</v>
      </c>
      <c r="CW218" s="169" t="s">
        <v>395</v>
      </c>
      <c r="DH218" s="169" t="s">
        <v>395</v>
      </c>
      <c r="DS218" s="169" t="s">
        <v>395</v>
      </c>
      <c r="ED218" s="169" t="s">
        <v>395</v>
      </c>
      <c r="EO218" s="169" t="s">
        <v>395</v>
      </c>
      <c r="EZ218" s="169" t="s">
        <v>395</v>
      </c>
      <c r="FK218" s="169" t="s">
        <v>395</v>
      </c>
      <c r="FV218" s="169" t="s">
        <v>395</v>
      </c>
      <c r="GG218" s="169" t="s">
        <v>395</v>
      </c>
      <c r="GR218" s="169" t="s">
        <v>395</v>
      </c>
      <c r="HC218" s="169" t="s">
        <v>395</v>
      </c>
      <c r="HN218" s="169" t="s">
        <v>395</v>
      </c>
      <c r="HY218" s="169" t="s">
        <v>395</v>
      </c>
      <c r="IJ218" s="169" t="s">
        <v>395</v>
      </c>
      <c r="IU218" s="169" t="s">
        <v>395</v>
      </c>
    </row>
    <row r="219" spans="2:255">
      <c r="B219" s="169" t="s">
        <v>395</v>
      </c>
      <c r="M219" s="169" t="s">
        <v>395</v>
      </c>
      <c r="X219" s="169" t="s">
        <v>395</v>
      </c>
      <c r="AI219" s="169" t="s">
        <v>395</v>
      </c>
      <c r="AT219" s="169" t="s">
        <v>395</v>
      </c>
      <c r="BE219" s="169" t="s">
        <v>395</v>
      </c>
      <c r="BP219" s="169" t="s">
        <v>395</v>
      </c>
      <c r="CA219" s="169" t="s">
        <v>395</v>
      </c>
      <c r="CL219" s="169" t="s">
        <v>395</v>
      </c>
      <c r="CW219" s="169" t="s">
        <v>395</v>
      </c>
      <c r="DH219" s="169" t="s">
        <v>395</v>
      </c>
      <c r="DS219" s="169" t="s">
        <v>395</v>
      </c>
      <c r="ED219" s="169" t="s">
        <v>395</v>
      </c>
      <c r="EO219" s="169" t="s">
        <v>395</v>
      </c>
      <c r="EZ219" s="169" t="s">
        <v>395</v>
      </c>
      <c r="FK219" s="169" t="s">
        <v>395</v>
      </c>
      <c r="FV219" s="169" t="s">
        <v>395</v>
      </c>
      <c r="GG219" s="169" t="s">
        <v>395</v>
      </c>
      <c r="GR219" s="169" t="s">
        <v>395</v>
      </c>
      <c r="HC219" s="169" t="s">
        <v>395</v>
      </c>
      <c r="HN219" s="169" t="s">
        <v>395</v>
      </c>
      <c r="HY219" s="169" t="s">
        <v>395</v>
      </c>
      <c r="IJ219" s="169" t="s">
        <v>395</v>
      </c>
      <c r="IU219" s="169" t="s">
        <v>395</v>
      </c>
    </row>
    <row r="220" spans="2:255">
      <c r="B220" s="169" t="s">
        <v>395</v>
      </c>
      <c r="M220" s="169" t="s">
        <v>395</v>
      </c>
      <c r="X220" s="169" t="s">
        <v>395</v>
      </c>
      <c r="AI220" s="169" t="s">
        <v>395</v>
      </c>
      <c r="AT220" s="169" t="s">
        <v>395</v>
      </c>
      <c r="BE220" s="169" t="s">
        <v>395</v>
      </c>
      <c r="BP220" s="169" t="s">
        <v>395</v>
      </c>
      <c r="CA220" s="169" t="s">
        <v>395</v>
      </c>
      <c r="CL220" s="169" t="s">
        <v>395</v>
      </c>
      <c r="CW220" s="169" t="s">
        <v>395</v>
      </c>
      <c r="DH220" s="169" t="s">
        <v>395</v>
      </c>
      <c r="DS220" s="169" t="s">
        <v>395</v>
      </c>
      <c r="ED220" s="169" t="s">
        <v>395</v>
      </c>
      <c r="EO220" s="169" t="s">
        <v>395</v>
      </c>
      <c r="EZ220" s="169" t="s">
        <v>395</v>
      </c>
      <c r="FK220" s="169" t="s">
        <v>395</v>
      </c>
      <c r="FV220" s="169" t="s">
        <v>395</v>
      </c>
      <c r="GG220" s="169" t="s">
        <v>395</v>
      </c>
      <c r="GR220" s="169" t="s">
        <v>395</v>
      </c>
      <c r="HC220" s="169" t="s">
        <v>395</v>
      </c>
      <c r="HN220" s="169" t="s">
        <v>395</v>
      </c>
      <c r="HY220" s="169" t="s">
        <v>395</v>
      </c>
      <c r="IJ220" s="169" t="s">
        <v>395</v>
      </c>
      <c r="IU220" s="169" t="s">
        <v>395</v>
      </c>
    </row>
    <row r="221" spans="2:255">
      <c r="B221" s="169" t="s">
        <v>395</v>
      </c>
      <c r="M221" s="169" t="s">
        <v>395</v>
      </c>
      <c r="X221" s="169" t="s">
        <v>395</v>
      </c>
      <c r="AI221" s="169" t="s">
        <v>395</v>
      </c>
      <c r="AT221" s="169" t="s">
        <v>395</v>
      </c>
      <c r="BE221" s="169" t="s">
        <v>395</v>
      </c>
      <c r="BP221" s="169" t="s">
        <v>395</v>
      </c>
      <c r="CA221" s="169" t="s">
        <v>395</v>
      </c>
      <c r="CL221" s="169" t="s">
        <v>395</v>
      </c>
      <c r="CW221" s="169" t="s">
        <v>395</v>
      </c>
      <c r="DH221" s="169" t="s">
        <v>395</v>
      </c>
      <c r="DS221" s="169" t="s">
        <v>395</v>
      </c>
      <c r="ED221" s="169" t="s">
        <v>395</v>
      </c>
      <c r="EO221" s="169" t="s">
        <v>395</v>
      </c>
      <c r="EZ221" s="169" t="s">
        <v>395</v>
      </c>
      <c r="FK221" s="169" t="s">
        <v>395</v>
      </c>
      <c r="FV221" s="169" t="s">
        <v>395</v>
      </c>
      <c r="GG221" s="169" t="s">
        <v>395</v>
      </c>
      <c r="GR221" s="169" t="s">
        <v>395</v>
      </c>
      <c r="HC221" s="169" t="s">
        <v>395</v>
      </c>
      <c r="HN221" s="169" t="s">
        <v>395</v>
      </c>
      <c r="HY221" s="169" t="s">
        <v>395</v>
      </c>
      <c r="IJ221" s="169" t="s">
        <v>395</v>
      </c>
      <c r="IU221" s="169" t="s">
        <v>395</v>
      </c>
    </row>
    <row r="222" spans="2:255">
      <c r="B222" s="169" t="s">
        <v>395</v>
      </c>
      <c r="M222" s="169" t="s">
        <v>395</v>
      </c>
      <c r="X222" s="169" t="s">
        <v>395</v>
      </c>
      <c r="AI222" s="169" t="s">
        <v>395</v>
      </c>
      <c r="AT222" s="169" t="s">
        <v>395</v>
      </c>
      <c r="BE222" s="169" t="s">
        <v>395</v>
      </c>
      <c r="BP222" s="169" t="s">
        <v>395</v>
      </c>
      <c r="CA222" s="169" t="s">
        <v>395</v>
      </c>
      <c r="CL222" s="169" t="s">
        <v>395</v>
      </c>
      <c r="CW222" s="169" t="s">
        <v>395</v>
      </c>
      <c r="DH222" s="169" t="s">
        <v>395</v>
      </c>
      <c r="DS222" s="169" t="s">
        <v>395</v>
      </c>
      <c r="ED222" s="169" t="s">
        <v>395</v>
      </c>
      <c r="EO222" s="169" t="s">
        <v>395</v>
      </c>
      <c r="EZ222" s="169" t="s">
        <v>395</v>
      </c>
      <c r="FK222" s="169" t="s">
        <v>395</v>
      </c>
      <c r="FV222" s="169" t="s">
        <v>395</v>
      </c>
      <c r="GG222" s="169" t="s">
        <v>395</v>
      </c>
      <c r="GR222" s="169" t="s">
        <v>395</v>
      </c>
      <c r="HC222" s="169" t="s">
        <v>395</v>
      </c>
      <c r="HN222" s="169" t="s">
        <v>395</v>
      </c>
      <c r="HY222" s="169" t="s">
        <v>395</v>
      </c>
      <c r="IJ222" s="169" t="s">
        <v>395</v>
      </c>
      <c r="IU222" s="169" t="s">
        <v>395</v>
      </c>
    </row>
    <row r="223" spans="2:255">
      <c r="B223" s="169" t="s">
        <v>395</v>
      </c>
      <c r="M223" s="169" t="s">
        <v>395</v>
      </c>
      <c r="X223" s="169" t="s">
        <v>395</v>
      </c>
      <c r="AI223" s="169" t="s">
        <v>395</v>
      </c>
      <c r="AT223" s="169" t="s">
        <v>395</v>
      </c>
      <c r="BE223" s="169" t="s">
        <v>395</v>
      </c>
      <c r="BP223" s="169" t="s">
        <v>395</v>
      </c>
      <c r="CA223" s="169" t="s">
        <v>395</v>
      </c>
      <c r="CL223" s="169" t="s">
        <v>395</v>
      </c>
      <c r="CW223" s="169" t="s">
        <v>395</v>
      </c>
      <c r="DH223" s="169" t="s">
        <v>395</v>
      </c>
      <c r="DS223" s="169" t="s">
        <v>395</v>
      </c>
      <c r="ED223" s="169" t="s">
        <v>395</v>
      </c>
      <c r="EO223" s="169" t="s">
        <v>395</v>
      </c>
      <c r="EZ223" s="169" t="s">
        <v>395</v>
      </c>
      <c r="FK223" s="169" t="s">
        <v>395</v>
      </c>
      <c r="FV223" s="169" t="s">
        <v>395</v>
      </c>
      <c r="GG223" s="169" t="s">
        <v>395</v>
      </c>
      <c r="GR223" s="169" t="s">
        <v>395</v>
      </c>
      <c r="HC223" s="169" t="s">
        <v>395</v>
      </c>
      <c r="HN223" s="169" t="s">
        <v>395</v>
      </c>
      <c r="HY223" s="169" t="s">
        <v>395</v>
      </c>
      <c r="IJ223" s="169" t="s">
        <v>395</v>
      </c>
      <c r="IU223" s="169" t="s">
        <v>395</v>
      </c>
    </row>
    <row r="224" spans="2:255">
      <c r="B224" s="169" t="s">
        <v>395</v>
      </c>
      <c r="M224" s="169" t="s">
        <v>395</v>
      </c>
      <c r="X224" s="169" t="s">
        <v>395</v>
      </c>
      <c r="AI224" s="169" t="s">
        <v>395</v>
      </c>
      <c r="AT224" s="169" t="s">
        <v>395</v>
      </c>
      <c r="BE224" s="169" t="s">
        <v>395</v>
      </c>
      <c r="BP224" s="169" t="s">
        <v>395</v>
      </c>
      <c r="CA224" s="169" t="s">
        <v>395</v>
      </c>
      <c r="CL224" s="169" t="s">
        <v>395</v>
      </c>
      <c r="CW224" s="169" t="s">
        <v>395</v>
      </c>
      <c r="DH224" s="169" t="s">
        <v>395</v>
      </c>
      <c r="DS224" s="169" t="s">
        <v>395</v>
      </c>
      <c r="ED224" s="169" t="s">
        <v>395</v>
      </c>
      <c r="EO224" s="169" t="s">
        <v>395</v>
      </c>
      <c r="EZ224" s="169" t="s">
        <v>395</v>
      </c>
      <c r="FK224" s="169" t="s">
        <v>395</v>
      </c>
      <c r="FV224" s="169" t="s">
        <v>395</v>
      </c>
      <c r="GG224" s="169" t="s">
        <v>395</v>
      </c>
      <c r="GR224" s="169" t="s">
        <v>395</v>
      </c>
      <c r="HC224" s="169" t="s">
        <v>395</v>
      </c>
      <c r="HN224" s="169" t="s">
        <v>395</v>
      </c>
      <c r="HY224" s="169" t="s">
        <v>395</v>
      </c>
      <c r="IJ224" s="169" t="s">
        <v>395</v>
      </c>
      <c r="IU224" s="169" t="s">
        <v>395</v>
      </c>
    </row>
    <row r="225" spans="2:255">
      <c r="B225" s="169" t="s">
        <v>395</v>
      </c>
      <c r="M225" s="169" t="s">
        <v>395</v>
      </c>
      <c r="X225" s="169" t="s">
        <v>395</v>
      </c>
      <c r="AI225" s="169" t="s">
        <v>395</v>
      </c>
      <c r="AT225" s="169" t="s">
        <v>395</v>
      </c>
      <c r="BE225" s="169" t="s">
        <v>395</v>
      </c>
      <c r="BP225" s="169" t="s">
        <v>395</v>
      </c>
      <c r="CA225" s="169" t="s">
        <v>395</v>
      </c>
      <c r="CL225" s="169" t="s">
        <v>395</v>
      </c>
      <c r="CW225" s="169" t="s">
        <v>395</v>
      </c>
      <c r="DH225" s="169" t="s">
        <v>395</v>
      </c>
      <c r="DS225" s="169" t="s">
        <v>395</v>
      </c>
      <c r="ED225" s="169" t="s">
        <v>395</v>
      </c>
      <c r="EO225" s="169" t="s">
        <v>395</v>
      </c>
      <c r="EZ225" s="169" t="s">
        <v>395</v>
      </c>
      <c r="FK225" s="169" t="s">
        <v>395</v>
      </c>
      <c r="FV225" s="169" t="s">
        <v>395</v>
      </c>
      <c r="GG225" s="169" t="s">
        <v>395</v>
      </c>
      <c r="GR225" s="169" t="s">
        <v>395</v>
      </c>
      <c r="HC225" s="169" t="s">
        <v>395</v>
      </c>
      <c r="HN225" s="169" t="s">
        <v>395</v>
      </c>
      <c r="HY225" s="169" t="s">
        <v>395</v>
      </c>
      <c r="IJ225" s="169" t="s">
        <v>395</v>
      </c>
      <c r="IU225" s="169" t="s">
        <v>395</v>
      </c>
    </row>
    <row r="226" spans="2:255">
      <c r="B226" s="169" t="s">
        <v>395</v>
      </c>
      <c r="M226" s="169" t="s">
        <v>395</v>
      </c>
      <c r="X226" s="169" t="s">
        <v>395</v>
      </c>
      <c r="AI226" s="169" t="s">
        <v>395</v>
      </c>
      <c r="AT226" s="169" t="s">
        <v>395</v>
      </c>
      <c r="BE226" s="169" t="s">
        <v>395</v>
      </c>
      <c r="BP226" s="169" t="s">
        <v>395</v>
      </c>
      <c r="CA226" s="169" t="s">
        <v>395</v>
      </c>
      <c r="CL226" s="169" t="s">
        <v>395</v>
      </c>
      <c r="CW226" s="169" t="s">
        <v>395</v>
      </c>
      <c r="DH226" s="169" t="s">
        <v>395</v>
      </c>
      <c r="DS226" s="169" t="s">
        <v>395</v>
      </c>
      <c r="ED226" s="169" t="s">
        <v>395</v>
      </c>
      <c r="EO226" s="169" t="s">
        <v>395</v>
      </c>
      <c r="EZ226" s="169" t="s">
        <v>395</v>
      </c>
      <c r="FK226" s="169" t="s">
        <v>395</v>
      </c>
      <c r="FV226" s="169" t="s">
        <v>395</v>
      </c>
      <c r="GG226" s="169" t="s">
        <v>395</v>
      </c>
      <c r="GR226" s="169" t="s">
        <v>395</v>
      </c>
      <c r="HC226" s="169" t="s">
        <v>395</v>
      </c>
      <c r="HN226" s="169" t="s">
        <v>395</v>
      </c>
      <c r="HY226" s="169" t="s">
        <v>395</v>
      </c>
      <c r="IJ226" s="169" t="s">
        <v>395</v>
      </c>
      <c r="IU226" s="169" t="s">
        <v>395</v>
      </c>
    </row>
    <row r="227" spans="2:255">
      <c r="B227" s="169" t="s">
        <v>395</v>
      </c>
      <c r="M227" s="169" t="s">
        <v>395</v>
      </c>
      <c r="X227" s="169" t="s">
        <v>395</v>
      </c>
      <c r="AI227" s="169" t="s">
        <v>395</v>
      </c>
      <c r="AT227" s="169" t="s">
        <v>395</v>
      </c>
      <c r="BE227" s="169" t="s">
        <v>395</v>
      </c>
      <c r="BP227" s="169" t="s">
        <v>395</v>
      </c>
      <c r="CA227" s="169" t="s">
        <v>395</v>
      </c>
      <c r="CL227" s="169" t="s">
        <v>395</v>
      </c>
      <c r="CW227" s="169" t="s">
        <v>395</v>
      </c>
      <c r="DH227" s="169" t="s">
        <v>395</v>
      </c>
      <c r="DS227" s="169" t="s">
        <v>395</v>
      </c>
      <c r="ED227" s="169" t="s">
        <v>395</v>
      </c>
      <c r="EO227" s="169" t="s">
        <v>395</v>
      </c>
      <c r="EZ227" s="169" t="s">
        <v>395</v>
      </c>
      <c r="FK227" s="169" t="s">
        <v>395</v>
      </c>
      <c r="FV227" s="169" t="s">
        <v>395</v>
      </c>
      <c r="GG227" s="169" t="s">
        <v>395</v>
      </c>
      <c r="GR227" s="169" t="s">
        <v>395</v>
      </c>
      <c r="HC227" s="169" t="s">
        <v>395</v>
      </c>
      <c r="HN227" s="169" t="s">
        <v>395</v>
      </c>
      <c r="HY227" s="169" t="s">
        <v>395</v>
      </c>
      <c r="IJ227" s="169" t="s">
        <v>395</v>
      </c>
      <c r="IU227" s="169" t="s">
        <v>395</v>
      </c>
    </row>
    <row r="228" spans="2:255">
      <c r="B228" s="169" t="s">
        <v>395</v>
      </c>
      <c r="M228" s="169" t="s">
        <v>395</v>
      </c>
      <c r="X228" s="169" t="s">
        <v>395</v>
      </c>
      <c r="AI228" s="169" t="s">
        <v>395</v>
      </c>
      <c r="AT228" s="169" t="s">
        <v>395</v>
      </c>
      <c r="BE228" s="169" t="s">
        <v>395</v>
      </c>
      <c r="BP228" s="169" t="s">
        <v>395</v>
      </c>
      <c r="CA228" s="169" t="s">
        <v>395</v>
      </c>
      <c r="CL228" s="169" t="s">
        <v>395</v>
      </c>
      <c r="CW228" s="169" t="s">
        <v>395</v>
      </c>
      <c r="DH228" s="169" t="s">
        <v>395</v>
      </c>
      <c r="DS228" s="169" t="s">
        <v>395</v>
      </c>
      <c r="ED228" s="169" t="s">
        <v>395</v>
      </c>
      <c r="EO228" s="169" t="s">
        <v>395</v>
      </c>
      <c r="EZ228" s="169" t="s">
        <v>395</v>
      </c>
      <c r="FK228" s="169" t="s">
        <v>395</v>
      </c>
      <c r="FV228" s="169" t="s">
        <v>395</v>
      </c>
      <c r="GG228" s="169" t="s">
        <v>395</v>
      </c>
      <c r="GR228" s="169" t="s">
        <v>395</v>
      </c>
      <c r="HC228" s="169" t="s">
        <v>395</v>
      </c>
      <c r="HN228" s="169" t="s">
        <v>395</v>
      </c>
      <c r="HY228" s="169" t="s">
        <v>395</v>
      </c>
      <c r="IJ228" s="169" t="s">
        <v>395</v>
      </c>
      <c r="IU228" s="169" t="s">
        <v>395</v>
      </c>
    </row>
    <row r="229" spans="2:255">
      <c r="B229" s="169" t="s">
        <v>395</v>
      </c>
      <c r="M229" s="169" t="s">
        <v>395</v>
      </c>
      <c r="X229" s="169" t="s">
        <v>395</v>
      </c>
      <c r="AI229" s="169" t="s">
        <v>395</v>
      </c>
      <c r="AT229" s="169" t="s">
        <v>395</v>
      </c>
      <c r="BE229" s="169" t="s">
        <v>395</v>
      </c>
      <c r="BP229" s="169" t="s">
        <v>395</v>
      </c>
      <c r="CA229" s="169" t="s">
        <v>395</v>
      </c>
      <c r="CL229" s="169" t="s">
        <v>395</v>
      </c>
      <c r="CW229" s="169" t="s">
        <v>395</v>
      </c>
      <c r="DH229" s="169" t="s">
        <v>395</v>
      </c>
      <c r="DS229" s="169" t="s">
        <v>395</v>
      </c>
      <c r="ED229" s="169" t="s">
        <v>395</v>
      </c>
      <c r="EO229" s="169" t="s">
        <v>395</v>
      </c>
      <c r="EZ229" s="169" t="s">
        <v>395</v>
      </c>
      <c r="FK229" s="169" t="s">
        <v>395</v>
      </c>
      <c r="FV229" s="169" t="s">
        <v>395</v>
      </c>
      <c r="GG229" s="169" t="s">
        <v>395</v>
      </c>
      <c r="GR229" s="169" t="s">
        <v>395</v>
      </c>
      <c r="HC229" s="169" t="s">
        <v>395</v>
      </c>
      <c r="HN229" s="169" t="s">
        <v>395</v>
      </c>
      <c r="HY229" s="169" t="s">
        <v>395</v>
      </c>
      <c r="IJ229" s="169" t="s">
        <v>395</v>
      </c>
      <c r="IU229" s="169" t="s">
        <v>395</v>
      </c>
    </row>
    <row r="230" spans="2:255">
      <c r="B230" s="169" t="s">
        <v>395</v>
      </c>
      <c r="M230" s="169" t="s">
        <v>395</v>
      </c>
      <c r="X230" s="169" t="s">
        <v>395</v>
      </c>
      <c r="AI230" s="169" t="s">
        <v>395</v>
      </c>
      <c r="AT230" s="169" t="s">
        <v>395</v>
      </c>
      <c r="BE230" s="169" t="s">
        <v>395</v>
      </c>
      <c r="BP230" s="169" t="s">
        <v>395</v>
      </c>
      <c r="CA230" s="169" t="s">
        <v>395</v>
      </c>
      <c r="CL230" s="169" t="s">
        <v>395</v>
      </c>
      <c r="CW230" s="169" t="s">
        <v>395</v>
      </c>
      <c r="DH230" s="169" t="s">
        <v>395</v>
      </c>
      <c r="DS230" s="169" t="s">
        <v>395</v>
      </c>
      <c r="ED230" s="169" t="s">
        <v>395</v>
      </c>
      <c r="EO230" s="169" t="s">
        <v>395</v>
      </c>
      <c r="EZ230" s="169" t="s">
        <v>395</v>
      </c>
      <c r="FK230" s="169" t="s">
        <v>395</v>
      </c>
      <c r="FV230" s="169" t="s">
        <v>395</v>
      </c>
      <c r="GG230" s="169" t="s">
        <v>395</v>
      </c>
      <c r="GR230" s="169" t="s">
        <v>395</v>
      </c>
      <c r="HC230" s="169" t="s">
        <v>395</v>
      </c>
      <c r="HN230" s="169" t="s">
        <v>395</v>
      </c>
      <c r="HY230" s="169" t="s">
        <v>395</v>
      </c>
      <c r="IJ230" s="169" t="s">
        <v>395</v>
      </c>
      <c r="IU230" s="169" t="s">
        <v>395</v>
      </c>
    </row>
    <row r="231" spans="2:255">
      <c r="B231" s="169" t="s">
        <v>395</v>
      </c>
      <c r="M231" s="169" t="s">
        <v>395</v>
      </c>
      <c r="X231" s="169" t="s">
        <v>395</v>
      </c>
      <c r="AI231" s="169" t="s">
        <v>395</v>
      </c>
      <c r="AT231" s="169" t="s">
        <v>395</v>
      </c>
      <c r="BE231" s="169" t="s">
        <v>395</v>
      </c>
      <c r="BP231" s="169" t="s">
        <v>395</v>
      </c>
      <c r="CA231" s="169" t="s">
        <v>395</v>
      </c>
      <c r="CL231" s="169" t="s">
        <v>395</v>
      </c>
      <c r="CW231" s="169" t="s">
        <v>395</v>
      </c>
      <c r="DH231" s="169" t="s">
        <v>395</v>
      </c>
      <c r="DS231" s="169" t="s">
        <v>395</v>
      </c>
      <c r="ED231" s="169" t="s">
        <v>395</v>
      </c>
      <c r="EO231" s="169" t="s">
        <v>395</v>
      </c>
      <c r="EZ231" s="169" t="s">
        <v>395</v>
      </c>
      <c r="FK231" s="169" t="s">
        <v>395</v>
      </c>
      <c r="FV231" s="169" t="s">
        <v>395</v>
      </c>
      <c r="GG231" s="169" t="s">
        <v>395</v>
      </c>
      <c r="GR231" s="169" t="s">
        <v>395</v>
      </c>
      <c r="HC231" s="169" t="s">
        <v>395</v>
      </c>
      <c r="HN231" s="169" t="s">
        <v>395</v>
      </c>
      <c r="HY231" s="169" t="s">
        <v>395</v>
      </c>
      <c r="IJ231" s="169" t="s">
        <v>395</v>
      </c>
      <c r="IU231" s="169" t="s">
        <v>395</v>
      </c>
    </row>
    <row r="232" spans="2:255">
      <c r="B232" s="169" t="s">
        <v>395</v>
      </c>
      <c r="M232" s="169" t="s">
        <v>395</v>
      </c>
      <c r="X232" s="169" t="s">
        <v>395</v>
      </c>
      <c r="AI232" s="169" t="s">
        <v>395</v>
      </c>
      <c r="AT232" s="169" t="s">
        <v>395</v>
      </c>
      <c r="BE232" s="169" t="s">
        <v>395</v>
      </c>
      <c r="BP232" s="169" t="s">
        <v>395</v>
      </c>
      <c r="CA232" s="169" t="s">
        <v>395</v>
      </c>
      <c r="CL232" s="169" t="s">
        <v>395</v>
      </c>
      <c r="CW232" s="169" t="s">
        <v>395</v>
      </c>
      <c r="DH232" s="169" t="s">
        <v>395</v>
      </c>
      <c r="DS232" s="169" t="s">
        <v>395</v>
      </c>
      <c r="ED232" s="169" t="s">
        <v>395</v>
      </c>
      <c r="EO232" s="169" t="s">
        <v>395</v>
      </c>
      <c r="EZ232" s="169" t="s">
        <v>395</v>
      </c>
      <c r="FK232" s="169" t="s">
        <v>395</v>
      </c>
      <c r="FV232" s="169" t="s">
        <v>395</v>
      </c>
      <c r="GG232" s="169" t="s">
        <v>395</v>
      </c>
      <c r="GR232" s="169" t="s">
        <v>395</v>
      </c>
      <c r="HC232" s="169" t="s">
        <v>395</v>
      </c>
      <c r="HN232" s="169" t="s">
        <v>395</v>
      </c>
      <c r="HY232" s="169" t="s">
        <v>395</v>
      </c>
      <c r="IJ232" s="169" t="s">
        <v>395</v>
      </c>
      <c r="IU232" s="169" t="s">
        <v>395</v>
      </c>
    </row>
    <row r="233" spans="2:255">
      <c r="B233" s="169" t="s">
        <v>395</v>
      </c>
      <c r="M233" s="169" t="s">
        <v>395</v>
      </c>
      <c r="X233" s="169" t="s">
        <v>395</v>
      </c>
      <c r="AI233" s="169" t="s">
        <v>395</v>
      </c>
      <c r="AT233" s="169" t="s">
        <v>395</v>
      </c>
      <c r="BE233" s="169" t="s">
        <v>395</v>
      </c>
      <c r="BP233" s="169" t="s">
        <v>395</v>
      </c>
      <c r="CA233" s="169" t="s">
        <v>395</v>
      </c>
      <c r="CL233" s="169" t="s">
        <v>395</v>
      </c>
      <c r="CW233" s="169" t="s">
        <v>395</v>
      </c>
      <c r="DH233" s="169" t="s">
        <v>395</v>
      </c>
      <c r="DS233" s="169" t="s">
        <v>395</v>
      </c>
      <c r="ED233" s="169" t="s">
        <v>395</v>
      </c>
      <c r="EO233" s="169" t="s">
        <v>395</v>
      </c>
      <c r="EZ233" s="169" t="s">
        <v>395</v>
      </c>
      <c r="FK233" s="169" t="s">
        <v>395</v>
      </c>
      <c r="FV233" s="169" t="s">
        <v>395</v>
      </c>
      <c r="GG233" s="169" t="s">
        <v>395</v>
      </c>
      <c r="GR233" s="169" t="s">
        <v>395</v>
      </c>
      <c r="HC233" s="169" t="s">
        <v>395</v>
      </c>
      <c r="HN233" s="169" t="s">
        <v>395</v>
      </c>
      <c r="HY233" s="169" t="s">
        <v>395</v>
      </c>
      <c r="IJ233" s="169" t="s">
        <v>395</v>
      </c>
      <c r="IU233" s="169" t="s">
        <v>395</v>
      </c>
    </row>
    <row r="234" spans="2:255">
      <c r="B234" s="169" t="s">
        <v>395</v>
      </c>
      <c r="M234" s="169" t="s">
        <v>395</v>
      </c>
      <c r="X234" s="169" t="s">
        <v>395</v>
      </c>
      <c r="AI234" s="169" t="s">
        <v>395</v>
      </c>
      <c r="AT234" s="169" t="s">
        <v>395</v>
      </c>
      <c r="BE234" s="169" t="s">
        <v>395</v>
      </c>
      <c r="BP234" s="169" t="s">
        <v>395</v>
      </c>
      <c r="CA234" s="169" t="s">
        <v>395</v>
      </c>
      <c r="CL234" s="169" t="s">
        <v>395</v>
      </c>
      <c r="CW234" s="169" t="s">
        <v>395</v>
      </c>
      <c r="DH234" s="169" t="s">
        <v>395</v>
      </c>
      <c r="DS234" s="169" t="s">
        <v>395</v>
      </c>
      <c r="ED234" s="169" t="s">
        <v>395</v>
      </c>
      <c r="EO234" s="169" t="s">
        <v>395</v>
      </c>
      <c r="EZ234" s="169" t="s">
        <v>395</v>
      </c>
      <c r="FK234" s="169" t="s">
        <v>395</v>
      </c>
      <c r="FV234" s="169" t="s">
        <v>395</v>
      </c>
      <c r="GG234" s="169" t="s">
        <v>395</v>
      </c>
      <c r="GR234" s="169" t="s">
        <v>395</v>
      </c>
      <c r="HC234" s="169" t="s">
        <v>395</v>
      </c>
      <c r="HN234" s="169" t="s">
        <v>395</v>
      </c>
      <c r="HY234" s="169" t="s">
        <v>395</v>
      </c>
      <c r="IJ234" s="169" t="s">
        <v>395</v>
      </c>
      <c r="IU234" s="169" t="s">
        <v>395</v>
      </c>
    </row>
    <row r="235" spans="2:255">
      <c r="B235" s="169" t="s">
        <v>395</v>
      </c>
      <c r="M235" s="169" t="s">
        <v>395</v>
      </c>
      <c r="X235" s="169" t="s">
        <v>395</v>
      </c>
      <c r="AI235" s="169" t="s">
        <v>395</v>
      </c>
      <c r="AT235" s="169" t="s">
        <v>395</v>
      </c>
      <c r="BE235" s="169" t="s">
        <v>395</v>
      </c>
      <c r="BP235" s="169" t="s">
        <v>395</v>
      </c>
      <c r="CA235" s="169" t="s">
        <v>395</v>
      </c>
      <c r="CL235" s="169" t="s">
        <v>395</v>
      </c>
      <c r="CW235" s="169" t="s">
        <v>395</v>
      </c>
      <c r="DH235" s="169" t="s">
        <v>395</v>
      </c>
      <c r="DS235" s="169" t="s">
        <v>395</v>
      </c>
      <c r="ED235" s="169" t="s">
        <v>395</v>
      </c>
      <c r="EO235" s="169" t="s">
        <v>395</v>
      </c>
      <c r="EZ235" s="169" t="s">
        <v>395</v>
      </c>
      <c r="FK235" s="169" t="s">
        <v>395</v>
      </c>
      <c r="FV235" s="169" t="s">
        <v>395</v>
      </c>
      <c r="GG235" s="169" t="s">
        <v>395</v>
      </c>
      <c r="GR235" s="169" t="s">
        <v>395</v>
      </c>
      <c r="HC235" s="169" t="s">
        <v>395</v>
      </c>
      <c r="HN235" s="169" t="s">
        <v>395</v>
      </c>
      <c r="HY235" s="169" t="s">
        <v>395</v>
      </c>
      <c r="IJ235" s="169" t="s">
        <v>395</v>
      </c>
      <c r="IU235" s="169" t="s">
        <v>395</v>
      </c>
    </row>
    <row r="236" spans="2:255">
      <c r="B236" s="169" t="s">
        <v>395</v>
      </c>
      <c r="M236" s="169" t="s">
        <v>395</v>
      </c>
      <c r="X236" s="169" t="s">
        <v>395</v>
      </c>
      <c r="AI236" s="169" t="s">
        <v>395</v>
      </c>
      <c r="AT236" s="169" t="s">
        <v>395</v>
      </c>
      <c r="BE236" s="169" t="s">
        <v>395</v>
      </c>
      <c r="BP236" s="169" t="s">
        <v>395</v>
      </c>
      <c r="CA236" s="169" t="s">
        <v>395</v>
      </c>
      <c r="CL236" s="169" t="s">
        <v>395</v>
      </c>
      <c r="CW236" s="169" t="s">
        <v>395</v>
      </c>
      <c r="DH236" s="169" t="s">
        <v>395</v>
      </c>
      <c r="DS236" s="169" t="s">
        <v>395</v>
      </c>
      <c r="ED236" s="169" t="s">
        <v>395</v>
      </c>
      <c r="EO236" s="169" t="s">
        <v>395</v>
      </c>
      <c r="EZ236" s="169" t="s">
        <v>395</v>
      </c>
      <c r="FK236" s="169" t="s">
        <v>395</v>
      </c>
      <c r="FV236" s="169" t="s">
        <v>395</v>
      </c>
      <c r="GG236" s="169" t="s">
        <v>395</v>
      </c>
      <c r="GR236" s="169" t="s">
        <v>395</v>
      </c>
      <c r="HC236" s="169" t="s">
        <v>395</v>
      </c>
      <c r="HN236" s="169" t="s">
        <v>395</v>
      </c>
      <c r="HY236" s="169" t="s">
        <v>395</v>
      </c>
      <c r="IJ236" s="169" t="s">
        <v>395</v>
      </c>
      <c r="IU236" s="169" t="s">
        <v>395</v>
      </c>
    </row>
    <row r="237" spans="2:255">
      <c r="B237" s="169" t="s">
        <v>395</v>
      </c>
      <c r="M237" s="169" t="s">
        <v>395</v>
      </c>
      <c r="X237" s="169" t="s">
        <v>395</v>
      </c>
      <c r="AI237" s="169" t="s">
        <v>395</v>
      </c>
      <c r="AT237" s="169" t="s">
        <v>395</v>
      </c>
      <c r="BE237" s="169" t="s">
        <v>395</v>
      </c>
      <c r="BP237" s="169" t="s">
        <v>395</v>
      </c>
      <c r="CA237" s="169" t="s">
        <v>395</v>
      </c>
      <c r="CL237" s="169" t="s">
        <v>395</v>
      </c>
      <c r="CW237" s="169" t="s">
        <v>395</v>
      </c>
      <c r="DH237" s="169" t="s">
        <v>395</v>
      </c>
      <c r="DS237" s="169" t="s">
        <v>395</v>
      </c>
      <c r="ED237" s="169" t="s">
        <v>395</v>
      </c>
      <c r="EO237" s="169" t="s">
        <v>395</v>
      </c>
      <c r="EZ237" s="169" t="s">
        <v>395</v>
      </c>
      <c r="FK237" s="169" t="s">
        <v>395</v>
      </c>
      <c r="FV237" s="169" t="s">
        <v>395</v>
      </c>
      <c r="GG237" s="169" t="s">
        <v>395</v>
      </c>
      <c r="GR237" s="169" t="s">
        <v>395</v>
      </c>
      <c r="HC237" s="169" t="s">
        <v>395</v>
      </c>
      <c r="HN237" s="169" t="s">
        <v>395</v>
      </c>
      <c r="HY237" s="169" t="s">
        <v>395</v>
      </c>
      <c r="IJ237" s="169" t="s">
        <v>395</v>
      </c>
      <c r="IU237" s="169" t="s">
        <v>395</v>
      </c>
    </row>
    <row r="238" spans="2:255">
      <c r="B238" s="169" t="s">
        <v>395</v>
      </c>
      <c r="M238" s="169" t="s">
        <v>395</v>
      </c>
      <c r="X238" s="169" t="s">
        <v>395</v>
      </c>
      <c r="AI238" s="169" t="s">
        <v>395</v>
      </c>
      <c r="AT238" s="169" t="s">
        <v>395</v>
      </c>
      <c r="BE238" s="169" t="s">
        <v>395</v>
      </c>
      <c r="BP238" s="169" t="s">
        <v>395</v>
      </c>
      <c r="CA238" s="169" t="s">
        <v>395</v>
      </c>
      <c r="CL238" s="169" t="s">
        <v>395</v>
      </c>
      <c r="CW238" s="169" t="s">
        <v>395</v>
      </c>
      <c r="DH238" s="169" t="s">
        <v>395</v>
      </c>
      <c r="DS238" s="169" t="s">
        <v>395</v>
      </c>
      <c r="ED238" s="169" t="s">
        <v>395</v>
      </c>
      <c r="EO238" s="169" t="s">
        <v>395</v>
      </c>
      <c r="EZ238" s="169" t="s">
        <v>395</v>
      </c>
      <c r="FK238" s="169" t="s">
        <v>395</v>
      </c>
      <c r="FV238" s="169" t="s">
        <v>395</v>
      </c>
      <c r="GG238" s="169" t="s">
        <v>395</v>
      </c>
      <c r="GR238" s="169" t="s">
        <v>395</v>
      </c>
      <c r="HC238" s="169" t="s">
        <v>395</v>
      </c>
      <c r="HN238" s="169" t="s">
        <v>395</v>
      </c>
      <c r="HY238" s="169" t="s">
        <v>395</v>
      </c>
      <c r="IJ238" s="169" t="s">
        <v>395</v>
      </c>
      <c r="IU238" s="169" t="s">
        <v>395</v>
      </c>
    </row>
    <row r="239" spans="2:255">
      <c r="B239" s="169" t="s">
        <v>395</v>
      </c>
      <c r="M239" s="169" t="s">
        <v>395</v>
      </c>
      <c r="X239" s="169" t="s">
        <v>395</v>
      </c>
      <c r="AI239" s="169" t="s">
        <v>395</v>
      </c>
      <c r="AT239" s="169" t="s">
        <v>395</v>
      </c>
      <c r="BE239" s="169" t="s">
        <v>395</v>
      </c>
      <c r="BP239" s="169" t="s">
        <v>395</v>
      </c>
      <c r="CA239" s="169" t="s">
        <v>395</v>
      </c>
      <c r="CL239" s="169" t="s">
        <v>395</v>
      </c>
      <c r="CW239" s="169" t="s">
        <v>395</v>
      </c>
      <c r="DH239" s="169" t="s">
        <v>395</v>
      </c>
      <c r="DS239" s="169" t="s">
        <v>395</v>
      </c>
      <c r="ED239" s="169" t="s">
        <v>395</v>
      </c>
      <c r="EO239" s="169" t="s">
        <v>395</v>
      </c>
      <c r="EZ239" s="169" t="s">
        <v>395</v>
      </c>
      <c r="FK239" s="169" t="s">
        <v>395</v>
      </c>
      <c r="FV239" s="169" t="s">
        <v>395</v>
      </c>
      <c r="GG239" s="169" t="s">
        <v>395</v>
      </c>
      <c r="GR239" s="169" t="s">
        <v>395</v>
      </c>
      <c r="HC239" s="169" t="s">
        <v>395</v>
      </c>
      <c r="HN239" s="169" t="s">
        <v>395</v>
      </c>
      <c r="HY239" s="169" t="s">
        <v>395</v>
      </c>
      <c r="IJ239" s="169" t="s">
        <v>395</v>
      </c>
      <c r="IU239" s="169" t="s">
        <v>395</v>
      </c>
    </row>
    <row r="240" spans="2:255">
      <c r="B240" s="169" t="s">
        <v>395</v>
      </c>
      <c r="M240" s="169" t="s">
        <v>395</v>
      </c>
      <c r="X240" s="169" t="s">
        <v>395</v>
      </c>
      <c r="AI240" s="169" t="s">
        <v>395</v>
      </c>
      <c r="AT240" s="169" t="s">
        <v>395</v>
      </c>
      <c r="BE240" s="169" t="s">
        <v>395</v>
      </c>
      <c r="BP240" s="169" t="s">
        <v>395</v>
      </c>
      <c r="CA240" s="169" t="s">
        <v>395</v>
      </c>
      <c r="CL240" s="169" t="s">
        <v>395</v>
      </c>
      <c r="CW240" s="169" t="s">
        <v>395</v>
      </c>
      <c r="DH240" s="169" t="s">
        <v>395</v>
      </c>
      <c r="DS240" s="169" t="s">
        <v>395</v>
      </c>
      <c r="ED240" s="169" t="s">
        <v>395</v>
      </c>
      <c r="EO240" s="169" t="s">
        <v>395</v>
      </c>
      <c r="EZ240" s="169" t="s">
        <v>395</v>
      </c>
      <c r="FK240" s="169" t="s">
        <v>395</v>
      </c>
      <c r="FV240" s="169" t="s">
        <v>395</v>
      </c>
      <c r="GG240" s="169" t="s">
        <v>395</v>
      </c>
      <c r="GR240" s="169" t="s">
        <v>395</v>
      </c>
      <c r="HC240" s="169" t="s">
        <v>395</v>
      </c>
      <c r="HN240" s="169" t="s">
        <v>395</v>
      </c>
      <c r="HY240" s="169" t="s">
        <v>395</v>
      </c>
      <c r="IJ240" s="169" t="s">
        <v>395</v>
      </c>
      <c r="IU240" s="169" t="s">
        <v>395</v>
      </c>
    </row>
    <row r="241" spans="2:255">
      <c r="B241" s="169" t="s">
        <v>395</v>
      </c>
      <c r="M241" s="169" t="s">
        <v>395</v>
      </c>
      <c r="X241" s="169" t="s">
        <v>395</v>
      </c>
      <c r="AI241" s="169" t="s">
        <v>395</v>
      </c>
      <c r="AT241" s="169" t="s">
        <v>395</v>
      </c>
      <c r="BE241" s="169" t="s">
        <v>395</v>
      </c>
      <c r="BP241" s="169" t="s">
        <v>395</v>
      </c>
      <c r="CA241" s="169" t="s">
        <v>395</v>
      </c>
      <c r="CL241" s="169" t="s">
        <v>395</v>
      </c>
      <c r="CW241" s="169" t="s">
        <v>395</v>
      </c>
      <c r="DH241" s="169" t="s">
        <v>395</v>
      </c>
      <c r="DS241" s="169" t="s">
        <v>395</v>
      </c>
      <c r="ED241" s="169" t="s">
        <v>395</v>
      </c>
      <c r="EO241" s="169" t="s">
        <v>395</v>
      </c>
      <c r="EZ241" s="169" t="s">
        <v>395</v>
      </c>
      <c r="FK241" s="169" t="s">
        <v>395</v>
      </c>
      <c r="FV241" s="169" t="s">
        <v>395</v>
      </c>
      <c r="GG241" s="169" t="s">
        <v>395</v>
      </c>
      <c r="GR241" s="169" t="s">
        <v>395</v>
      </c>
      <c r="HC241" s="169" t="s">
        <v>395</v>
      </c>
      <c r="HN241" s="169" t="s">
        <v>395</v>
      </c>
      <c r="HY241" s="169" t="s">
        <v>395</v>
      </c>
      <c r="IJ241" s="169" t="s">
        <v>395</v>
      </c>
      <c r="IU241" s="169" t="s">
        <v>395</v>
      </c>
    </row>
    <row r="242" spans="2:255">
      <c r="B242" s="169" t="s">
        <v>395</v>
      </c>
      <c r="M242" s="169" t="s">
        <v>395</v>
      </c>
      <c r="X242" s="169" t="s">
        <v>395</v>
      </c>
      <c r="AI242" s="169" t="s">
        <v>395</v>
      </c>
      <c r="AT242" s="169" t="s">
        <v>395</v>
      </c>
      <c r="BE242" s="169" t="s">
        <v>395</v>
      </c>
      <c r="BP242" s="169" t="s">
        <v>395</v>
      </c>
      <c r="CA242" s="169" t="s">
        <v>395</v>
      </c>
      <c r="CL242" s="169" t="s">
        <v>395</v>
      </c>
      <c r="CW242" s="169" t="s">
        <v>395</v>
      </c>
      <c r="DH242" s="169" t="s">
        <v>395</v>
      </c>
      <c r="DS242" s="169" t="s">
        <v>395</v>
      </c>
      <c r="ED242" s="169" t="s">
        <v>395</v>
      </c>
      <c r="EO242" s="169" t="s">
        <v>395</v>
      </c>
      <c r="EZ242" s="169" t="s">
        <v>395</v>
      </c>
      <c r="FK242" s="169" t="s">
        <v>395</v>
      </c>
      <c r="FV242" s="169" t="s">
        <v>395</v>
      </c>
      <c r="GG242" s="169" t="s">
        <v>395</v>
      </c>
      <c r="GR242" s="169" t="s">
        <v>395</v>
      </c>
      <c r="HC242" s="169" t="s">
        <v>395</v>
      </c>
      <c r="HN242" s="169" t="s">
        <v>395</v>
      </c>
      <c r="HY242" s="169" t="s">
        <v>395</v>
      </c>
      <c r="IJ242" s="169" t="s">
        <v>395</v>
      </c>
      <c r="IU242" s="169" t="s">
        <v>395</v>
      </c>
    </row>
    <row r="243" spans="2:255">
      <c r="B243" s="169" t="s">
        <v>395</v>
      </c>
      <c r="M243" s="169" t="s">
        <v>395</v>
      </c>
      <c r="X243" s="169" t="s">
        <v>395</v>
      </c>
      <c r="AI243" s="169" t="s">
        <v>395</v>
      </c>
      <c r="AT243" s="169" t="s">
        <v>395</v>
      </c>
      <c r="BE243" s="169" t="s">
        <v>395</v>
      </c>
      <c r="BP243" s="169" t="s">
        <v>395</v>
      </c>
      <c r="CA243" s="169" t="s">
        <v>395</v>
      </c>
      <c r="CL243" s="169" t="s">
        <v>395</v>
      </c>
      <c r="CW243" s="169" t="s">
        <v>395</v>
      </c>
      <c r="DH243" s="169" t="s">
        <v>395</v>
      </c>
      <c r="DS243" s="169" t="s">
        <v>395</v>
      </c>
      <c r="ED243" s="169" t="s">
        <v>395</v>
      </c>
      <c r="EO243" s="169" t="s">
        <v>395</v>
      </c>
      <c r="EZ243" s="169" t="s">
        <v>395</v>
      </c>
      <c r="FK243" s="169" t="s">
        <v>395</v>
      </c>
      <c r="FV243" s="169" t="s">
        <v>395</v>
      </c>
      <c r="GG243" s="169" t="s">
        <v>395</v>
      </c>
      <c r="GR243" s="169" t="s">
        <v>395</v>
      </c>
      <c r="HC243" s="169" t="s">
        <v>395</v>
      </c>
      <c r="HN243" s="169" t="s">
        <v>395</v>
      </c>
      <c r="HY243" s="169" t="s">
        <v>395</v>
      </c>
      <c r="IJ243" s="169" t="s">
        <v>395</v>
      </c>
      <c r="IU243" s="169" t="s">
        <v>395</v>
      </c>
    </row>
    <row r="244" spans="2:255">
      <c r="B244" s="169" t="s">
        <v>395</v>
      </c>
      <c r="M244" s="169" t="s">
        <v>395</v>
      </c>
      <c r="X244" s="169" t="s">
        <v>395</v>
      </c>
      <c r="AI244" s="169" t="s">
        <v>395</v>
      </c>
      <c r="AT244" s="169" t="s">
        <v>395</v>
      </c>
      <c r="BE244" s="169" t="s">
        <v>395</v>
      </c>
      <c r="BP244" s="169" t="s">
        <v>395</v>
      </c>
      <c r="CA244" s="169" t="s">
        <v>395</v>
      </c>
      <c r="CL244" s="169" t="s">
        <v>395</v>
      </c>
      <c r="CW244" s="169" t="s">
        <v>395</v>
      </c>
      <c r="DH244" s="169" t="s">
        <v>395</v>
      </c>
      <c r="DS244" s="169" t="s">
        <v>395</v>
      </c>
      <c r="ED244" s="169" t="s">
        <v>395</v>
      </c>
      <c r="EO244" s="169" t="s">
        <v>395</v>
      </c>
      <c r="EZ244" s="169" t="s">
        <v>395</v>
      </c>
      <c r="FK244" s="169" t="s">
        <v>395</v>
      </c>
      <c r="FV244" s="169" t="s">
        <v>395</v>
      </c>
      <c r="GG244" s="169" t="s">
        <v>395</v>
      </c>
      <c r="GR244" s="169" t="s">
        <v>395</v>
      </c>
      <c r="HC244" s="169" t="s">
        <v>395</v>
      </c>
      <c r="HN244" s="169" t="s">
        <v>395</v>
      </c>
      <c r="HY244" s="169" t="s">
        <v>395</v>
      </c>
      <c r="IJ244" s="169" t="s">
        <v>395</v>
      </c>
      <c r="IU244" s="169" t="s">
        <v>395</v>
      </c>
    </row>
    <row r="245" spans="2:255">
      <c r="B245" s="169" t="s">
        <v>395</v>
      </c>
      <c r="M245" s="169" t="s">
        <v>395</v>
      </c>
      <c r="X245" s="169" t="s">
        <v>395</v>
      </c>
      <c r="AI245" s="169" t="s">
        <v>395</v>
      </c>
      <c r="AT245" s="169" t="s">
        <v>395</v>
      </c>
      <c r="BE245" s="169" t="s">
        <v>395</v>
      </c>
      <c r="BP245" s="169" t="s">
        <v>395</v>
      </c>
      <c r="CA245" s="169" t="s">
        <v>395</v>
      </c>
      <c r="CL245" s="169" t="s">
        <v>395</v>
      </c>
      <c r="CW245" s="169" t="s">
        <v>395</v>
      </c>
      <c r="DH245" s="169" t="s">
        <v>395</v>
      </c>
      <c r="DS245" s="169" t="s">
        <v>395</v>
      </c>
      <c r="ED245" s="169" t="s">
        <v>395</v>
      </c>
      <c r="EO245" s="169" t="s">
        <v>395</v>
      </c>
      <c r="EZ245" s="169" t="s">
        <v>395</v>
      </c>
      <c r="FK245" s="169" t="s">
        <v>395</v>
      </c>
      <c r="FV245" s="169" t="s">
        <v>395</v>
      </c>
      <c r="GG245" s="169" t="s">
        <v>395</v>
      </c>
      <c r="GR245" s="169" t="s">
        <v>395</v>
      </c>
      <c r="HC245" s="169" t="s">
        <v>395</v>
      </c>
      <c r="HN245" s="169" t="s">
        <v>395</v>
      </c>
      <c r="HY245" s="169" t="s">
        <v>395</v>
      </c>
      <c r="IJ245" s="169" t="s">
        <v>395</v>
      </c>
      <c r="IU245" s="169" t="s">
        <v>395</v>
      </c>
    </row>
    <row r="246" spans="2:255">
      <c r="B246" s="169" t="s">
        <v>395</v>
      </c>
      <c r="M246" s="169" t="s">
        <v>395</v>
      </c>
      <c r="X246" s="169" t="s">
        <v>395</v>
      </c>
      <c r="AI246" s="169" t="s">
        <v>395</v>
      </c>
      <c r="AT246" s="169" t="s">
        <v>395</v>
      </c>
      <c r="BE246" s="169" t="s">
        <v>395</v>
      </c>
      <c r="BP246" s="169" t="s">
        <v>395</v>
      </c>
      <c r="CA246" s="169" t="s">
        <v>395</v>
      </c>
      <c r="CL246" s="169" t="s">
        <v>395</v>
      </c>
      <c r="CW246" s="169" t="s">
        <v>395</v>
      </c>
      <c r="DH246" s="169" t="s">
        <v>395</v>
      </c>
      <c r="DS246" s="169" t="s">
        <v>395</v>
      </c>
      <c r="ED246" s="169" t="s">
        <v>395</v>
      </c>
      <c r="EO246" s="169" t="s">
        <v>395</v>
      </c>
      <c r="EZ246" s="169" t="s">
        <v>395</v>
      </c>
      <c r="FK246" s="169" t="s">
        <v>395</v>
      </c>
      <c r="FV246" s="169" t="s">
        <v>395</v>
      </c>
      <c r="GG246" s="169" t="s">
        <v>395</v>
      </c>
      <c r="GR246" s="169" t="s">
        <v>395</v>
      </c>
      <c r="HC246" s="169" t="s">
        <v>395</v>
      </c>
      <c r="HN246" s="169" t="s">
        <v>395</v>
      </c>
      <c r="HY246" s="169" t="s">
        <v>395</v>
      </c>
      <c r="IJ246" s="169" t="s">
        <v>395</v>
      </c>
      <c r="IU246" s="169" t="s">
        <v>395</v>
      </c>
    </row>
    <row r="247" spans="2:255">
      <c r="B247" s="169" t="s">
        <v>395</v>
      </c>
      <c r="M247" s="169" t="s">
        <v>395</v>
      </c>
      <c r="X247" s="169" t="s">
        <v>395</v>
      </c>
      <c r="AI247" s="169" t="s">
        <v>395</v>
      </c>
      <c r="AT247" s="169" t="s">
        <v>395</v>
      </c>
      <c r="BE247" s="169" t="s">
        <v>395</v>
      </c>
      <c r="BP247" s="169" t="s">
        <v>395</v>
      </c>
      <c r="CA247" s="169" t="s">
        <v>395</v>
      </c>
      <c r="CL247" s="169" t="s">
        <v>395</v>
      </c>
      <c r="CW247" s="169" t="s">
        <v>395</v>
      </c>
      <c r="DH247" s="169" t="s">
        <v>395</v>
      </c>
      <c r="DS247" s="169" t="s">
        <v>395</v>
      </c>
      <c r="ED247" s="169" t="s">
        <v>395</v>
      </c>
      <c r="EO247" s="169" t="s">
        <v>395</v>
      </c>
      <c r="EZ247" s="169" t="s">
        <v>395</v>
      </c>
      <c r="FK247" s="169" t="s">
        <v>395</v>
      </c>
      <c r="FV247" s="169" t="s">
        <v>395</v>
      </c>
      <c r="GG247" s="169" t="s">
        <v>395</v>
      </c>
      <c r="GR247" s="169" t="s">
        <v>395</v>
      </c>
      <c r="HC247" s="169" t="s">
        <v>395</v>
      </c>
      <c r="HN247" s="169" t="s">
        <v>395</v>
      </c>
      <c r="HY247" s="169" t="s">
        <v>395</v>
      </c>
      <c r="IJ247" s="169" t="s">
        <v>395</v>
      </c>
      <c r="IU247" s="169" t="s">
        <v>395</v>
      </c>
    </row>
    <row r="248" spans="2:255">
      <c r="B248" s="169" t="s">
        <v>395</v>
      </c>
      <c r="M248" s="169" t="s">
        <v>395</v>
      </c>
      <c r="X248" s="169" t="s">
        <v>395</v>
      </c>
      <c r="AI248" s="169" t="s">
        <v>395</v>
      </c>
      <c r="AT248" s="169" t="s">
        <v>395</v>
      </c>
      <c r="BE248" s="169" t="s">
        <v>395</v>
      </c>
      <c r="BP248" s="169" t="s">
        <v>395</v>
      </c>
      <c r="CA248" s="169" t="s">
        <v>395</v>
      </c>
      <c r="CL248" s="169" t="s">
        <v>395</v>
      </c>
      <c r="CW248" s="169" t="s">
        <v>395</v>
      </c>
      <c r="DH248" s="169" t="s">
        <v>395</v>
      </c>
      <c r="DS248" s="169" t="s">
        <v>395</v>
      </c>
      <c r="ED248" s="169" t="s">
        <v>395</v>
      </c>
      <c r="EO248" s="169" t="s">
        <v>395</v>
      </c>
      <c r="EZ248" s="169" t="s">
        <v>395</v>
      </c>
      <c r="FK248" s="169" t="s">
        <v>395</v>
      </c>
      <c r="FV248" s="169" t="s">
        <v>395</v>
      </c>
      <c r="GG248" s="169" t="s">
        <v>395</v>
      </c>
      <c r="GR248" s="169" t="s">
        <v>395</v>
      </c>
      <c r="HC248" s="169" t="s">
        <v>395</v>
      </c>
      <c r="HN248" s="169" t="s">
        <v>395</v>
      </c>
      <c r="HY248" s="169" t="s">
        <v>395</v>
      </c>
      <c r="IJ248" s="169" t="s">
        <v>395</v>
      </c>
      <c r="IU248" s="169" t="s">
        <v>395</v>
      </c>
    </row>
    <row r="249" spans="2:255">
      <c r="B249" s="169" t="s">
        <v>395</v>
      </c>
      <c r="M249" s="169" t="s">
        <v>395</v>
      </c>
      <c r="X249" s="169" t="s">
        <v>395</v>
      </c>
      <c r="AI249" s="169" t="s">
        <v>395</v>
      </c>
      <c r="AT249" s="169" t="s">
        <v>395</v>
      </c>
      <c r="BE249" s="169" t="s">
        <v>395</v>
      </c>
      <c r="BP249" s="169" t="s">
        <v>395</v>
      </c>
      <c r="CA249" s="169" t="s">
        <v>395</v>
      </c>
      <c r="CL249" s="169" t="s">
        <v>395</v>
      </c>
      <c r="CW249" s="169" t="s">
        <v>395</v>
      </c>
      <c r="DH249" s="169" t="s">
        <v>395</v>
      </c>
      <c r="DS249" s="169" t="s">
        <v>395</v>
      </c>
      <c r="ED249" s="169" t="s">
        <v>395</v>
      </c>
      <c r="EO249" s="169" t="s">
        <v>395</v>
      </c>
      <c r="EZ249" s="169" t="s">
        <v>395</v>
      </c>
      <c r="FK249" s="169" t="s">
        <v>395</v>
      </c>
      <c r="FV249" s="169" t="s">
        <v>395</v>
      </c>
      <c r="GG249" s="169" t="s">
        <v>395</v>
      </c>
      <c r="GR249" s="169" t="s">
        <v>395</v>
      </c>
      <c r="HC249" s="169" t="s">
        <v>395</v>
      </c>
      <c r="HN249" s="169" t="s">
        <v>395</v>
      </c>
      <c r="HY249" s="169" t="s">
        <v>395</v>
      </c>
      <c r="IJ249" s="169" t="s">
        <v>395</v>
      </c>
      <c r="IU249" s="169" t="s">
        <v>395</v>
      </c>
    </row>
    <row r="250" spans="2:255">
      <c r="B250" s="169" t="s">
        <v>395</v>
      </c>
      <c r="M250" s="169" t="s">
        <v>395</v>
      </c>
      <c r="X250" s="169" t="s">
        <v>395</v>
      </c>
      <c r="AI250" s="169" t="s">
        <v>395</v>
      </c>
      <c r="AT250" s="169" t="s">
        <v>395</v>
      </c>
      <c r="BE250" s="169" t="s">
        <v>395</v>
      </c>
      <c r="BP250" s="169" t="s">
        <v>395</v>
      </c>
      <c r="CA250" s="169" t="s">
        <v>395</v>
      </c>
      <c r="CL250" s="169" t="s">
        <v>395</v>
      </c>
      <c r="CW250" s="169" t="s">
        <v>395</v>
      </c>
      <c r="DH250" s="169" t="s">
        <v>395</v>
      </c>
      <c r="DS250" s="169" t="s">
        <v>395</v>
      </c>
      <c r="ED250" s="169" t="s">
        <v>395</v>
      </c>
      <c r="EO250" s="169" t="s">
        <v>395</v>
      </c>
      <c r="EZ250" s="169" t="s">
        <v>395</v>
      </c>
      <c r="FK250" s="169" t="s">
        <v>395</v>
      </c>
      <c r="FV250" s="169" t="s">
        <v>395</v>
      </c>
      <c r="GG250" s="169" t="s">
        <v>395</v>
      </c>
      <c r="GR250" s="169" t="s">
        <v>395</v>
      </c>
      <c r="HC250" s="169" t="s">
        <v>395</v>
      </c>
      <c r="HN250" s="169" t="s">
        <v>395</v>
      </c>
      <c r="HY250" s="169" t="s">
        <v>395</v>
      </c>
      <c r="IJ250" s="169" t="s">
        <v>395</v>
      </c>
      <c r="IU250" s="169" t="s">
        <v>395</v>
      </c>
    </row>
    <row r="251" spans="2:255">
      <c r="B251" s="169" t="s">
        <v>395</v>
      </c>
      <c r="M251" s="169" t="s">
        <v>395</v>
      </c>
      <c r="X251" s="169" t="s">
        <v>395</v>
      </c>
      <c r="AI251" s="169" t="s">
        <v>395</v>
      </c>
      <c r="AT251" s="169" t="s">
        <v>395</v>
      </c>
      <c r="BE251" s="169" t="s">
        <v>395</v>
      </c>
      <c r="BP251" s="169" t="s">
        <v>395</v>
      </c>
      <c r="CA251" s="169" t="s">
        <v>395</v>
      </c>
      <c r="CL251" s="169" t="s">
        <v>395</v>
      </c>
      <c r="CW251" s="169" t="s">
        <v>395</v>
      </c>
      <c r="DH251" s="169" t="s">
        <v>395</v>
      </c>
      <c r="DS251" s="169" t="s">
        <v>395</v>
      </c>
      <c r="ED251" s="169" t="s">
        <v>395</v>
      </c>
      <c r="EO251" s="169" t="s">
        <v>395</v>
      </c>
      <c r="EZ251" s="169" t="s">
        <v>395</v>
      </c>
      <c r="FK251" s="169" t="s">
        <v>395</v>
      </c>
      <c r="FV251" s="169" t="s">
        <v>395</v>
      </c>
      <c r="GG251" s="169" t="s">
        <v>395</v>
      </c>
      <c r="GR251" s="169" t="s">
        <v>395</v>
      </c>
      <c r="HC251" s="169" t="s">
        <v>395</v>
      </c>
      <c r="HN251" s="169" t="s">
        <v>395</v>
      </c>
      <c r="HY251" s="169" t="s">
        <v>395</v>
      </c>
      <c r="IJ251" s="169" t="s">
        <v>395</v>
      </c>
      <c r="IU251" s="169" t="s">
        <v>395</v>
      </c>
    </row>
    <row r="252" spans="2:255">
      <c r="B252" s="169" t="s">
        <v>395</v>
      </c>
      <c r="M252" s="169" t="s">
        <v>395</v>
      </c>
      <c r="X252" s="169" t="s">
        <v>395</v>
      </c>
      <c r="AI252" s="169" t="s">
        <v>395</v>
      </c>
      <c r="AT252" s="169" t="s">
        <v>395</v>
      </c>
      <c r="BE252" s="169" t="s">
        <v>395</v>
      </c>
      <c r="BP252" s="169" t="s">
        <v>395</v>
      </c>
      <c r="CA252" s="169" t="s">
        <v>395</v>
      </c>
      <c r="CL252" s="169" t="s">
        <v>395</v>
      </c>
      <c r="CW252" s="169" t="s">
        <v>395</v>
      </c>
      <c r="DH252" s="169" t="s">
        <v>395</v>
      </c>
      <c r="DS252" s="169" t="s">
        <v>395</v>
      </c>
      <c r="ED252" s="169" t="s">
        <v>395</v>
      </c>
      <c r="EO252" s="169" t="s">
        <v>395</v>
      </c>
      <c r="EZ252" s="169" t="s">
        <v>395</v>
      </c>
      <c r="FK252" s="169" t="s">
        <v>395</v>
      </c>
      <c r="FV252" s="169" t="s">
        <v>395</v>
      </c>
      <c r="GG252" s="169" t="s">
        <v>395</v>
      </c>
      <c r="GR252" s="169" t="s">
        <v>395</v>
      </c>
      <c r="HC252" s="169" t="s">
        <v>395</v>
      </c>
      <c r="HN252" s="169" t="s">
        <v>395</v>
      </c>
      <c r="HY252" s="169" t="s">
        <v>395</v>
      </c>
      <c r="IJ252" s="169" t="s">
        <v>395</v>
      </c>
      <c r="IU252" s="169" t="s">
        <v>395</v>
      </c>
    </row>
    <row r="253" spans="2:255">
      <c r="B253" s="169" t="s">
        <v>395</v>
      </c>
      <c r="M253" s="169" t="s">
        <v>395</v>
      </c>
      <c r="X253" s="169" t="s">
        <v>395</v>
      </c>
      <c r="AI253" s="169" t="s">
        <v>395</v>
      </c>
      <c r="AT253" s="169" t="s">
        <v>395</v>
      </c>
      <c r="BE253" s="169" t="s">
        <v>395</v>
      </c>
      <c r="BP253" s="169" t="s">
        <v>395</v>
      </c>
      <c r="CA253" s="169" t="s">
        <v>395</v>
      </c>
      <c r="CL253" s="169" t="s">
        <v>395</v>
      </c>
      <c r="CW253" s="169" t="s">
        <v>395</v>
      </c>
      <c r="DH253" s="169" t="s">
        <v>395</v>
      </c>
      <c r="DS253" s="169" t="s">
        <v>395</v>
      </c>
      <c r="ED253" s="169" t="s">
        <v>395</v>
      </c>
      <c r="EO253" s="169" t="s">
        <v>395</v>
      </c>
      <c r="EZ253" s="169" t="s">
        <v>395</v>
      </c>
      <c r="FK253" s="169" t="s">
        <v>395</v>
      </c>
      <c r="FV253" s="169" t="s">
        <v>395</v>
      </c>
      <c r="GG253" s="169" t="s">
        <v>395</v>
      </c>
      <c r="GR253" s="169" t="s">
        <v>395</v>
      </c>
      <c r="HC253" s="169" t="s">
        <v>395</v>
      </c>
      <c r="HN253" s="169" t="s">
        <v>395</v>
      </c>
      <c r="HY253" s="169" t="s">
        <v>395</v>
      </c>
      <c r="IJ253" s="169" t="s">
        <v>395</v>
      </c>
      <c r="IU253" s="169" t="s">
        <v>395</v>
      </c>
    </row>
    <row r="254" spans="2:255">
      <c r="B254" s="169" t="s">
        <v>395</v>
      </c>
      <c r="M254" s="169" t="s">
        <v>395</v>
      </c>
      <c r="X254" s="169" t="s">
        <v>395</v>
      </c>
      <c r="AI254" s="169" t="s">
        <v>395</v>
      </c>
      <c r="AT254" s="169" t="s">
        <v>395</v>
      </c>
      <c r="BE254" s="169" t="s">
        <v>395</v>
      </c>
      <c r="BP254" s="169" t="s">
        <v>395</v>
      </c>
      <c r="CA254" s="169" t="s">
        <v>395</v>
      </c>
      <c r="CL254" s="169" t="s">
        <v>395</v>
      </c>
      <c r="CW254" s="169" t="s">
        <v>395</v>
      </c>
      <c r="DH254" s="169" t="s">
        <v>395</v>
      </c>
      <c r="DS254" s="169" t="s">
        <v>395</v>
      </c>
      <c r="ED254" s="169" t="s">
        <v>395</v>
      </c>
      <c r="EO254" s="169" t="s">
        <v>395</v>
      </c>
      <c r="EZ254" s="169" t="s">
        <v>395</v>
      </c>
      <c r="FK254" s="169" t="s">
        <v>395</v>
      </c>
      <c r="FV254" s="169" t="s">
        <v>395</v>
      </c>
      <c r="GG254" s="169" t="s">
        <v>395</v>
      </c>
      <c r="GR254" s="169" t="s">
        <v>395</v>
      </c>
      <c r="HC254" s="169" t="s">
        <v>395</v>
      </c>
      <c r="HN254" s="169" t="s">
        <v>395</v>
      </c>
      <c r="HY254" s="169" t="s">
        <v>395</v>
      </c>
      <c r="IJ254" s="169" t="s">
        <v>395</v>
      </c>
      <c r="IU254" s="169" t="s">
        <v>395</v>
      </c>
    </row>
    <row r="255" spans="2:255">
      <c r="B255" s="169" t="s">
        <v>395</v>
      </c>
      <c r="M255" s="169" t="s">
        <v>395</v>
      </c>
      <c r="X255" s="169" t="s">
        <v>395</v>
      </c>
      <c r="AI255" s="169" t="s">
        <v>395</v>
      </c>
      <c r="AT255" s="169" t="s">
        <v>395</v>
      </c>
      <c r="BE255" s="169" t="s">
        <v>395</v>
      </c>
      <c r="BP255" s="169" t="s">
        <v>395</v>
      </c>
      <c r="CA255" s="169" t="s">
        <v>395</v>
      </c>
      <c r="CL255" s="169" t="s">
        <v>395</v>
      </c>
      <c r="CW255" s="169" t="s">
        <v>395</v>
      </c>
      <c r="DH255" s="169" t="s">
        <v>395</v>
      </c>
      <c r="DS255" s="169" t="s">
        <v>395</v>
      </c>
      <c r="ED255" s="169" t="s">
        <v>395</v>
      </c>
      <c r="EO255" s="169" t="s">
        <v>395</v>
      </c>
      <c r="EZ255" s="169" t="s">
        <v>395</v>
      </c>
      <c r="FK255" s="169" t="s">
        <v>395</v>
      </c>
      <c r="FV255" s="169" t="s">
        <v>395</v>
      </c>
      <c r="GG255" s="169" t="s">
        <v>395</v>
      </c>
      <c r="GR255" s="169" t="s">
        <v>395</v>
      </c>
      <c r="HC255" s="169" t="s">
        <v>395</v>
      </c>
      <c r="HN255" s="169" t="s">
        <v>395</v>
      </c>
      <c r="HY255" s="169" t="s">
        <v>395</v>
      </c>
      <c r="IJ255" s="169" t="s">
        <v>395</v>
      </c>
      <c r="IU255" s="169" t="s">
        <v>395</v>
      </c>
    </row>
    <row r="256" spans="2:255">
      <c r="B256" s="169" t="s">
        <v>395</v>
      </c>
      <c r="M256" s="169" t="s">
        <v>395</v>
      </c>
      <c r="X256" s="169" t="s">
        <v>395</v>
      </c>
      <c r="AI256" s="169" t="s">
        <v>395</v>
      </c>
      <c r="AT256" s="169" t="s">
        <v>395</v>
      </c>
      <c r="BE256" s="169" t="s">
        <v>395</v>
      </c>
      <c r="BP256" s="169" t="s">
        <v>395</v>
      </c>
      <c r="CA256" s="169" t="s">
        <v>395</v>
      </c>
      <c r="CL256" s="169" t="s">
        <v>395</v>
      </c>
      <c r="CW256" s="169" t="s">
        <v>395</v>
      </c>
      <c r="DH256" s="169" t="s">
        <v>395</v>
      </c>
      <c r="DS256" s="169" t="s">
        <v>395</v>
      </c>
      <c r="ED256" s="169" t="s">
        <v>395</v>
      </c>
      <c r="EO256" s="169" t="s">
        <v>395</v>
      </c>
      <c r="EZ256" s="169" t="s">
        <v>395</v>
      </c>
      <c r="FK256" s="169" t="s">
        <v>395</v>
      </c>
      <c r="FV256" s="169" t="s">
        <v>395</v>
      </c>
      <c r="GG256" s="169" t="s">
        <v>395</v>
      </c>
      <c r="GR256" s="169" t="s">
        <v>395</v>
      </c>
      <c r="HC256" s="169" t="s">
        <v>395</v>
      </c>
      <c r="HN256" s="169" t="s">
        <v>395</v>
      </c>
      <c r="HY256" s="169" t="s">
        <v>395</v>
      </c>
      <c r="IJ256" s="169" t="s">
        <v>395</v>
      </c>
      <c r="IU256" s="169" t="s">
        <v>395</v>
      </c>
    </row>
    <row r="257" spans="2:255">
      <c r="B257" s="169" t="s">
        <v>395</v>
      </c>
      <c r="M257" s="169" t="s">
        <v>395</v>
      </c>
      <c r="X257" s="169" t="s">
        <v>395</v>
      </c>
      <c r="AI257" s="169" t="s">
        <v>395</v>
      </c>
      <c r="AT257" s="169" t="s">
        <v>395</v>
      </c>
      <c r="BE257" s="169" t="s">
        <v>395</v>
      </c>
      <c r="BP257" s="169" t="s">
        <v>395</v>
      </c>
      <c r="CA257" s="169" t="s">
        <v>395</v>
      </c>
      <c r="CL257" s="169" t="s">
        <v>395</v>
      </c>
      <c r="CW257" s="169" t="s">
        <v>395</v>
      </c>
      <c r="DH257" s="169" t="s">
        <v>395</v>
      </c>
      <c r="DS257" s="169" t="s">
        <v>395</v>
      </c>
      <c r="ED257" s="169" t="s">
        <v>395</v>
      </c>
      <c r="EO257" s="169" t="s">
        <v>395</v>
      </c>
      <c r="EZ257" s="169" t="s">
        <v>395</v>
      </c>
      <c r="FK257" s="169" t="s">
        <v>395</v>
      </c>
      <c r="FV257" s="169" t="s">
        <v>395</v>
      </c>
      <c r="GG257" s="169" t="s">
        <v>395</v>
      </c>
      <c r="GR257" s="169" t="s">
        <v>395</v>
      </c>
      <c r="HC257" s="169" t="s">
        <v>395</v>
      </c>
      <c r="HN257" s="169" t="s">
        <v>395</v>
      </c>
      <c r="HY257" s="169" t="s">
        <v>395</v>
      </c>
      <c r="IJ257" s="169" t="s">
        <v>395</v>
      </c>
      <c r="IU257" s="169" t="s">
        <v>395</v>
      </c>
    </row>
    <row r="258" spans="2:255">
      <c r="B258" s="169" t="s">
        <v>395</v>
      </c>
      <c r="M258" s="169" t="s">
        <v>395</v>
      </c>
      <c r="X258" s="169" t="s">
        <v>395</v>
      </c>
      <c r="AI258" s="169" t="s">
        <v>395</v>
      </c>
      <c r="AT258" s="169" t="s">
        <v>395</v>
      </c>
      <c r="BE258" s="169" t="s">
        <v>395</v>
      </c>
      <c r="BP258" s="169" t="s">
        <v>395</v>
      </c>
      <c r="CA258" s="169" t="s">
        <v>395</v>
      </c>
      <c r="CL258" s="169" t="s">
        <v>395</v>
      </c>
      <c r="CW258" s="169" t="s">
        <v>395</v>
      </c>
      <c r="DH258" s="169" t="s">
        <v>395</v>
      </c>
      <c r="DS258" s="169" t="s">
        <v>395</v>
      </c>
      <c r="ED258" s="169" t="s">
        <v>395</v>
      </c>
      <c r="EO258" s="169" t="s">
        <v>395</v>
      </c>
      <c r="EZ258" s="169" t="s">
        <v>395</v>
      </c>
      <c r="FK258" s="169" t="s">
        <v>395</v>
      </c>
      <c r="FV258" s="169" t="s">
        <v>395</v>
      </c>
      <c r="GG258" s="169" t="s">
        <v>395</v>
      </c>
      <c r="GR258" s="169" t="s">
        <v>395</v>
      </c>
      <c r="HC258" s="169" t="s">
        <v>395</v>
      </c>
      <c r="HN258" s="169" t="s">
        <v>395</v>
      </c>
      <c r="HY258" s="169" t="s">
        <v>395</v>
      </c>
      <c r="IJ258" s="169" t="s">
        <v>395</v>
      </c>
      <c r="IU258" s="169" t="s">
        <v>395</v>
      </c>
    </row>
    <row r="259" spans="2:255">
      <c r="B259" s="169" t="s">
        <v>395</v>
      </c>
      <c r="M259" s="169" t="s">
        <v>395</v>
      </c>
      <c r="X259" s="169" t="s">
        <v>395</v>
      </c>
      <c r="AI259" s="169" t="s">
        <v>395</v>
      </c>
      <c r="AT259" s="169" t="s">
        <v>395</v>
      </c>
      <c r="BE259" s="169" t="s">
        <v>395</v>
      </c>
      <c r="BP259" s="169" t="s">
        <v>395</v>
      </c>
      <c r="CA259" s="169" t="s">
        <v>395</v>
      </c>
      <c r="CL259" s="169" t="s">
        <v>395</v>
      </c>
      <c r="CW259" s="169" t="s">
        <v>395</v>
      </c>
      <c r="DH259" s="169" t="s">
        <v>395</v>
      </c>
      <c r="DS259" s="169" t="s">
        <v>395</v>
      </c>
      <c r="ED259" s="169" t="s">
        <v>395</v>
      </c>
      <c r="EO259" s="169" t="s">
        <v>395</v>
      </c>
      <c r="EZ259" s="169" t="s">
        <v>395</v>
      </c>
      <c r="FK259" s="169" t="s">
        <v>395</v>
      </c>
      <c r="FV259" s="169" t="s">
        <v>395</v>
      </c>
      <c r="GG259" s="169" t="s">
        <v>395</v>
      </c>
      <c r="GR259" s="169" t="s">
        <v>395</v>
      </c>
      <c r="HC259" s="169" t="s">
        <v>395</v>
      </c>
      <c r="HN259" s="169" t="s">
        <v>395</v>
      </c>
      <c r="HY259" s="169" t="s">
        <v>395</v>
      </c>
      <c r="IJ259" s="169" t="s">
        <v>395</v>
      </c>
      <c r="IU259" s="169" t="s">
        <v>395</v>
      </c>
    </row>
    <row r="260" spans="2:255">
      <c r="B260" s="169" t="s">
        <v>395</v>
      </c>
      <c r="M260" s="169" t="s">
        <v>395</v>
      </c>
      <c r="X260" s="169" t="s">
        <v>395</v>
      </c>
      <c r="AI260" s="169" t="s">
        <v>395</v>
      </c>
      <c r="AT260" s="169" t="s">
        <v>395</v>
      </c>
      <c r="BE260" s="169" t="s">
        <v>395</v>
      </c>
      <c r="BP260" s="169" t="s">
        <v>395</v>
      </c>
      <c r="CA260" s="169" t="s">
        <v>395</v>
      </c>
      <c r="CL260" s="169" t="s">
        <v>395</v>
      </c>
      <c r="CW260" s="169" t="s">
        <v>395</v>
      </c>
      <c r="DH260" s="169" t="s">
        <v>395</v>
      </c>
      <c r="DS260" s="169" t="s">
        <v>395</v>
      </c>
      <c r="ED260" s="169" t="s">
        <v>395</v>
      </c>
      <c r="EO260" s="169" t="s">
        <v>395</v>
      </c>
      <c r="EZ260" s="169" t="s">
        <v>395</v>
      </c>
      <c r="FK260" s="169" t="s">
        <v>395</v>
      </c>
      <c r="FV260" s="169" t="s">
        <v>395</v>
      </c>
      <c r="GG260" s="169" t="s">
        <v>395</v>
      </c>
      <c r="GR260" s="169" t="s">
        <v>395</v>
      </c>
      <c r="HC260" s="169" t="s">
        <v>395</v>
      </c>
      <c r="HN260" s="169" t="s">
        <v>395</v>
      </c>
      <c r="HY260" s="169" t="s">
        <v>395</v>
      </c>
      <c r="IJ260" s="169" t="s">
        <v>395</v>
      </c>
      <c r="IU260" s="169" t="s">
        <v>395</v>
      </c>
    </row>
    <row r="261" spans="2:255">
      <c r="B261" s="169" t="s">
        <v>395</v>
      </c>
      <c r="M261" s="169" t="s">
        <v>395</v>
      </c>
      <c r="X261" s="169" t="s">
        <v>395</v>
      </c>
      <c r="AI261" s="169" t="s">
        <v>395</v>
      </c>
      <c r="AT261" s="169" t="s">
        <v>395</v>
      </c>
      <c r="BE261" s="169" t="s">
        <v>395</v>
      </c>
      <c r="BP261" s="169" t="s">
        <v>395</v>
      </c>
      <c r="CA261" s="169" t="s">
        <v>395</v>
      </c>
      <c r="CL261" s="169" t="s">
        <v>395</v>
      </c>
      <c r="CW261" s="169" t="s">
        <v>395</v>
      </c>
      <c r="DH261" s="169" t="s">
        <v>395</v>
      </c>
      <c r="DS261" s="169" t="s">
        <v>395</v>
      </c>
      <c r="ED261" s="169" t="s">
        <v>395</v>
      </c>
      <c r="EO261" s="169" t="s">
        <v>395</v>
      </c>
      <c r="EZ261" s="169" t="s">
        <v>395</v>
      </c>
      <c r="FK261" s="169" t="s">
        <v>395</v>
      </c>
      <c r="FV261" s="169" t="s">
        <v>395</v>
      </c>
      <c r="GG261" s="169" t="s">
        <v>395</v>
      </c>
      <c r="GR261" s="169" t="s">
        <v>395</v>
      </c>
      <c r="HC261" s="169" t="s">
        <v>395</v>
      </c>
      <c r="HN261" s="169" t="s">
        <v>395</v>
      </c>
      <c r="HY261" s="169" t="s">
        <v>395</v>
      </c>
      <c r="IJ261" s="169" t="s">
        <v>395</v>
      </c>
      <c r="IU261" s="169" t="s">
        <v>395</v>
      </c>
    </row>
    <row r="262" spans="2:255">
      <c r="B262" s="169" t="s">
        <v>395</v>
      </c>
      <c r="M262" s="169" t="s">
        <v>395</v>
      </c>
      <c r="X262" s="169" t="s">
        <v>395</v>
      </c>
      <c r="AI262" s="169" t="s">
        <v>395</v>
      </c>
      <c r="AT262" s="169" t="s">
        <v>395</v>
      </c>
      <c r="BE262" s="169" t="s">
        <v>395</v>
      </c>
      <c r="BP262" s="169" t="s">
        <v>395</v>
      </c>
      <c r="CA262" s="169" t="s">
        <v>395</v>
      </c>
      <c r="CL262" s="169" t="s">
        <v>395</v>
      </c>
      <c r="CW262" s="169" t="s">
        <v>395</v>
      </c>
      <c r="DH262" s="169" t="s">
        <v>395</v>
      </c>
      <c r="DS262" s="169" t="s">
        <v>395</v>
      </c>
      <c r="ED262" s="169" t="s">
        <v>395</v>
      </c>
      <c r="EO262" s="169" t="s">
        <v>395</v>
      </c>
      <c r="EZ262" s="169" t="s">
        <v>395</v>
      </c>
      <c r="FK262" s="169" t="s">
        <v>395</v>
      </c>
      <c r="FV262" s="169" t="s">
        <v>395</v>
      </c>
      <c r="GG262" s="169" t="s">
        <v>395</v>
      </c>
      <c r="GR262" s="169" t="s">
        <v>395</v>
      </c>
      <c r="HC262" s="169" t="s">
        <v>395</v>
      </c>
      <c r="HN262" s="169" t="s">
        <v>395</v>
      </c>
      <c r="HY262" s="169" t="s">
        <v>395</v>
      </c>
      <c r="IJ262" s="169" t="s">
        <v>395</v>
      </c>
      <c r="IU262" s="169" t="s">
        <v>395</v>
      </c>
    </row>
    <row r="263" spans="2:255">
      <c r="B263" s="169" t="s">
        <v>395</v>
      </c>
      <c r="M263" s="169" t="s">
        <v>395</v>
      </c>
      <c r="X263" s="169" t="s">
        <v>395</v>
      </c>
      <c r="AI263" s="169" t="s">
        <v>395</v>
      </c>
      <c r="AT263" s="169" t="s">
        <v>395</v>
      </c>
      <c r="BE263" s="169" t="s">
        <v>395</v>
      </c>
      <c r="BP263" s="169" t="s">
        <v>395</v>
      </c>
      <c r="CA263" s="169" t="s">
        <v>395</v>
      </c>
      <c r="CL263" s="169" t="s">
        <v>395</v>
      </c>
      <c r="CW263" s="169" t="s">
        <v>395</v>
      </c>
      <c r="DH263" s="169" t="s">
        <v>395</v>
      </c>
      <c r="DS263" s="169" t="s">
        <v>395</v>
      </c>
      <c r="ED263" s="169" t="s">
        <v>395</v>
      </c>
      <c r="EO263" s="169" t="s">
        <v>395</v>
      </c>
      <c r="EZ263" s="169" t="s">
        <v>395</v>
      </c>
      <c r="FK263" s="169" t="s">
        <v>395</v>
      </c>
      <c r="FV263" s="169" t="s">
        <v>395</v>
      </c>
      <c r="GG263" s="169" t="s">
        <v>395</v>
      </c>
      <c r="GR263" s="169" t="s">
        <v>395</v>
      </c>
      <c r="HC263" s="169" t="s">
        <v>395</v>
      </c>
      <c r="HN263" s="169" t="s">
        <v>395</v>
      </c>
      <c r="HY263" s="169" t="s">
        <v>395</v>
      </c>
      <c r="IJ263" s="169" t="s">
        <v>395</v>
      </c>
      <c r="IU263" s="169" t="s">
        <v>395</v>
      </c>
    </row>
    <row r="264" spans="2:255">
      <c r="B264" s="169" t="s">
        <v>395</v>
      </c>
      <c r="M264" s="169" t="s">
        <v>395</v>
      </c>
      <c r="X264" s="169" t="s">
        <v>395</v>
      </c>
      <c r="AI264" s="169" t="s">
        <v>395</v>
      </c>
      <c r="AT264" s="169" t="s">
        <v>395</v>
      </c>
      <c r="BE264" s="169" t="s">
        <v>395</v>
      </c>
      <c r="BP264" s="169" t="s">
        <v>395</v>
      </c>
      <c r="CA264" s="169" t="s">
        <v>395</v>
      </c>
      <c r="CL264" s="169" t="s">
        <v>395</v>
      </c>
      <c r="CW264" s="169" t="s">
        <v>395</v>
      </c>
      <c r="DH264" s="169" t="s">
        <v>395</v>
      </c>
      <c r="DS264" s="169" t="s">
        <v>395</v>
      </c>
      <c r="ED264" s="169" t="s">
        <v>395</v>
      </c>
      <c r="EO264" s="169" t="s">
        <v>395</v>
      </c>
      <c r="EZ264" s="169" t="s">
        <v>395</v>
      </c>
      <c r="FK264" s="169" t="s">
        <v>395</v>
      </c>
      <c r="FV264" s="169" t="s">
        <v>395</v>
      </c>
      <c r="GG264" s="169" t="s">
        <v>395</v>
      </c>
      <c r="GR264" s="169" t="s">
        <v>395</v>
      </c>
      <c r="HC264" s="169" t="s">
        <v>395</v>
      </c>
      <c r="HN264" s="169" t="s">
        <v>395</v>
      </c>
      <c r="HY264" s="169" t="s">
        <v>395</v>
      </c>
      <c r="IJ264" s="169" t="s">
        <v>395</v>
      </c>
      <c r="IU264" s="169" t="s">
        <v>395</v>
      </c>
    </row>
    <row r="265" spans="2:255">
      <c r="B265" s="169" t="s">
        <v>395</v>
      </c>
      <c r="M265" s="169" t="s">
        <v>395</v>
      </c>
      <c r="X265" s="169" t="s">
        <v>395</v>
      </c>
      <c r="AI265" s="169" t="s">
        <v>395</v>
      </c>
      <c r="AT265" s="169" t="s">
        <v>395</v>
      </c>
      <c r="BE265" s="169" t="s">
        <v>395</v>
      </c>
      <c r="BP265" s="169" t="s">
        <v>395</v>
      </c>
      <c r="CA265" s="169" t="s">
        <v>395</v>
      </c>
      <c r="CL265" s="169" t="s">
        <v>395</v>
      </c>
      <c r="CW265" s="169" t="s">
        <v>395</v>
      </c>
      <c r="DH265" s="169" t="s">
        <v>395</v>
      </c>
      <c r="DS265" s="169" t="s">
        <v>395</v>
      </c>
      <c r="ED265" s="169" t="s">
        <v>395</v>
      </c>
      <c r="EO265" s="169" t="s">
        <v>395</v>
      </c>
      <c r="EZ265" s="169" t="s">
        <v>395</v>
      </c>
      <c r="FK265" s="169" t="s">
        <v>395</v>
      </c>
      <c r="FV265" s="169" t="s">
        <v>395</v>
      </c>
      <c r="GG265" s="169" t="s">
        <v>395</v>
      </c>
      <c r="GR265" s="169" t="s">
        <v>395</v>
      </c>
      <c r="HC265" s="169" t="s">
        <v>395</v>
      </c>
      <c r="HN265" s="169" t="s">
        <v>395</v>
      </c>
      <c r="HY265" s="169" t="s">
        <v>395</v>
      </c>
      <c r="IJ265" s="169" t="s">
        <v>395</v>
      </c>
      <c r="IU265" s="169" t="s">
        <v>395</v>
      </c>
    </row>
    <row r="266" spans="2:255">
      <c r="B266" s="169" t="s">
        <v>395</v>
      </c>
      <c r="M266" s="169" t="s">
        <v>395</v>
      </c>
      <c r="X266" s="169" t="s">
        <v>395</v>
      </c>
      <c r="AI266" s="169" t="s">
        <v>395</v>
      </c>
      <c r="AT266" s="169" t="s">
        <v>395</v>
      </c>
      <c r="BE266" s="169" t="s">
        <v>395</v>
      </c>
      <c r="BP266" s="169" t="s">
        <v>395</v>
      </c>
      <c r="CA266" s="169" t="s">
        <v>395</v>
      </c>
      <c r="CL266" s="169" t="s">
        <v>395</v>
      </c>
      <c r="CW266" s="169" t="s">
        <v>395</v>
      </c>
      <c r="DH266" s="169" t="s">
        <v>395</v>
      </c>
      <c r="DS266" s="169" t="s">
        <v>395</v>
      </c>
      <c r="ED266" s="169" t="s">
        <v>395</v>
      </c>
      <c r="EO266" s="169" t="s">
        <v>395</v>
      </c>
      <c r="EZ266" s="169" t="s">
        <v>395</v>
      </c>
      <c r="FK266" s="169" t="s">
        <v>395</v>
      </c>
      <c r="FV266" s="169" t="s">
        <v>395</v>
      </c>
      <c r="GG266" s="169" t="s">
        <v>395</v>
      </c>
      <c r="GR266" s="169" t="s">
        <v>395</v>
      </c>
      <c r="HC266" s="169" t="s">
        <v>395</v>
      </c>
      <c r="HN266" s="169" t="s">
        <v>395</v>
      </c>
      <c r="HY266" s="169" t="s">
        <v>395</v>
      </c>
      <c r="IJ266" s="169" t="s">
        <v>395</v>
      </c>
      <c r="IU266" s="169" t="s">
        <v>395</v>
      </c>
    </row>
    <row r="267" spans="2:255">
      <c r="B267" s="169" t="s">
        <v>395</v>
      </c>
      <c r="M267" s="169" t="s">
        <v>395</v>
      </c>
      <c r="X267" s="169" t="s">
        <v>395</v>
      </c>
      <c r="AI267" s="169" t="s">
        <v>395</v>
      </c>
      <c r="AT267" s="169" t="s">
        <v>395</v>
      </c>
      <c r="BE267" s="169" t="s">
        <v>395</v>
      </c>
      <c r="BP267" s="169" t="s">
        <v>395</v>
      </c>
      <c r="CA267" s="169" t="s">
        <v>395</v>
      </c>
      <c r="CL267" s="169" t="s">
        <v>395</v>
      </c>
      <c r="CW267" s="169" t="s">
        <v>395</v>
      </c>
      <c r="DH267" s="169" t="s">
        <v>395</v>
      </c>
      <c r="DS267" s="169" t="s">
        <v>395</v>
      </c>
      <c r="ED267" s="169" t="s">
        <v>395</v>
      </c>
      <c r="EO267" s="169" t="s">
        <v>395</v>
      </c>
      <c r="EZ267" s="169" t="s">
        <v>395</v>
      </c>
      <c r="FK267" s="169" t="s">
        <v>395</v>
      </c>
      <c r="FV267" s="169" t="s">
        <v>395</v>
      </c>
      <c r="GG267" s="169" t="s">
        <v>395</v>
      </c>
      <c r="GR267" s="169" t="s">
        <v>395</v>
      </c>
      <c r="HC267" s="169" t="s">
        <v>395</v>
      </c>
      <c r="HN267" s="169" t="s">
        <v>395</v>
      </c>
      <c r="HY267" s="169" t="s">
        <v>395</v>
      </c>
      <c r="IJ267" s="169" t="s">
        <v>395</v>
      </c>
      <c r="IU267" s="169" t="s">
        <v>395</v>
      </c>
    </row>
    <row r="268" spans="2:255">
      <c r="B268" s="169" t="s">
        <v>395</v>
      </c>
      <c r="M268" s="169" t="s">
        <v>395</v>
      </c>
      <c r="X268" s="169" t="s">
        <v>395</v>
      </c>
      <c r="AI268" s="169" t="s">
        <v>395</v>
      </c>
      <c r="AT268" s="169" t="s">
        <v>395</v>
      </c>
      <c r="BE268" s="169" t="s">
        <v>395</v>
      </c>
      <c r="BP268" s="169" t="s">
        <v>395</v>
      </c>
      <c r="CA268" s="169" t="s">
        <v>395</v>
      </c>
      <c r="CL268" s="169" t="s">
        <v>395</v>
      </c>
      <c r="CW268" s="169" t="s">
        <v>395</v>
      </c>
      <c r="DH268" s="169" t="s">
        <v>395</v>
      </c>
      <c r="DS268" s="169" t="s">
        <v>395</v>
      </c>
      <c r="ED268" s="169" t="s">
        <v>395</v>
      </c>
      <c r="EO268" s="169" t="s">
        <v>395</v>
      </c>
      <c r="EZ268" s="169" t="s">
        <v>395</v>
      </c>
      <c r="FK268" s="169" t="s">
        <v>395</v>
      </c>
      <c r="FV268" s="169" t="s">
        <v>395</v>
      </c>
      <c r="GG268" s="169" t="s">
        <v>395</v>
      </c>
      <c r="GR268" s="169" t="s">
        <v>395</v>
      </c>
      <c r="HC268" s="169" t="s">
        <v>395</v>
      </c>
      <c r="HN268" s="169" t="s">
        <v>395</v>
      </c>
      <c r="HY268" s="169" t="s">
        <v>395</v>
      </c>
      <c r="IJ268" s="169" t="s">
        <v>395</v>
      </c>
      <c r="IU268" s="169" t="s">
        <v>395</v>
      </c>
    </row>
    <row r="269" spans="2:255">
      <c r="B269" s="169" t="s">
        <v>395</v>
      </c>
      <c r="M269" s="169" t="s">
        <v>395</v>
      </c>
      <c r="X269" s="169" t="s">
        <v>395</v>
      </c>
      <c r="AI269" s="169" t="s">
        <v>395</v>
      </c>
      <c r="AT269" s="169" t="s">
        <v>395</v>
      </c>
      <c r="BE269" s="169" t="s">
        <v>395</v>
      </c>
      <c r="BP269" s="169" t="s">
        <v>395</v>
      </c>
      <c r="CA269" s="169" t="s">
        <v>395</v>
      </c>
      <c r="CL269" s="169" t="s">
        <v>395</v>
      </c>
      <c r="CW269" s="169" t="s">
        <v>395</v>
      </c>
      <c r="DH269" s="169" t="s">
        <v>395</v>
      </c>
      <c r="DS269" s="169" t="s">
        <v>395</v>
      </c>
      <c r="ED269" s="169" t="s">
        <v>395</v>
      </c>
      <c r="EO269" s="169" t="s">
        <v>395</v>
      </c>
      <c r="EZ269" s="169" t="s">
        <v>395</v>
      </c>
      <c r="FK269" s="169" t="s">
        <v>395</v>
      </c>
      <c r="FV269" s="169" t="s">
        <v>395</v>
      </c>
      <c r="GG269" s="169" t="s">
        <v>395</v>
      </c>
      <c r="GR269" s="169" t="s">
        <v>395</v>
      </c>
      <c r="HC269" s="169" t="s">
        <v>395</v>
      </c>
      <c r="HN269" s="169" t="s">
        <v>395</v>
      </c>
      <c r="HY269" s="169" t="s">
        <v>395</v>
      </c>
      <c r="IJ269" s="169" t="s">
        <v>395</v>
      </c>
      <c r="IU269" s="169" t="s">
        <v>395</v>
      </c>
    </row>
    <row r="270" spans="2:255">
      <c r="B270" s="169" t="s">
        <v>395</v>
      </c>
      <c r="M270" s="169" t="s">
        <v>395</v>
      </c>
      <c r="X270" s="169" t="s">
        <v>395</v>
      </c>
      <c r="AI270" s="169" t="s">
        <v>395</v>
      </c>
      <c r="AT270" s="169" t="s">
        <v>395</v>
      </c>
      <c r="BE270" s="169" t="s">
        <v>395</v>
      </c>
      <c r="BP270" s="169" t="s">
        <v>395</v>
      </c>
      <c r="CA270" s="169" t="s">
        <v>395</v>
      </c>
      <c r="CL270" s="169" t="s">
        <v>395</v>
      </c>
      <c r="CW270" s="169" t="s">
        <v>395</v>
      </c>
      <c r="DH270" s="169" t="s">
        <v>395</v>
      </c>
      <c r="DS270" s="169" t="s">
        <v>395</v>
      </c>
      <c r="ED270" s="169" t="s">
        <v>395</v>
      </c>
      <c r="EO270" s="169" t="s">
        <v>395</v>
      </c>
      <c r="EZ270" s="169" t="s">
        <v>395</v>
      </c>
      <c r="FK270" s="169" t="s">
        <v>395</v>
      </c>
      <c r="FV270" s="169" t="s">
        <v>395</v>
      </c>
      <c r="GG270" s="169" t="s">
        <v>395</v>
      </c>
      <c r="GR270" s="169" t="s">
        <v>395</v>
      </c>
      <c r="HC270" s="169" t="s">
        <v>395</v>
      </c>
      <c r="HN270" s="169" t="s">
        <v>395</v>
      </c>
      <c r="HY270" s="169" t="s">
        <v>395</v>
      </c>
      <c r="IJ270" s="169" t="s">
        <v>395</v>
      </c>
      <c r="IU270" s="169" t="s">
        <v>395</v>
      </c>
    </row>
    <row r="271" spans="2:255">
      <c r="B271" s="169" t="s">
        <v>395</v>
      </c>
      <c r="M271" s="169" t="s">
        <v>395</v>
      </c>
      <c r="X271" s="169" t="s">
        <v>395</v>
      </c>
      <c r="AI271" s="169" t="s">
        <v>395</v>
      </c>
      <c r="AT271" s="169" t="s">
        <v>395</v>
      </c>
      <c r="BE271" s="169" t="s">
        <v>395</v>
      </c>
      <c r="BP271" s="169" t="s">
        <v>395</v>
      </c>
      <c r="CA271" s="169" t="s">
        <v>395</v>
      </c>
      <c r="CL271" s="169" t="s">
        <v>395</v>
      </c>
      <c r="CW271" s="169" t="s">
        <v>395</v>
      </c>
      <c r="DH271" s="169" t="s">
        <v>395</v>
      </c>
      <c r="DS271" s="169" t="s">
        <v>395</v>
      </c>
      <c r="ED271" s="169" t="s">
        <v>395</v>
      </c>
      <c r="EO271" s="169" t="s">
        <v>395</v>
      </c>
      <c r="EZ271" s="169" t="s">
        <v>395</v>
      </c>
      <c r="FK271" s="169" t="s">
        <v>395</v>
      </c>
      <c r="FV271" s="169" t="s">
        <v>395</v>
      </c>
      <c r="GG271" s="169" t="s">
        <v>395</v>
      </c>
      <c r="GR271" s="169" t="s">
        <v>395</v>
      </c>
      <c r="HC271" s="169" t="s">
        <v>395</v>
      </c>
      <c r="HN271" s="169" t="s">
        <v>395</v>
      </c>
      <c r="HY271" s="169" t="s">
        <v>395</v>
      </c>
      <c r="IJ271" s="169" t="s">
        <v>395</v>
      </c>
      <c r="IU271" s="169" t="s">
        <v>395</v>
      </c>
    </row>
    <row r="272" spans="2:255">
      <c r="B272" s="169" t="s">
        <v>395</v>
      </c>
      <c r="M272" s="169" t="s">
        <v>395</v>
      </c>
      <c r="X272" s="169" t="s">
        <v>395</v>
      </c>
      <c r="AI272" s="169" t="s">
        <v>395</v>
      </c>
      <c r="AT272" s="169" t="s">
        <v>395</v>
      </c>
      <c r="BE272" s="169" t="s">
        <v>395</v>
      </c>
      <c r="BP272" s="169" t="s">
        <v>395</v>
      </c>
      <c r="CA272" s="169" t="s">
        <v>395</v>
      </c>
      <c r="CL272" s="169" t="s">
        <v>395</v>
      </c>
      <c r="CW272" s="169" t="s">
        <v>395</v>
      </c>
      <c r="DH272" s="169" t="s">
        <v>395</v>
      </c>
      <c r="DS272" s="169" t="s">
        <v>395</v>
      </c>
      <c r="ED272" s="169" t="s">
        <v>395</v>
      </c>
      <c r="EO272" s="169" t="s">
        <v>395</v>
      </c>
      <c r="EZ272" s="169" t="s">
        <v>395</v>
      </c>
      <c r="FK272" s="169" t="s">
        <v>395</v>
      </c>
      <c r="FV272" s="169" t="s">
        <v>395</v>
      </c>
      <c r="GG272" s="169" t="s">
        <v>395</v>
      </c>
      <c r="GR272" s="169" t="s">
        <v>395</v>
      </c>
      <c r="HC272" s="169" t="s">
        <v>395</v>
      </c>
      <c r="HN272" s="169" t="s">
        <v>395</v>
      </c>
      <c r="HY272" s="169" t="s">
        <v>395</v>
      </c>
      <c r="IJ272" s="169" t="s">
        <v>395</v>
      </c>
      <c r="IU272" s="169" t="s">
        <v>395</v>
      </c>
    </row>
    <row r="273" spans="2:255">
      <c r="B273" s="169" t="s">
        <v>395</v>
      </c>
      <c r="M273" s="169" t="s">
        <v>395</v>
      </c>
      <c r="X273" s="169" t="s">
        <v>395</v>
      </c>
      <c r="AI273" s="169" t="s">
        <v>395</v>
      </c>
      <c r="AT273" s="169" t="s">
        <v>395</v>
      </c>
      <c r="BE273" s="169" t="s">
        <v>395</v>
      </c>
      <c r="BP273" s="169" t="s">
        <v>395</v>
      </c>
      <c r="CA273" s="169" t="s">
        <v>395</v>
      </c>
      <c r="CL273" s="169" t="s">
        <v>395</v>
      </c>
      <c r="CW273" s="169" t="s">
        <v>395</v>
      </c>
      <c r="DH273" s="169" t="s">
        <v>395</v>
      </c>
      <c r="DS273" s="169" t="s">
        <v>395</v>
      </c>
      <c r="ED273" s="169" t="s">
        <v>395</v>
      </c>
      <c r="EO273" s="169" t="s">
        <v>395</v>
      </c>
      <c r="EZ273" s="169" t="s">
        <v>395</v>
      </c>
      <c r="FK273" s="169" t="s">
        <v>395</v>
      </c>
      <c r="FV273" s="169" t="s">
        <v>395</v>
      </c>
      <c r="GG273" s="169" t="s">
        <v>395</v>
      </c>
      <c r="GR273" s="169" t="s">
        <v>395</v>
      </c>
      <c r="HC273" s="169" t="s">
        <v>395</v>
      </c>
      <c r="HN273" s="169" t="s">
        <v>395</v>
      </c>
      <c r="HY273" s="169" t="s">
        <v>395</v>
      </c>
      <c r="IJ273" s="169" t="s">
        <v>395</v>
      </c>
      <c r="IU273" s="169" t="s">
        <v>395</v>
      </c>
    </row>
    <row r="274" spans="2:255">
      <c r="B274" s="169" t="s">
        <v>395</v>
      </c>
      <c r="M274" s="169" t="s">
        <v>395</v>
      </c>
      <c r="X274" s="169" t="s">
        <v>395</v>
      </c>
      <c r="AI274" s="169" t="s">
        <v>395</v>
      </c>
      <c r="AT274" s="169" t="s">
        <v>395</v>
      </c>
      <c r="BE274" s="169" t="s">
        <v>395</v>
      </c>
      <c r="BP274" s="169" t="s">
        <v>395</v>
      </c>
      <c r="CA274" s="169" t="s">
        <v>395</v>
      </c>
      <c r="CL274" s="169" t="s">
        <v>395</v>
      </c>
      <c r="CW274" s="169" t="s">
        <v>395</v>
      </c>
      <c r="DH274" s="169" t="s">
        <v>395</v>
      </c>
      <c r="DS274" s="169" t="s">
        <v>395</v>
      </c>
      <c r="ED274" s="169" t="s">
        <v>395</v>
      </c>
      <c r="EO274" s="169" t="s">
        <v>395</v>
      </c>
      <c r="EZ274" s="169" t="s">
        <v>395</v>
      </c>
      <c r="FK274" s="169" t="s">
        <v>395</v>
      </c>
      <c r="FV274" s="169" t="s">
        <v>395</v>
      </c>
      <c r="GG274" s="169" t="s">
        <v>395</v>
      </c>
      <c r="GR274" s="169" t="s">
        <v>395</v>
      </c>
      <c r="HC274" s="169" t="s">
        <v>395</v>
      </c>
      <c r="HN274" s="169" t="s">
        <v>395</v>
      </c>
      <c r="HY274" s="169" t="s">
        <v>395</v>
      </c>
      <c r="IJ274" s="169" t="s">
        <v>395</v>
      </c>
      <c r="IU274" s="169" t="s">
        <v>395</v>
      </c>
    </row>
    <row r="275" spans="2:255">
      <c r="B275" s="169" t="s">
        <v>395</v>
      </c>
      <c r="M275" s="169" t="s">
        <v>395</v>
      </c>
      <c r="X275" s="169" t="s">
        <v>395</v>
      </c>
      <c r="AI275" s="169" t="s">
        <v>395</v>
      </c>
      <c r="AT275" s="169" t="s">
        <v>395</v>
      </c>
      <c r="BE275" s="169" t="s">
        <v>395</v>
      </c>
      <c r="BP275" s="169" t="s">
        <v>395</v>
      </c>
      <c r="CA275" s="169" t="s">
        <v>395</v>
      </c>
      <c r="CL275" s="169" t="s">
        <v>395</v>
      </c>
      <c r="CW275" s="169" t="s">
        <v>395</v>
      </c>
      <c r="DH275" s="169" t="s">
        <v>395</v>
      </c>
      <c r="DS275" s="169" t="s">
        <v>395</v>
      </c>
      <c r="ED275" s="169" t="s">
        <v>395</v>
      </c>
      <c r="EO275" s="169" t="s">
        <v>395</v>
      </c>
      <c r="EZ275" s="169" t="s">
        <v>395</v>
      </c>
      <c r="FK275" s="169" t="s">
        <v>395</v>
      </c>
      <c r="FV275" s="169" t="s">
        <v>395</v>
      </c>
      <c r="GG275" s="169" t="s">
        <v>395</v>
      </c>
      <c r="GR275" s="169" t="s">
        <v>395</v>
      </c>
      <c r="HC275" s="169" t="s">
        <v>395</v>
      </c>
      <c r="HN275" s="169" t="s">
        <v>395</v>
      </c>
      <c r="HY275" s="169" t="s">
        <v>395</v>
      </c>
      <c r="IJ275" s="169" t="s">
        <v>395</v>
      </c>
      <c r="IU275" s="169" t="s">
        <v>395</v>
      </c>
    </row>
    <row r="276" spans="2:255">
      <c r="B276" s="169" t="s">
        <v>395</v>
      </c>
      <c r="M276" s="169" t="s">
        <v>395</v>
      </c>
      <c r="X276" s="169" t="s">
        <v>395</v>
      </c>
      <c r="AI276" s="169" t="s">
        <v>395</v>
      </c>
      <c r="AT276" s="169" t="s">
        <v>395</v>
      </c>
      <c r="BE276" s="169" t="s">
        <v>395</v>
      </c>
      <c r="BP276" s="169" t="s">
        <v>395</v>
      </c>
      <c r="CA276" s="169" t="s">
        <v>395</v>
      </c>
      <c r="CL276" s="169" t="s">
        <v>395</v>
      </c>
      <c r="CW276" s="169" t="s">
        <v>395</v>
      </c>
      <c r="DH276" s="169" t="s">
        <v>395</v>
      </c>
      <c r="DS276" s="169" t="s">
        <v>395</v>
      </c>
      <c r="ED276" s="169" t="s">
        <v>395</v>
      </c>
      <c r="EO276" s="169" t="s">
        <v>395</v>
      </c>
      <c r="EZ276" s="169" t="s">
        <v>395</v>
      </c>
      <c r="FK276" s="169" t="s">
        <v>395</v>
      </c>
      <c r="FV276" s="169" t="s">
        <v>395</v>
      </c>
      <c r="GG276" s="169" t="s">
        <v>395</v>
      </c>
      <c r="GR276" s="169" t="s">
        <v>395</v>
      </c>
      <c r="HC276" s="169" t="s">
        <v>395</v>
      </c>
      <c r="HN276" s="169" t="s">
        <v>395</v>
      </c>
      <c r="HY276" s="169" t="s">
        <v>395</v>
      </c>
      <c r="IJ276" s="169" t="s">
        <v>395</v>
      </c>
      <c r="IU276" s="169" t="s">
        <v>395</v>
      </c>
    </row>
    <row r="277" spans="2:255">
      <c r="B277" s="169" t="s">
        <v>395</v>
      </c>
      <c r="M277" s="169" t="s">
        <v>395</v>
      </c>
      <c r="X277" s="169" t="s">
        <v>395</v>
      </c>
      <c r="AI277" s="169" t="s">
        <v>395</v>
      </c>
      <c r="AT277" s="169" t="s">
        <v>395</v>
      </c>
      <c r="BE277" s="169" t="s">
        <v>395</v>
      </c>
      <c r="BP277" s="169" t="s">
        <v>395</v>
      </c>
      <c r="CA277" s="169" t="s">
        <v>395</v>
      </c>
      <c r="CL277" s="169" t="s">
        <v>395</v>
      </c>
      <c r="CW277" s="169" t="s">
        <v>395</v>
      </c>
      <c r="DH277" s="169" t="s">
        <v>395</v>
      </c>
      <c r="DS277" s="169" t="s">
        <v>395</v>
      </c>
      <c r="ED277" s="169" t="s">
        <v>395</v>
      </c>
      <c r="EO277" s="169" t="s">
        <v>395</v>
      </c>
      <c r="EZ277" s="169" t="s">
        <v>395</v>
      </c>
      <c r="FK277" s="169" t="s">
        <v>395</v>
      </c>
      <c r="FV277" s="169" t="s">
        <v>395</v>
      </c>
      <c r="GG277" s="169" t="s">
        <v>395</v>
      </c>
      <c r="GR277" s="169" t="s">
        <v>395</v>
      </c>
      <c r="HC277" s="169" t="s">
        <v>395</v>
      </c>
      <c r="HN277" s="169" t="s">
        <v>395</v>
      </c>
      <c r="HY277" s="169" t="s">
        <v>395</v>
      </c>
      <c r="IJ277" s="169" t="s">
        <v>395</v>
      </c>
      <c r="IU277" s="169" t="s">
        <v>395</v>
      </c>
    </row>
    <row r="278" spans="2:255">
      <c r="B278" s="169" t="s">
        <v>395</v>
      </c>
      <c r="M278" s="169" t="s">
        <v>395</v>
      </c>
      <c r="X278" s="169" t="s">
        <v>395</v>
      </c>
      <c r="AI278" s="169" t="s">
        <v>395</v>
      </c>
      <c r="AT278" s="169" t="s">
        <v>395</v>
      </c>
      <c r="BE278" s="169" t="s">
        <v>395</v>
      </c>
      <c r="BP278" s="169" t="s">
        <v>395</v>
      </c>
      <c r="CA278" s="169" t="s">
        <v>395</v>
      </c>
      <c r="CL278" s="169" t="s">
        <v>395</v>
      </c>
      <c r="CW278" s="169" t="s">
        <v>395</v>
      </c>
      <c r="DH278" s="169" t="s">
        <v>395</v>
      </c>
      <c r="DS278" s="169" t="s">
        <v>395</v>
      </c>
      <c r="ED278" s="169" t="s">
        <v>395</v>
      </c>
      <c r="EO278" s="169" t="s">
        <v>395</v>
      </c>
      <c r="EZ278" s="169" t="s">
        <v>395</v>
      </c>
      <c r="FK278" s="169" t="s">
        <v>395</v>
      </c>
      <c r="FV278" s="169" t="s">
        <v>395</v>
      </c>
      <c r="GG278" s="169" t="s">
        <v>395</v>
      </c>
      <c r="GR278" s="169" t="s">
        <v>395</v>
      </c>
      <c r="HC278" s="169" t="s">
        <v>395</v>
      </c>
      <c r="HN278" s="169" t="s">
        <v>395</v>
      </c>
      <c r="HY278" s="169" t="s">
        <v>395</v>
      </c>
      <c r="IJ278" s="169" t="s">
        <v>395</v>
      </c>
      <c r="IU278" s="169" t="s">
        <v>395</v>
      </c>
    </row>
    <row r="279" spans="2:255">
      <c r="B279" s="169" t="s">
        <v>395</v>
      </c>
      <c r="M279" s="169" t="s">
        <v>395</v>
      </c>
      <c r="X279" s="169" t="s">
        <v>395</v>
      </c>
      <c r="AI279" s="169" t="s">
        <v>395</v>
      </c>
      <c r="AT279" s="169" t="s">
        <v>395</v>
      </c>
      <c r="BE279" s="169" t="s">
        <v>395</v>
      </c>
      <c r="BP279" s="169" t="s">
        <v>395</v>
      </c>
      <c r="CA279" s="169" t="s">
        <v>395</v>
      </c>
      <c r="CL279" s="169" t="s">
        <v>395</v>
      </c>
      <c r="CW279" s="169" t="s">
        <v>395</v>
      </c>
      <c r="DH279" s="169" t="s">
        <v>395</v>
      </c>
      <c r="DS279" s="169" t="s">
        <v>395</v>
      </c>
      <c r="ED279" s="169" t="s">
        <v>395</v>
      </c>
      <c r="EO279" s="169" t="s">
        <v>395</v>
      </c>
      <c r="EZ279" s="169" t="s">
        <v>395</v>
      </c>
      <c r="FK279" s="169" t="s">
        <v>395</v>
      </c>
      <c r="FV279" s="169" t="s">
        <v>395</v>
      </c>
      <c r="GG279" s="169" t="s">
        <v>395</v>
      </c>
      <c r="GR279" s="169" t="s">
        <v>395</v>
      </c>
      <c r="HC279" s="169" t="s">
        <v>395</v>
      </c>
      <c r="HN279" s="169" t="s">
        <v>395</v>
      </c>
      <c r="HY279" s="169" t="s">
        <v>395</v>
      </c>
      <c r="IJ279" s="169" t="s">
        <v>395</v>
      </c>
      <c r="IU279" s="169" t="s">
        <v>395</v>
      </c>
    </row>
    <row r="280" spans="2:255">
      <c r="B280" s="169" t="s">
        <v>395</v>
      </c>
      <c r="M280" s="169" t="s">
        <v>395</v>
      </c>
      <c r="X280" s="169" t="s">
        <v>395</v>
      </c>
      <c r="AI280" s="169" t="s">
        <v>395</v>
      </c>
      <c r="AT280" s="169" t="s">
        <v>395</v>
      </c>
      <c r="BE280" s="169" t="s">
        <v>395</v>
      </c>
      <c r="BP280" s="169" t="s">
        <v>395</v>
      </c>
      <c r="CA280" s="169" t="s">
        <v>395</v>
      </c>
      <c r="CL280" s="169" t="s">
        <v>395</v>
      </c>
      <c r="CW280" s="169" t="s">
        <v>395</v>
      </c>
      <c r="DH280" s="169" t="s">
        <v>395</v>
      </c>
      <c r="DS280" s="169" t="s">
        <v>395</v>
      </c>
      <c r="ED280" s="169" t="s">
        <v>395</v>
      </c>
      <c r="EO280" s="169" t="s">
        <v>395</v>
      </c>
      <c r="EZ280" s="169" t="s">
        <v>395</v>
      </c>
      <c r="FK280" s="169" t="s">
        <v>395</v>
      </c>
      <c r="FV280" s="169" t="s">
        <v>395</v>
      </c>
      <c r="GG280" s="169" t="s">
        <v>395</v>
      </c>
      <c r="GR280" s="169" t="s">
        <v>395</v>
      </c>
      <c r="HC280" s="169" t="s">
        <v>395</v>
      </c>
      <c r="HN280" s="169" t="s">
        <v>395</v>
      </c>
      <c r="HY280" s="169" t="s">
        <v>395</v>
      </c>
      <c r="IJ280" s="169" t="s">
        <v>395</v>
      </c>
      <c r="IU280" s="169" t="s">
        <v>395</v>
      </c>
    </row>
    <row r="281" spans="2:255">
      <c r="B281" s="169" t="s">
        <v>395</v>
      </c>
      <c r="M281" s="169" t="s">
        <v>395</v>
      </c>
      <c r="X281" s="169" t="s">
        <v>395</v>
      </c>
      <c r="AI281" s="169" t="s">
        <v>395</v>
      </c>
      <c r="AT281" s="169" t="s">
        <v>395</v>
      </c>
      <c r="BE281" s="169" t="s">
        <v>395</v>
      </c>
      <c r="BP281" s="169" t="s">
        <v>395</v>
      </c>
      <c r="CA281" s="169" t="s">
        <v>395</v>
      </c>
      <c r="CL281" s="169" t="s">
        <v>395</v>
      </c>
      <c r="CW281" s="169" t="s">
        <v>395</v>
      </c>
      <c r="DH281" s="169" t="s">
        <v>395</v>
      </c>
      <c r="DS281" s="169" t="s">
        <v>395</v>
      </c>
      <c r="ED281" s="169" t="s">
        <v>395</v>
      </c>
      <c r="EO281" s="169" t="s">
        <v>395</v>
      </c>
      <c r="EZ281" s="169" t="s">
        <v>395</v>
      </c>
      <c r="FK281" s="169" t="s">
        <v>395</v>
      </c>
      <c r="FV281" s="169" t="s">
        <v>395</v>
      </c>
      <c r="GG281" s="169" t="s">
        <v>395</v>
      </c>
      <c r="GR281" s="169" t="s">
        <v>395</v>
      </c>
      <c r="HC281" s="169" t="s">
        <v>395</v>
      </c>
      <c r="HN281" s="169" t="s">
        <v>395</v>
      </c>
      <c r="HY281" s="169" t="s">
        <v>395</v>
      </c>
      <c r="IJ281" s="169" t="s">
        <v>395</v>
      </c>
      <c r="IU281" s="169" t="s">
        <v>395</v>
      </c>
    </row>
    <row r="282" spans="2:255">
      <c r="B282" s="169" t="s">
        <v>395</v>
      </c>
      <c r="M282" s="169" t="s">
        <v>395</v>
      </c>
      <c r="X282" s="169" t="s">
        <v>395</v>
      </c>
      <c r="AI282" s="169" t="s">
        <v>395</v>
      </c>
      <c r="AT282" s="169" t="s">
        <v>395</v>
      </c>
      <c r="BE282" s="169" t="s">
        <v>395</v>
      </c>
      <c r="BP282" s="169" t="s">
        <v>395</v>
      </c>
      <c r="CA282" s="169" t="s">
        <v>395</v>
      </c>
      <c r="CL282" s="169" t="s">
        <v>395</v>
      </c>
      <c r="CW282" s="169" t="s">
        <v>395</v>
      </c>
      <c r="DH282" s="169" t="s">
        <v>395</v>
      </c>
      <c r="DS282" s="169" t="s">
        <v>395</v>
      </c>
      <c r="ED282" s="169" t="s">
        <v>395</v>
      </c>
      <c r="EO282" s="169" t="s">
        <v>395</v>
      </c>
      <c r="EZ282" s="169" t="s">
        <v>395</v>
      </c>
      <c r="FK282" s="169" t="s">
        <v>395</v>
      </c>
      <c r="FV282" s="169" t="s">
        <v>395</v>
      </c>
      <c r="GG282" s="169" t="s">
        <v>395</v>
      </c>
      <c r="GR282" s="169" t="s">
        <v>395</v>
      </c>
      <c r="HC282" s="169" t="s">
        <v>395</v>
      </c>
      <c r="HN282" s="169" t="s">
        <v>395</v>
      </c>
      <c r="HY282" s="169" t="s">
        <v>395</v>
      </c>
      <c r="IJ282" s="169" t="s">
        <v>395</v>
      </c>
      <c r="IU282" s="169" t="s">
        <v>395</v>
      </c>
    </row>
    <row r="283" spans="2:255">
      <c r="B283" s="169" t="s">
        <v>395</v>
      </c>
      <c r="M283" s="169" t="s">
        <v>395</v>
      </c>
      <c r="X283" s="169" t="s">
        <v>395</v>
      </c>
      <c r="AI283" s="169" t="s">
        <v>395</v>
      </c>
      <c r="AT283" s="169" t="s">
        <v>395</v>
      </c>
      <c r="BE283" s="169" t="s">
        <v>395</v>
      </c>
      <c r="BP283" s="169" t="s">
        <v>395</v>
      </c>
      <c r="CA283" s="169" t="s">
        <v>395</v>
      </c>
      <c r="CL283" s="169" t="s">
        <v>395</v>
      </c>
      <c r="CW283" s="169" t="s">
        <v>395</v>
      </c>
      <c r="DH283" s="169" t="s">
        <v>395</v>
      </c>
      <c r="DS283" s="169" t="s">
        <v>395</v>
      </c>
      <c r="ED283" s="169" t="s">
        <v>395</v>
      </c>
      <c r="EO283" s="169" t="s">
        <v>395</v>
      </c>
      <c r="EZ283" s="169" t="s">
        <v>395</v>
      </c>
      <c r="FK283" s="169" t="s">
        <v>395</v>
      </c>
      <c r="FV283" s="169" t="s">
        <v>395</v>
      </c>
      <c r="GG283" s="169" t="s">
        <v>395</v>
      </c>
      <c r="GR283" s="169" t="s">
        <v>395</v>
      </c>
      <c r="HC283" s="169" t="s">
        <v>395</v>
      </c>
      <c r="HN283" s="169" t="s">
        <v>395</v>
      </c>
      <c r="HY283" s="169" t="s">
        <v>395</v>
      </c>
      <c r="IJ283" s="169" t="s">
        <v>395</v>
      </c>
      <c r="IU283" s="169" t="s">
        <v>395</v>
      </c>
    </row>
    <row r="284" spans="2:255">
      <c r="B284" s="169" t="s">
        <v>395</v>
      </c>
      <c r="M284" s="169" t="s">
        <v>395</v>
      </c>
      <c r="X284" s="169" t="s">
        <v>395</v>
      </c>
      <c r="AI284" s="169" t="s">
        <v>395</v>
      </c>
      <c r="AT284" s="169" t="s">
        <v>395</v>
      </c>
      <c r="BE284" s="169" t="s">
        <v>395</v>
      </c>
      <c r="BP284" s="169" t="s">
        <v>395</v>
      </c>
      <c r="CA284" s="169" t="s">
        <v>395</v>
      </c>
      <c r="CL284" s="169" t="s">
        <v>395</v>
      </c>
      <c r="CW284" s="169" t="s">
        <v>395</v>
      </c>
      <c r="DH284" s="169" t="s">
        <v>395</v>
      </c>
      <c r="DS284" s="169" t="s">
        <v>395</v>
      </c>
      <c r="ED284" s="169" t="s">
        <v>395</v>
      </c>
      <c r="EO284" s="169" t="s">
        <v>395</v>
      </c>
      <c r="EZ284" s="169" t="s">
        <v>395</v>
      </c>
      <c r="FK284" s="169" t="s">
        <v>395</v>
      </c>
      <c r="FV284" s="169" t="s">
        <v>395</v>
      </c>
      <c r="GG284" s="169" t="s">
        <v>395</v>
      </c>
      <c r="GR284" s="169" t="s">
        <v>395</v>
      </c>
      <c r="HC284" s="169" t="s">
        <v>395</v>
      </c>
      <c r="HN284" s="169" t="s">
        <v>395</v>
      </c>
      <c r="HY284" s="169" t="s">
        <v>395</v>
      </c>
      <c r="IJ284" s="169" t="s">
        <v>395</v>
      </c>
      <c r="IU284" s="169" t="s">
        <v>395</v>
      </c>
    </row>
    <row r="285" spans="2:255">
      <c r="B285" s="169" t="s">
        <v>395</v>
      </c>
      <c r="M285" s="169" t="s">
        <v>395</v>
      </c>
      <c r="X285" s="169" t="s">
        <v>395</v>
      </c>
      <c r="AI285" s="169" t="s">
        <v>395</v>
      </c>
      <c r="AT285" s="169" t="s">
        <v>395</v>
      </c>
      <c r="BE285" s="169" t="s">
        <v>395</v>
      </c>
      <c r="BP285" s="169" t="s">
        <v>395</v>
      </c>
      <c r="CA285" s="169" t="s">
        <v>395</v>
      </c>
      <c r="CL285" s="169" t="s">
        <v>395</v>
      </c>
      <c r="CW285" s="169" t="s">
        <v>395</v>
      </c>
      <c r="DH285" s="169" t="s">
        <v>395</v>
      </c>
      <c r="DS285" s="169" t="s">
        <v>395</v>
      </c>
      <c r="ED285" s="169" t="s">
        <v>395</v>
      </c>
      <c r="EO285" s="169" t="s">
        <v>395</v>
      </c>
      <c r="EZ285" s="169" t="s">
        <v>395</v>
      </c>
      <c r="FK285" s="169" t="s">
        <v>395</v>
      </c>
      <c r="FV285" s="169" t="s">
        <v>395</v>
      </c>
      <c r="GG285" s="169" t="s">
        <v>395</v>
      </c>
      <c r="GR285" s="169" t="s">
        <v>395</v>
      </c>
      <c r="HC285" s="169" t="s">
        <v>395</v>
      </c>
      <c r="HN285" s="169" t="s">
        <v>395</v>
      </c>
      <c r="HY285" s="169" t="s">
        <v>395</v>
      </c>
      <c r="IJ285" s="169" t="s">
        <v>395</v>
      </c>
      <c r="IU285" s="169" t="s">
        <v>395</v>
      </c>
    </row>
    <row r="286" spans="2:255">
      <c r="B286" s="169" t="s">
        <v>395</v>
      </c>
      <c r="M286" s="169" t="s">
        <v>395</v>
      </c>
      <c r="X286" s="169" t="s">
        <v>395</v>
      </c>
      <c r="AI286" s="169" t="s">
        <v>395</v>
      </c>
      <c r="AT286" s="169" t="s">
        <v>395</v>
      </c>
      <c r="BE286" s="169" t="s">
        <v>395</v>
      </c>
      <c r="BP286" s="169" t="s">
        <v>395</v>
      </c>
      <c r="CA286" s="169" t="s">
        <v>395</v>
      </c>
      <c r="CL286" s="169" t="s">
        <v>395</v>
      </c>
      <c r="CW286" s="169" t="s">
        <v>395</v>
      </c>
      <c r="DH286" s="169" t="s">
        <v>395</v>
      </c>
      <c r="DS286" s="169" t="s">
        <v>395</v>
      </c>
      <c r="ED286" s="169" t="s">
        <v>395</v>
      </c>
      <c r="EO286" s="169" t="s">
        <v>395</v>
      </c>
      <c r="EZ286" s="169" t="s">
        <v>395</v>
      </c>
      <c r="FK286" s="169" t="s">
        <v>395</v>
      </c>
      <c r="FV286" s="169" t="s">
        <v>395</v>
      </c>
      <c r="GG286" s="169" t="s">
        <v>395</v>
      </c>
      <c r="GR286" s="169" t="s">
        <v>395</v>
      </c>
      <c r="HC286" s="169" t="s">
        <v>395</v>
      </c>
      <c r="HN286" s="169" t="s">
        <v>395</v>
      </c>
      <c r="HY286" s="169" t="s">
        <v>395</v>
      </c>
      <c r="IJ286" s="169" t="s">
        <v>395</v>
      </c>
      <c r="IU286" s="169" t="s">
        <v>395</v>
      </c>
    </row>
    <row r="287" spans="2:255">
      <c r="B287" s="169" t="s">
        <v>395</v>
      </c>
      <c r="M287" s="169" t="s">
        <v>395</v>
      </c>
      <c r="X287" s="169" t="s">
        <v>395</v>
      </c>
      <c r="AI287" s="169" t="s">
        <v>395</v>
      </c>
      <c r="AT287" s="169" t="s">
        <v>395</v>
      </c>
      <c r="BE287" s="169" t="s">
        <v>395</v>
      </c>
      <c r="BP287" s="169" t="s">
        <v>395</v>
      </c>
      <c r="CA287" s="169" t="s">
        <v>395</v>
      </c>
      <c r="CL287" s="169" t="s">
        <v>395</v>
      </c>
      <c r="CW287" s="169" t="s">
        <v>395</v>
      </c>
      <c r="DH287" s="169" t="s">
        <v>395</v>
      </c>
      <c r="DS287" s="169" t="s">
        <v>395</v>
      </c>
      <c r="ED287" s="169" t="s">
        <v>395</v>
      </c>
      <c r="EO287" s="169" t="s">
        <v>395</v>
      </c>
      <c r="EZ287" s="169" t="s">
        <v>395</v>
      </c>
      <c r="FK287" s="169" t="s">
        <v>395</v>
      </c>
      <c r="FV287" s="169" t="s">
        <v>395</v>
      </c>
      <c r="GG287" s="169" t="s">
        <v>395</v>
      </c>
      <c r="GR287" s="169" t="s">
        <v>395</v>
      </c>
      <c r="HC287" s="169" t="s">
        <v>395</v>
      </c>
      <c r="HN287" s="169" t="s">
        <v>395</v>
      </c>
      <c r="HY287" s="169" t="s">
        <v>395</v>
      </c>
      <c r="IJ287" s="169" t="s">
        <v>395</v>
      </c>
      <c r="IU287" s="169" t="s">
        <v>395</v>
      </c>
    </row>
    <row r="288" spans="2:255">
      <c r="B288" s="169" t="s">
        <v>395</v>
      </c>
      <c r="M288" s="169" t="s">
        <v>395</v>
      </c>
      <c r="X288" s="169" t="s">
        <v>395</v>
      </c>
      <c r="AI288" s="169" t="s">
        <v>395</v>
      </c>
      <c r="AT288" s="169" t="s">
        <v>395</v>
      </c>
      <c r="BE288" s="169" t="s">
        <v>395</v>
      </c>
      <c r="BP288" s="169" t="s">
        <v>395</v>
      </c>
      <c r="CA288" s="169" t="s">
        <v>395</v>
      </c>
      <c r="CL288" s="169" t="s">
        <v>395</v>
      </c>
      <c r="CW288" s="169" t="s">
        <v>395</v>
      </c>
      <c r="DH288" s="169" t="s">
        <v>395</v>
      </c>
      <c r="DS288" s="169" t="s">
        <v>395</v>
      </c>
      <c r="ED288" s="169" t="s">
        <v>395</v>
      </c>
      <c r="EO288" s="169" t="s">
        <v>395</v>
      </c>
      <c r="EZ288" s="169" t="s">
        <v>395</v>
      </c>
      <c r="FK288" s="169" t="s">
        <v>395</v>
      </c>
      <c r="FV288" s="169" t="s">
        <v>395</v>
      </c>
      <c r="GG288" s="169" t="s">
        <v>395</v>
      </c>
      <c r="GR288" s="169" t="s">
        <v>395</v>
      </c>
      <c r="HC288" s="169" t="s">
        <v>395</v>
      </c>
      <c r="HN288" s="169" t="s">
        <v>395</v>
      </c>
      <c r="HY288" s="169" t="s">
        <v>395</v>
      </c>
      <c r="IJ288" s="169" t="s">
        <v>395</v>
      </c>
      <c r="IU288" s="169" t="s">
        <v>395</v>
      </c>
    </row>
    <row r="289" spans="2:255">
      <c r="B289" s="169" t="s">
        <v>395</v>
      </c>
      <c r="M289" s="169" t="s">
        <v>395</v>
      </c>
      <c r="X289" s="169" t="s">
        <v>395</v>
      </c>
      <c r="AI289" s="169" t="s">
        <v>395</v>
      </c>
      <c r="AT289" s="169" t="s">
        <v>395</v>
      </c>
      <c r="BE289" s="169" t="s">
        <v>395</v>
      </c>
      <c r="BP289" s="169" t="s">
        <v>395</v>
      </c>
      <c r="CA289" s="169" t="s">
        <v>395</v>
      </c>
      <c r="CL289" s="169" t="s">
        <v>395</v>
      </c>
      <c r="CW289" s="169" t="s">
        <v>395</v>
      </c>
      <c r="DH289" s="169" t="s">
        <v>395</v>
      </c>
      <c r="DS289" s="169" t="s">
        <v>395</v>
      </c>
      <c r="ED289" s="169" t="s">
        <v>395</v>
      </c>
      <c r="EO289" s="169" t="s">
        <v>395</v>
      </c>
      <c r="EZ289" s="169" t="s">
        <v>395</v>
      </c>
      <c r="FK289" s="169" t="s">
        <v>395</v>
      </c>
      <c r="FV289" s="169" t="s">
        <v>395</v>
      </c>
      <c r="GG289" s="169" t="s">
        <v>395</v>
      </c>
      <c r="GR289" s="169" t="s">
        <v>395</v>
      </c>
      <c r="HC289" s="169" t="s">
        <v>395</v>
      </c>
      <c r="HN289" s="169" t="s">
        <v>395</v>
      </c>
      <c r="HY289" s="169" t="s">
        <v>395</v>
      </c>
      <c r="IJ289" s="169" t="s">
        <v>395</v>
      </c>
      <c r="IU289" s="169" t="s">
        <v>395</v>
      </c>
    </row>
    <row r="290" spans="2:255">
      <c r="B290" s="169" t="s">
        <v>395</v>
      </c>
      <c r="M290" s="169" t="s">
        <v>395</v>
      </c>
      <c r="X290" s="169" t="s">
        <v>395</v>
      </c>
      <c r="AI290" s="169" t="s">
        <v>395</v>
      </c>
      <c r="AT290" s="169" t="s">
        <v>395</v>
      </c>
      <c r="BE290" s="169" t="s">
        <v>395</v>
      </c>
      <c r="BP290" s="169" t="s">
        <v>395</v>
      </c>
      <c r="CA290" s="169" t="s">
        <v>395</v>
      </c>
      <c r="CL290" s="169" t="s">
        <v>395</v>
      </c>
      <c r="CW290" s="169" t="s">
        <v>395</v>
      </c>
      <c r="DH290" s="169" t="s">
        <v>395</v>
      </c>
      <c r="DS290" s="169" t="s">
        <v>395</v>
      </c>
      <c r="ED290" s="169" t="s">
        <v>395</v>
      </c>
      <c r="EO290" s="169" t="s">
        <v>395</v>
      </c>
      <c r="EZ290" s="169" t="s">
        <v>395</v>
      </c>
      <c r="FK290" s="169" t="s">
        <v>395</v>
      </c>
      <c r="FV290" s="169" t="s">
        <v>395</v>
      </c>
      <c r="GG290" s="169" t="s">
        <v>395</v>
      </c>
      <c r="GR290" s="169" t="s">
        <v>395</v>
      </c>
      <c r="HC290" s="169" t="s">
        <v>395</v>
      </c>
      <c r="HN290" s="169" t="s">
        <v>395</v>
      </c>
      <c r="HY290" s="169" t="s">
        <v>395</v>
      </c>
      <c r="IJ290" s="169" t="s">
        <v>395</v>
      </c>
      <c r="IU290" s="169" t="s">
        <v>395</v>
      </c>
    </row>
    <row r="291" spans="2:255">
      <c r="B291" s="169" t="s">
        <v>395</v>
      </c>
      <c r="M291" s="169" t="s">
        <v>395</v>
      </c>
      <c r="X291" s="169" t="s">
        <v>395</v>
      </c>
      <c r="AI291" s="169" t="s">
        <v>395</v>
      </c>
      <c r="AT291" s="169" t="s">
        <v>395</v>
      </c>
      <c r="BE291" s="169" t="s">
        <v>395</v>
      </c>
      <c r="BP291" s="169" t="s">
        <v>395</v>
      </c>
      <c r="CA291" s="169" t="s">
        <v>395</v>
      </c>
      <c r="CL291" s="169" t="s">
        <v>395</v>
      </c>
      <c r="CW291" s="169" t="s">
        <v>395</v>
      </c>
      <c r="DH291" s="169" t="s">
        <v>395</v>
      </c>
      <c r="DS291" s="169" t="s">
        <v>395</v>
      </c>
      <c r="ED291" s="169" t="s">
        <v>395</v>
      </c>
      <c r="EO291" s="169" t="s">
        <v>395</v>
      </c>
      <c r="EZ291" s="169" t="s">
        <v>395</v>
      </c>
      <c r="FK291" s="169" t="s">
        <v>395</v>
      </c>
      <c r="FV291" s="169" t="s">
        <v>395</v>
      </c>
      <c r="GG291" s="169" t="s">
        <v>395</v>
      </c>
      <c r="GR291" s="169" t="s">
        <v>395</v>
      </c>
      <c r="HC291" s="169" t="s">
        <v>395</v>
      </c>
      <c r="HN291" s="169" t="s">
        <v>395</v>
      </c>
      <c r="HY291" s="169" t="s">
        <v>395</v>
      </c>
      <c r="IJ291" s="169" t="s">
        <v>395</v>
      </c>
      <c r="IU291" s="169" t="s">
        <v>395</v>
      </c>
    </row>
    <row r="292" spans="2:255">
      <c r="B292" s="169" t="s">
        <v>395</v>
      </c>
      <c r="M292" s="169" t="s">
        <v>395</v>
      </c>
      <c r="X292" s="169" t="s">
        <v>395</v>
      </c>
      <c r="AI292" s="169" t="s">
        <v>395</v>
      </c>
      <c r="AT292" s="169" t="s">
        <v>395</v>
      </c>
      <c r="BE292" s="169" t="s">
        <v>395</v>
      </c>
      <c r="BP292" s="169" t="s">
        <v>395</v>
      </c>
      <c r="CA292" s="169" t="s">
        <v>395</v>
      </c>
      <c r="CL292" s="169" t="s">
        <v>395</v>
      </c>
      <c r="CW292" s="169" t="s">
        <v>395</v>
      </c>
      <c r="DH292" s="169" t="s">
        <v>395</v>
      </c>
      <c r="DS292" s="169" t="s">
        <v>395</v>
      </c>
      <c r="ED292" s="169" t="s">
        <v>395</v>
      </c>
      <c r="EO292" s="169" t="s">
        <v>395</v>
      </c>
      <c r="EZ292" s="169" t="s">
        <v>395</v>
      </c>
      <c r="FK292" s="169" t="s">
        <v>395</v>
      </c>
      <c r="FV292" s="169" t="s">
        <v>395</v>
      </c>
      <c r="GG292" s="169" t="s">
        <v>395</v>
      </c>
      <c r="GR292" s="169" t="s">
        <v>395</v>
      </c>
      <c r="HC292" s="169" t="s">
        <v>395</v>
      </c>
      <c r="HN292" s="169" t="s">
        <v>395</v>
      </c>
      <c r="HY292" s="169" t="s">
        <v>395</v>
      </c>
      <c r="IJ292" s="169" t="s">
        <v>395</v>
      </c>
      <c r="IU292" s="169" t="s">
        <v>395</v>
      </c>
    </row>
    <row r="293" spans="2:255">
      <c r="B293" s="169" t="s">
        <v>395</v>
      </c>
      <c r="M293" s="169" t="s">
        <v>395</v>
      </c>
      <c r="X293" s="169" t="s">
        <v>395</v>
      </c>
      <c r="AI293" s="169" t="s">
        <v>395</v>
      </c>
      <c r="AT293" s="169" t="s">
        <v>395</v>
      </c>
      <c r="BE293" s="169" t="s">
        <v>395</v>
      </c>
      <c r="BP293" s="169" t="s">
        <v>395</v>
      </c>
      <c r="CA293" s="169" t="s">
        <v>395</v>
      </c>
      <c r="CL293" s="169" t="s">
        <v>395</v>
      </c>
      <c r="CW293" s="169" t="s">
        <v>395</v>
      </c>
      <c r="DH293" s="169" t="s">
        <v>395</v>
      </c>
      <c r="DS293" s="169" t="s">
        <v>395</v>
      </c>
      <c r="ED293" s="169" t="s">
        <v>395</v>
      </c>
      <c r="EO293" s="169" t="s">
        <v>395</v>
      </c>
      <c r="EZ293" s="169" t="s">
        <v>395</v>
      </c>
      <c r="FK293" s="169" t="s">
        <v>395</v>
      </c>
      <c r="FV293" s="169" t="s">
        <v>395</v>
      </c>
      <c r="GG293" s="169" t="s">
        <v>395</v>
      </c>
      <c r="GR293" s="169" t="s">
        <v>395</v>
      </c>
      <c r="HC293" s="169" t="s">
        <v>395</v>
      </c>
      <c r="HN293" s="169" t="s">
        <v>395</v>
      </c>
      <c r="HY293" s="169" t="s">
        <v>395</v>
      </c>
      <c r="IJ293" s="169" t="s">
        <v>395</v>
      </c>
      <c r="IU293" s="169" t="s">
        <v>395</v>
      </c>
    </row>
    <row r="294" spans="2:255">
      <c r="B294" s="169" t="s">
        <v>395</v>
      </c>
      <c r="M294" s="169" t="s">
        <v>395</v>
      </c>
      <c r="X294" s="169" t="s">
        <v>395</v>
      </c>
      <c r="AI294" s="169" t="s">
        <v>395</v>
      </c>
      <c r="AT294" s="169" t="s">
        <v>395</v>
      </c>
      <c r="BE294" s="169" t="s">
        <v>395</v>
      </c>
      <c r="BP294" s="169" t="s">
        <v>395</v>
      </c>
      <c r="CA294" s="169" t="s">
        <v>395</v>
      </c>
      <c r="CL294" s="169" t="s">
        <v>395</v>
      </c>
      <c r="CW294" s="169" t="s">
        <v>395</v>
      </c>
      <c r="DH294" s="169" t="s">
        <v>395</v>
      </c>
      <c r="DS294" s="169" t="s">
        <v>395</v>
      </c>
      <c r="ED294" s="169" t="s">
        <v>395</v>
      </c>
      <c r="EO294" s="169" t="s">
        <v>395</v>
      </c>
      <c r="EZ294" s="169" t="s">
        <v>395</v>
      </c>
      <c r="FK294" s="169" t="s">
        <v>395</v>
      </c>
      <c r="FV294" s="169" t="s">
        <v>395</v>
      </c>
      <c r="GG294" s="169" t="s">
        <v>395</v>
      </c>
      <c r="GR294" s="169" t="s">
        <v>395</v>
      </c>
      <c r="HC294" s="169" t="s">
        <v>395</v>
      </c>
      <c r="HN294" s="169" t="s">
        <v>395</v>
      </c>
      <c r="HY294" s="169" t="s">
        <v>395</v>
      </c>
      <c r="IJ294" s="169" t="s">
        <v>395</v>
      </c>
      <c r="IU294" s="169" t="s">
        <v>395</v>
      </c>
    </row>
    <row r="295" spans="2:255">
      <c r="B295" s="169" t="s">
        <v>395</v>
      </c>
      <c r="M295" s="169" t="s">
        <v>395</v>
      </c>
      <c r="X295" s="169" t="s">
        <v>395</v>
      </c>
      <c r="AI295" s="169" t="s">
        <v>395</v>
      </c>
      <c r="AT295" s="169" t="s">
        <v>395</v>
      </c>
      <c r="BE295" s="169" t="s">
        <v>395</v>
      </c>
      <c r="BP295" s="169" t="s">
        <v>395</v>
      </c>
      <c r="CA295" s="169" t="s">
        <v>395</v>
      </c>
      <c r="CL295" s="169" t="s">
        <v>395</v>
      </c>
      <c r="CW295" s="169" t="s">
        <v>395</v>
      </c>
      <c r="DH295" s="169" t="s">
        <v>395</v>
      </c>
      <c r="DS295" s="169" t="s">
        <v>395</v>
      </c>
      <c r="ED295" s="169" t="s">
        <v>395</v>
      </c>
      <c r="EO295" s="169" t="s">
        <v>395</v>
      </c>
      <c r="EZ295" s="169" t="s">
        <v>395</v>
      </c>
      <c r="FK295" s="169" t="s">
        <v>395</v>
      </c>
      <c r="FV295" s="169" t="s">
        <v>395</v>
      </c>
      <c r="GG295" s="169" t="s">
        <v>395</v>
      </c>
      <c r="GR295" s="169" t="s">
        <v>395</v>
      </c>
      <c r="HC295" s="169" t="s">
        <v>395</v>
      </c>
      <c r="HN295" s="169" t="s">
        <v>395</v>
      </c>
      <c r="HY295" s="169" t="s">
        <v>395</v>
      </c>
      <c r="IJ295" s="169" t="s">
        <v>395</v>
      </c>
      <c r="IU295" s="169" t="s">
        <v>395</v>
      </c>
    </row>
    <row r="296" spans="2:255">
      <c r="B296" s="169" t="s">
        <v>395</v>
      </c>
      <c r="M296" s="169" t="s">
        <v>395</v>
      </c>
      <c r="X296" s="169" t="s">
        <v>395</v>
      </c>
      <c r="AI296" s="169" t="s">
        <v>395</v>
      </c>
      <c r="AT296" s="169" t="s">
        <v>395</v>
      </c>
      <c r="BE296" s="169" t="s">
        <v>395</v>
      </c>
      <c r="BP296" s="169" t="s">
        <v>395</v>
      </c>
      <c r="CA296" s="169" t="s">
        <v>395</v>
      </c>
      <c r="CL296" s="169" t="s">
        <v>395</v>
      </c>
      <c r="CW296" s="169" t="s">
        <v>395</v>
      </c>
      <c r="DH296" s="169" t="s">
        <v>395</v>
      </c>
      <c r="DS296" s="169" t="s">
        <v>395</v>
      </c>
      <c r="ED296" s="169" t="s">
        <v>395</v>
      </c>
      <c r="EO296" s="169" t="s">
        <v>395</v>
      </c>
      <c r="EZ296" s="169" t="s">
        <v>395</v>
      </c>
      <c r="FK296" s="169" t="s">
        <v>395</v>
      </c>
      <c r="FV296" s="169" t="s">
        <v>395</v>
      </c>
      <c r="GG296" s="169" t="s">
        <v>395</v>
      </c>
      <c r="GR296" s="169" t="s">
        <v>395</v>
      </c>
      <c r="HC296" s="169" t="s">
        <v>395</v>
      </c>
      <c r="HN296" s="169" t="s">
        <v>395</v>
      </c>
      <c r="HY296" s="169" t="s">
        <v>395</v>
      </c>
      <c r="IJ296" s="169" t="s">
        <v>395</v>
      </c>
      <c r="IU296" s="169" t="s">
        <v>395</v>
      </c>
    </row>
    <row r="297" spans="2:255">
      <c r="B297" s="169" t="s">
        <v>395</v>
      </c>
      <c r="M297" s="169" t="s">
        <v>395</v>
      </c>
      <c r="X297" s="169" t="s">
        <v>395</v>
      </c>
      <c r="AI297" s="169" t="s">
        <v>395</v>
      </c>
      <c r="AT297" s="169" t="s">
        <v>395</v>
      </c>
      <c r="BE297" s="169" t="s">
        <v>395</v>
      </c>
      <c r="BP297" s="169" t="s">
        <v>395</v>
      </c>
      <c r="CA297" s="169" t="s">
        <v>395</v>
      </c>
      <c r="CL297" s="169" t="s">
        <v>395</v>
      </c>
      <c r="CW297" s="169" t="s">
        <v>395</v>
      </c>
      <c r="DH297" s="169" t="s">
        <v>395</v>
      </c>
      <c r="DS297" s="169" t="s">
        <v>395</v>
      </c>
      <c r="ED297" s="169" t="s">
        <v>395</v>
      </c>
      <c r="EO297" s="169" t="s">
        <v>395</v>
      </c>
      <c r="EZ297" s="169" t="s">
        <v>395</v>
      </c>
      <c r="FK297" s="169" t="s">
        <v>395</v>
      </c>
      <c r="FV297" s="169" t="s">
        <v>395</v>
      </c>
      <c r="GG297" s="169" t="s">
        <v>395</v>
      </c>
      <c r="GR297" s="169" t="s">
        <v>395</v>
      </c>
      <c r="HC297" s="169" t="s">
        <v>395</v>
      </c>
      <c r="HN297" s="169" t="s">
        <v>395</v>
      </c>
      <c r="HY297" s="169" t="s">
        <v>395</v>
      </c>
      <c r="IJ297" s="169" t="s">
        <v>395</v>
      </c>
      <c r="IU297" s="169" t="s">
        <v>395</v>
      </c>
    </row>
    <row r="298" spans="2:255">
      <c r="B298" s="169" t="s">
        <v>395</v>
      </c>
      <c r="M298" s="169" t="s">
        <v>395</v>
      </c>
      <c r="X298" s="169" t="s">
        <v>395</v>
      </c>
      <c r="AI298" s="169" t="s">
        <v>395</v>
      </c>
      <c r="AT298" s="169" t="s">
        <v>395</v>
      </c>
      <c r="BE298" s="169" t="s">
        <v>395</v>
      </c>
      <c r="BP298" s="169" t="s">
        <v>395</v>
      </c>
      <c r="CA298" s="169" t="s">
        <v>395</v>
      </c>
      <c r="CL298" s="169" t="s">
        <v>395</v>
      </c>
      <c r="CW298" s="169" t="s">
        <v>395</v>
      </c>
      <c r="DH298" s="169" t="s">
        <v>395</v>
      </c>
      <c r="DS298" s="169" t="s">
        <v>395</v>
      </c>
      <c r="ED298" s="169" t="s">
        <v>395</v>
      </c>
      <c r="EO298" s="169" t="s">
        <v>395</v>
      </c>
      <c r="EZ298" s="169" t="s">
        <v>395</v>
      </c>
      <c r="FK298" s="169" t="s">
        <v>395</v>
      </c>
      <c r="FV298" s="169" t="s">
        <v>395</v>
      </c>
      <c r="GG298" s="169" t="s">
        <v>395</v>
      </c>
      <c r="GR298" s="169" t="s">
        <v>395</v>
      </c>
      <c r="HC298" s="169" t="s">
        <v>395</v>
      </c>
      <c r="HN298" s="169" t="s">
        <v>395</v>
      </c>
      <c r="HY298" s="169" t="s">
        <v>395</v>
      </c>
      <c r="IJ298" s="169" t="s">
        <v>395</v>
      </c>
      <c r="IU298" s="169" t="s">
        <v>395</v>
      </c>
    </row>
    <row r="299" spans="2:255">
      <c r="B299" s="169" t="s">
        <v>395</v>
      </c>
      <c r="M299" s="169" t="s">
        <v>395</v>
      </c>
      <c r="X299" s="169" t="s">
        <v>395</v>
      </c>
      <c r="AI299" s="169" t="s">
        <v>395</v>
      </c>
      <c r="AT299" s="169" t="s">
        <v>395</v>
      </c>
      <c r="BE299" s="169" t="s">
        <v>395</v>
      </c>
      <c r="BP299" s="169" t="s">
        <v>395</v>
      </c>
      <c r="CA299" s="169" t="s">
        <v>395</v>
      </c>
      <c r="CL299" s="169" t="s">
        <v>395</v>
      </c>
      <c r="CW299" s="169" t="s">
        <v>395</v>
      </c>
      <c r="DH299" s="169" t="s">
        <v>395</v>
      </c>
      <c r="DS299" s="169" t="s">
        <v>395</v>
      </c>
      <c r="ED299" s="169" t="s">
        <v>395</v>
      </c>
      <c r="EO299" s="169" t="s">
        <v>395</v>
      </c>
      <c r="EZ299" s="169" t="s">
        <v>395</v>
      </c>
      <c r="FK299" s="169" t="s">
        <v>395</v>
      </c>
      <c r="FV299" s="169" t="s">
        <v>395</v>
      </c>
      <c r="GG299" s="169" t="s">
        <v>395</v>
      </c>
      <c r="GR299" s="169" t="s">
        <v>395</v>
      </c>
      <c r="HC299" s="169" t="s">
        <v>395</v>
      </c>
      <c r="HN299" s="169" t="s">
        <v>395</v>
      </c>
      <c r="HY299" s="169" t="s">
        <v>395</v>
      </c>
      <c r="IJ299" s="169" t="s">
        <v>395</v>
      </c>
      <c r="IU299" s="169" t="s">
        <v>395</v>
      </c>
    </row>
    <row r="300" spans="2:255">
      <c r="B300" s="169" t="s">
        <v>395</v>
      </c>
      <c r="M300" s="169" t="s">
        <v>395</v>
      </c>
      <c r="X300" s="169" t="s">
        <v>395</v>
      </c>
      <c r="AI300" s="169" t="s">
        <v>395</v>
      </c>
      <c r="AT300" s="169" t="s">
        <v>395</v>
      </c>
      <c r="BE300" s="169" t="s">
        <v>395</v>
      </c>
      <c r="BP300" s="169" t="s">
        <v>395</v>
      </c>
      <c r="CA300" s="169" t="s">
        <v>395</v>
      </c>
      <c r="CL300" s="169" t="s">
        <v>395</v>
      </c>
      <c r="CW300" s="169" t="s">
        <v>395</v>
      </c>
      <c r="DH300" s="169" t="s">
        <v>395</v>
      </c>
      <c r="DS300" s="169" t="s">
        <v>395</v>
      </c>
      <c r="ED300" s="169" t="s">
        <v>395</v>
      </c>
      <c r="EO300" s="169" t="s">
        <v>395</v>
      </c>
      <c r="EZ300" s="169" t="s">
        <v>395</v>
      </c>
      <c r="FK300" s="169" t="s">
        <v>395</v>
      </c>
      <c r="FV300" s="169" t="s">
        <v>395</v>
      </c>
      <c r="GG300" s="169" t="s">
        <v>395</v>
      </c>
      <c r="GR300" s="169" t="s">
        <v>395</v>
      </c>
      <c r="HC300" s="169" t="s">
        <v>395</v>
      </c>
      <c r="HN300" s="169" t="s">
        <v>395</v>
      </c>
      <c r="HY300" s="169" t="s">
        <v>395</v>
      </c>
      <c r="IJ300" s="169" t="s">
        <v>395</v>
      </c>
      <c r="IU300" s="169" t="s">
        <v>395</v>
      </c>
    </row>
    <row r="301" spans="2:255">
      <c r="B301" s="169" t="s">
        <v>395</v>
      </c>
      <c r="M301" s="169" t="s">
        <v>395</v>
      </c>
      <c r="X301" s="169" t="s">
        <v>395</v>
      </c>
      <c r="AI301" s="169" t="s">
        <v>395</v>
      </c>
      <c r="AT301" s="169" t="s">
        <v>395</v>
      </c>
      <c r="BE301" s="169" t="s">
        <v>395</v>
      </c>
      <c r="BP301" s="169" t="s">
        <v>395</v>
      </c>
      <c r="CA301" s="169" t="s">
        <v>395</v>
      </c>
      <c r="CL301" s="169" t="s">
        <v>395</v>
      </c>
      <c r="CW301" s="169" t="s">
        <v>395</v>
      </c>
      <c r="DH301" s="169" t="s">
        <v>395</v>
      </c>
      <c r="DS301" s="169" t="s">
        <v>395</v>
      </c>
      <c r="ED301" s="169" t="s">
        <v>395</v>
      </c>
      <c r="EO301" s="169" t="s">
        <v>395</v>
      </c>
      <c r="EZ301" s="169" t="s">
        <v>395</v>
      </c>
      <c r="FK301" s="169" t="s">
        <v>395</v>
      </c>
      <c r="FV301" s="169" t="s">
        <v>395</v>
      </c>
      <c r="GG301" s="169" t="s">
        <v>395</v>
      </c>
      <c r="GR301" s="169" t="s">
        <v>395</v>
      </c>
      <c r="HC301" s="169" t="s">
        <v>395</v>
      </c>
      <c r="HN301" s="169" t="s">
        <v>395</v>
      </c>
      <c r="HY301" s="169" t="s">
        <v>395</v>
      </c>
      <c r="IJ301" s="169" t="s">
        <v>395</v>
      </c>
      <c r="IU301" s="169" t="s">
        <v>395</v>
      </c>
    </row>
    <row r="302" spans="2:255">
      <c r="B302" s="169" t="s">
        <v>395</v>
      </c>
      <c r="M302" s="169" t="s">
        <v>395</v>
      </c>
      <c r="X302" s="169" t="s">
        <v>395</v>
      </c>
      <c r="AI302" s="169" t="s">
        <v>395</v>
      </c>
      <c r="AT302" s="169" t="s">
        <v>395</v>
      </c>
      <c r="BE302" s="169" t="s">
        <v>395</v>
      </c>
      <c r="BP302" s="169" t="s">
        <v>395</v>
      </c>
      <c r="CA302" s="169" t="s">
        <v>395</v>
      </c>
      <c r="CL302" s="169" t="s">
        <v>395</v>
      </c>
      <c r="CW302" s="169" t="s">
        <v>395</v>
      </c>
      <c r="DH302" s="169" t="s">
        <v>395</v>
      </c>
      <c r="DS302" s="169" t="s">
        <v>395</v>
      </c>
      <c r="ED302" s="169" t="s">
        <v>395</v>
      </c>
      <c r="EO302" s="169" t="s">
        <v>395</v>
      </c>
      <c r="EZ302" s="169" t="s">
        <v>395</v>
      </c>
      <c r="FK302" s="169" t="s">
        <v>395</v>
      </c>
      <c r="FV302" s="169" t="s">
        <v>395</v>
      </c>
      <c r="GG302" s="169" t="s">
        <v>395</v>
      </c>
      <c r="GR302" s="169" t="s">
        <v>395</v>
      </c>
      <c r="HC302" s="169" t="s">
        <v>395</v>
      </c>
      <c r="HN302" s="169" t="s">
        <v>395</v>
      </c>
      <c r="HY302" s="169" t="s">
        <v>395</v>
      </c>
      <c r="IJ302" s="169" t="s">
        <v>395</v>
      </c>
      <c r="IU302" s="169" t="s">
        <v>395</v>
      </c>
    </row>
  </sheetData>
  <mergeCells count="24">
    <mergeCell ref="HO1:HS1"/>
    <mergeCell ref="HZ1:ID1"/>
    <mergeCell ref="IK1:IO1"/>
    <mergeCell ref="IV1:IZ1"/>
    <mergeCell ref="GH1:GL1"/>
    <mergeCell ref="GS1:GW1"/>
    <mergeCell ref="HD1:HH1"/>
    <mergeCell ref="EE1:EI1"/>
    <mergeCell ref="EP1:ET1"/>
    <mergeCell ref="FA1:FE1"/>
    <mergeCell ref="FL1:FP1"/>
    <mergeCell ref="FW1:GA1"/>
    <mergeCell ref="CB1:CF1"/>
    <mergeCell ref="CM1:CQ1"/>
    <mergeCell ref="CX1:DB1"/>
    <mergeCell ref="DI1:DM1"/>
    <mergeCell ref="DT1:DX1"/>
    <mergeCell ref="C1:G1"/>
    <mergeCell ref="N1:R1"/>
    <mergeCell ref="Y1:AC1"/>
    <mergeCell ref="AJ1:AN1"/>
    <mergeCell ref="BQ1:BU1"/>
    <mergeCell ref="AU1:AY1"/>
    <mergeCell ref="BF1:BJ1"/>
  </mergeCells>
  <pageMargins left="0.7" right="0.7" top="0.75" bottom="0.75" header="0.3" footer="0.3"/>
  <pageSetup orientation="portrait" r:id="rId1"/>
  <drawing r:id="rId2"/>
  <legacyDrawing r:id="rId3"/>
  <controls>
    <mc:AlternateContent xmlns:mc="http://schemas.openxmlformats.org/markup-compatibility/2006">
      <mc:Choice Requires="x14">
        <control shapeId="49153" r:id="rId4" name="Unit_Specs_BUT">
          <controlPr defaultSize="0" autoLine="0" r:id="rId5">
            <anchor moveWithCells="1">
              <from>
                <xdr:col>0</xdr:col>
                <xdr:colOff>0</xdr:colOff>
                <xdr:row>0</xdr:row>
                <xdr:rowOff>0</xdr:rowOff>
              </from>
              <to>
                <xdr:col>0</xdr:col>
                <xdr:colOff>504825</xdr:colOff>
                <xdr:row>0</xdr:row>
                <xdr:rowOff>304800</xdr:rowOff>
              </to>
            </anchor>
          </controlPr>
        </control>
      </mc:Choice>
      <mc:Fallback>
        <control shapeId="49153" r:id="rId4" name="Unit_Specs_BUT"/>
      </mc:Fallback>
    </mc:AlternateContent>
    <mc:AlternateContent xmlns:mc="http://schemas.openxmlformats.org/markup-compatibility/2006">
      <mc:Choice Requires="x14">
        <control shapeId="49154" r:id="rId6" name="APSA">
          <controlPr defaultSize="0" autoLine="0" r:id="rId7">
            <anchor moveWithCells="1">
              <from>
                <xdr:col>0</xdr:col>
                <xdr:colOff>0</xdr:colOff>
                <xdr:row>2</xdr:row>
                <xdr:rowOff>28575</xdr:rowOff>
              </from>
              <to>
                <xdr:col>0</xdr:col>
                <xdr:colOff>1371600</xdr:colOff>
                <xdr:row>3</xdr:row>
                <xdr:rowOff>95250</xdr:rowOff>
              </to>
            </anchor>
          </controlPr>
        </control>
      </mc:Choice>
      <mc:Fallback>
        <control shapeId="49154" r:id="rId6" name="APSA"/>
      </mc:Fallback>
    </mc:AlternateContent>
    <mc:AlternateContent xmlns:mc="http://schemas.openxmlformats.org/markup-compatibility/2006">
      <mc:Choice Requires="x14">
        <control shapeId="49155" r:id="rId8" name="PSC">
          <controlPr defaultSize="0" autoLine="0" r:id="rId9">
            <anchor moveWithCells="1">
              <from>
                <xdr:col>0</xdr:col>
                <xdr:colOff>0</xdr:colOff>
                <xdr:row>3</xdr:row>
                <xdr:rowOff>28575</xdr:rowOff>
              </from>
              <to>
                <xdr:col>0</xdr:col>
                <xdr:colOff>1371600</xdr:colOff>
                <xdr:row>4</xdr:row>
                <xdr:rowOff>104775</xdr:rowOff>
              </to>
            </anchor>
          </controlPr>
        </control>
      </mc:Choice>
      <mc:Fallback>
        <control shapeId="49155" r:id="rId8" name="PSC"/>
      </mc:Fallback>
    </mc:AlternateContent>
    <mc:AlternateContent xmlns:mc="http://schemas.openxmlformats.org/markup-compatibility/2006">
      <mc:Choice Requires="x14">
        <control shapeId="49156" r:id="rId10" name="RWC">
          <controlPr defaultSize="0" autoLine="0" r:id="rId11">
            <anchor moveWithCells="1">
              <from>
                <xdr:col>0</xdr:col>
                <xdr:colOff>0</xdr:colOff>
                <xdr:row>4</xdr:row>
                <xdr:rowOff>66675</xdr:rowOff>
              </from>
              <to>
                <xdr:col>0</xdr:col>
                <xdr:colOff>1371600</xdr:colOff>
                <xdr:row>5</xdr:row>
                <xdr:rowOff>142875</xdr:rowOff>
              </to>
            </anchor>
          </controlPr>
        </control>
      </mc:Choice>
      <mc:Fallback>
        <control shapeId="49156" r:id="rId10" name="RWC"/>
      </mc:Fallback>
    </mc:AlternateContent>
    <mc:AlternateContent xmlns:mc="http://schemas.openxmlformats.org/markup-compatibility/2006">
      <mc:Choice Requires="x14">
        <control shapeId="49157" r:id="rId12" name="PAH">
          <controlPr defaultSize="0" autoLine="0" r:id="rId13">
            <anchor moveWithCells="1">
              <from>
                <xdr:col>0</xdr:col>
                <xdr:colOff>0</xdr:colOff>
                <xdr:row>5</xdr:row>
                <xdr:rowOff>123825</xdr:rowOff>
              </from>
              <to>
                <xdr:col>0</xdr:col>
                <xdr:colOff>1371600</xdr:colOff>
                <xdr:row>6</xdr:row>
                <xdr:rowOff>200025</xdr:rowOff>
              </to>
            </anchor>
          </controlPr>
        </control>
      </mc:Choice>
      <mc:Fallback>
        <control shapeId="49157" r:id="rId12" name="PAH"/>
      </mc:Fallback>
    </mc:AlternateContent>
    <mc:AlternateContent xmlns:mc="http://schemas.openxmlformats.org/markup-compatibility/2006">
      <mc:Choice Requires="x14">
        <control shapeId="49158" r:id="rId14" name="CM">
          <controlPr defaultSize="0" autoLine="0" r:id="rId15">
            <anchor moveWithCells="1">
              <from>
                <xdr:col>0</xdr:col>
                <xdr:colOff>0</xdr:colOff>
                <xdr:row>6</xdr:row>
                <xdr:rowOff>200025</xdr:rowOff>
              </from>
              <to>
                <xdr:col>0</xdr:col>
                <xdr:colOff>1371600</xdr:colOff>
                <xdr:row>8</xdr:row>
                <xdr:rowOff>66675</xdr:rowOff>
              </to>
            </anchor>
          </controlPr>
        </control>
      </mc:Choice>
      <mc:Fallback>
        <control shapeId="49158" r:id="rId14" name="CM"/>
      </mc:Fallback>
    </mc:AlternateContent>
    <mc:AlternateContent xmlns:mc="http://schemas.openxmlformats.org/markup-compatibility/2006">
      <mc:Choice Requires="x14">
        <control shapeId="49159" r:id="rId16" name="FCU">
          <controlPr defaultSize="0" autoLine="0" r:id="rId17">
            <anchor moveWithCells="1">
              <from>
                <xdr:col>0</xdr:col>
                <xdr:colOff>0</xdr:colOff>
                <xdr:row>8</xdr:row>
                <xdr:rowOff>76200</xdr:rowOff>
              </from>
              <to>
                <xdr:col>0</xdr:col>
                <xdr:colOff>1371600</xdr:colOff>
                <xdr:row>9</xdr:row>
                <xdr:rowOff>152400</xdr:rowOff>
              </to>
            </anchor>
          </controlPr>
        </control>
      </mc:Choice>
      <mc:Fallback>
        <control shapeId="49159" r:id="rId16" name="FCU"/>
      </mc:Fallback>
    </mc:AlternateContent>
    <mc:AlternateContent xmlns:mc="http://schemas.openxmlformats.org/markup-compatibility/2006">
      <mc:Choice Requires="x14">
        <control shapeId="49160" r:id="rId18" name="Chemical">
          <controlPr defaultSize="0" autoLine="0" r:id="rId19">
            <anchor moveWithCells="1">
              <from>
                <xdr:col>0</xdr:col>
                <xdr:colOff>0</xdr:colOff>
                <xdr:row>11</xdr:row>
                <xdr:rowOff>9525</xdr:rowOff>
              </from>
              <to>
                <xdr:col>0</xdr:col>
                <xdr:colOff>1371600</xdr:colOff>
                <xdr:row>12</xdr:row>
                <xdr:rowOff>85725</xdr:rowOff>
              </to>
            </anchor>
          </controlPr>
        </control>
      </mc:Choice>
      <mc:Fallback>
        <control shapeId="49160" r:id="rId18" name="Chemical"/>
      </mc:Fallback>
    </mc:AlternateContent>
    <mc:AlternateContent xmlns:mc="http://schemas.openxmlformats.org/markup-compatibility/2006">
      <mc:Choice Requires="x14">
        <control shapeId="49161" r:id="rId20" name="Ecology">
          <controlPr defaultSize="0" autoLine="0" r:id="rId21">
            <anchor moveWithCells="1">
              <from>
                <xdr:col>0</xdr:col>
                <xdr:colOff>0</xdr:colOff>
                <xdr:row>9</xdr:row>
                <xdr:rowOff>142875</xdr:rowOff>
              </from>
              <to>
                <xdr:col>0</xdr:col>
                <xdr:colOff>1371600</xdr:colOff>
                <xdr:row>11</xdr:row>
                <xdr:rowOff>9525</xdr:rowOff>
              </to>
            </anchor>
          </controlPr>
        </control>
      </mc:Choice>
      <mc:Fallback>
        <control shapeId="49161" r:id="rId20" name="Ecology"/>
      </mc:Fallback>
    </mc:AlternateContent>
    <mc:AlternateContent xmlns:mc="http://schemas.openxmlformats.org/markup-compatibility/2006">
      <mc:Choice Requires="x14">
        <control shapeId="49162" r:id="rId22" name="PPH">
          <controlPr defaultSize="0" autoLine="0" r:id="rId23">
            <anchor moveWithCells="1">
              <from>
                <xdr:col>0</xdr:col>
                <xdr:colOff>0</xdr:colOff>
                <xdr:row>12</xdr:row>
                <xdr:rowOff>76200</xdr:rowOff>
              </from>
              <to>
                <xdr:col>0</xdr:col>
                <xdr:colOff>1371600</xdr:colOff>
                <xdr:row>13</xdr:row>
                <xdr:rowOff>152400</xdr:rowOff>
              </to>
            </anchor>
          </controlPr>
        </control>
      </mc:Choice>
      <mc:Fallback>
        <control shapeId="49162" r:id="rId22" name="PPH"/>
      </mc:Fallback>
    </mc:AlternateContent>
    <mc:AlternateContent xmlns:mc="http://schemas.openxmlformats.org/markup-compatibility/2006">
      <mc:Choice Requires="x14">
        <control shapeId="49163" r:id="rId24" name="PWM">
          <controlPr defaultSize="0" autoLine="0" r:id="rId25">
            <anchor moveWithCells="1">
              <from>
                <xdr:col>0</xdr:col>
                <xdr:colOff>0</xdr:colOff>
                <xdr:row>13</xdr:row>
                <xdr:rowOff>161925</xdr:rowOff>
              </from>
              <to>
                <xdr:col>0</xdr:col>
                <xdr:colOff>1371600</xdr:colOff>
                <xdr:row>15</xdr:row>
                <xdr:rowOff>28575</xdr:rowOff>
              </to>
            </anchor>
          </controlPr>
        </control>
      </mc:Choice>
      <mc:Fallback>
        <control shapeId="49163" r:id="rId24" name="PWM"/>
      </mc:Fallback>
    </mc:AlternateContent>
    <mc:AlternateContent xmlns:mc="http://schemas.openxmlformats.org/markup-compatibility/2006">
      <mc:Choice Requires="x14">
        <control shapeId="49164" r:id="rId26" name="DSP_AHU">
          <controlPr defaultSize="0" autoLine="0" r:id="rId27">
            <anchor moveWithCells="1">
              <from>
                <xdr:col>0</xdr:col>
                <xdr:colOff>0</xdr:colOff>
                <xdr:row>15</xdr:row>
                <xdr:rowOff>38100</xdr:rowOff>
              </from>
              <to>
                <xdr:col>0</xdr:col>
                <xdr:colOff>1371600</xdr:colOff>
                <xdr:row>16</xdr:row>
                <xdr:rowOff>114300</xdr:rowOff>
              </to>
            </anchor>
          </controlPr>
        </control>
      </mc:Choice>
      <mc:Fallback>
        <control shapeId="49164" r:id="rId26" name="DSP_AHU"/>
      </mc:Fallback>
    </mc:AlternateContent>
    <mc:AlternateContent xmlns:mc="http://schemas.openxmlformats.org/markup-compatibility/2006">
      <mc:Choice Requires="x14">
        <control shapeId="49165" r:id="rId28" name="DSP_CM">
          <controlPr defaultSize="0" autoLine="0" r:id="rId29">
            <anchor moveWithCells="1">
              <from>
                <xdr:col>0</xdr:col>
                <xdr:colOff>0</xdr:colOff>
                <xdr:row>16</xdr:row>
                <xdr:rowOff>142875</xdr:rowOff>
              </from>
              <to>
                <xdr:col>0</xdr:col>
                <xdr:colOff>1371600</xdr:colOff>
                <xdr:row>18</xdr:row>
                <xdr:rowOff>9525</xdr:rowOff>
              </to>
            </anchor>
          </controlPr>
        </control>
      </mc:Choice>
      <mc:Fallback>
        <control shapeId="49165" r:id="rId28" name="DSP_CM"/>
      </mc:Fallback>
    </mc:AlternateContent>
    <mc:AlternateContent xmlns:mc="http://schemas.openxmlformats.org/markup-compatibility/2006">
      <mc:Choice Requires="x14">
        <control shapeId="49166" r:id="rId30" name="PASC">
          <controlPr defaultSize="0" autoLine="0" r:id="rId31">
            <anchor moveWithCells="1">
              <from>
                <xdr:col>0</xdr:col>
                <xdr:colOff>0</xdr:colOff>
                <xdr:row>18</xdr:row>
                <xdr:rowOff>76200</xdr:rowOff>
              </from>
              <to>
                <xdr:col>0</xdr:col>
                <xdr:colOff>1371600</xdr:colOff>
                <xdr:row>19</xdr:row>
                <xdr:rowOff>152400</xdr:rowOff>
              </to>
            </anchor>
          </controlPr>
        </control>
      </mc:Choice>
      <mc:Fallback>
        <control shapeId="49166" r:id="rId30" name="PASC"/>
      </mc:Fallback>
    </mc:AlternateContent>
    <mc:AlternateContent xmlns:mc="http://schemas.openxmlformats.org/markup-compatibility/2006">
      <mc:Choice Requires="x14">
        <control shapeId="49167" r:id="rId32" name="PASC_WM">
          <controlPr defaultSize="0" autoLine="0" r:id="rId33">
            <anchor moveWithCells="1">
              <from>
                <xdr:col>0</xdr:col>
                <xdr:colOff>0</xdr:colOff>
                <xdr:row>19</xdr:row>
                <xdr:rowOff>200025</xdr:rowOff>
              </from>
              <to>
                <xdr:col>0</xdr:col>
                <xdr:colOff>1371600</xdr:colOff>
                <xdr:row>21</xdr:row>
                <xdr:rowOff>66675</xdr:rowOff>
              </to>
            </anchor>
          </controlPr>
        </control>
      </mc:Choice>
      <mc:Fallback>
        <control shapeId="49167" r:id="rId32" name="PASC_WM"/>
      </mc:Fallback>
    </mc:AlternateContent>
    <mc:AlternateContent xmlns:mc="http://schemas.openxmlformats.org/markup-compatibility/2006">
      <mc:Choice Requires="x14">
        <control shapeId="49168" r:id="rId34" name="CRAH">
          <controlPr defaultSize="0" autoLine="0" r:id="rId35">
            <anchor moveWithCells="1">
              <from>
                <xdr:col>0</xdr:col>
                <xdr:colOff>0</xdr:colOff>
                <xdr:row>21</xdr:row>
                <xdr:rowOff>85725</xdr:rowOff>
              </from>
              <to>
                <xdr:col>0</xdr:col>
                <xdr:colOff>1371600</xdr:colOff>
                <xdr:row>22</xdr:row>
                <xdr:rowOff>161925</xdr:rowOff>
              </to>
            </anchor>
          </controlPr>
        </control>
      </mc:Choice>
      <mc:Fallback>
        <control shapeId="49168" r:id="rId34" name="CRAH"/>
      </mc:Fallback>
    </mc:AlternateContent>
    <mc:AlternateContent xmlns:mc="http://schemas.openxmlformats.org/markup-compatibility/2006">
      <mc:Choice Requires="x14">
        <control shapeId="49169" r:id="rId36" name="PDU">
          <controlPr defaultSize="0" autoLine="0" r:id="rId37">
            <anchor moveWithCells="1">
              <from>
                <xdr:col>0</xdr:col>
                <xdr:colOff>0</xdr:colOff>
                <xdr:row>22</xdr:row>
                <xdr:rowOff>180975</xdr:rowOff>
              </from>
              <to>
                <xdr:col>0</xdr:col>
                <xdr:colOff>1371600</xdr:colOff>
                <xdr:row>24</xdr:row>
                <xdr:rowOff>47625</xdr:rowOff>
              </to>
            </anchor>
          </controlPr>
        </control>
      </mc:Choice>
      <mc:Fallback>
        <control shapeId="49169" r:id="rId36" name="PDU"/>
      </mc:Fallback>
    </mc:AlternateContent>
    <mc:AlternateContent xmlns:mc="http://schemas.openxmlformats.org/markup-compatibility/2006">
      <mc:Choice Requires="x14">
        <control shapeId="49170" r:id="rId38" name="PSU">
          <controlPr defaultSize="0" autoLine="0" r:id="rId39">
            <anchor moveWithCells="1">
              <from>
                <xdr:col>0</xdr:col>
                <xdr:colOff>0</xdr:colOff>
                <xdr:row>24</xdr:row>
                <xdr:rowOff>104775</xdr:rowOff>
              </from>
              <to>
                <xdr:col>0</xdr:col>
                <xdr:colOff>1371600</xdr:colOff>
                <xdr:row>25</xdr:row>
                <xdr:rowOff>180975</xdr:rowOff>
              </to>
            </anchor>
          </controlPr>
        </control>
      </mc:Choice>
      <mc:Fallback>
        <control shapeId="49170" r:id="rId38" name="PSU"/>
      </mc:Fallback>
    </mc:AlternateContent>
    <mc:AlternateContent xmlns:mc="http://schemas.openxmlformats.org/markup-compatibility/2006">
      <mc:Choice Requires="x14">
        <control shapeId="49171" r:id="rId40" name="Sheet_1">
          <controlPr defaultSize="0" autoLine="0" r:id="rId41">
            <anchor moveWithCells="1">
              <from>
                <xdr:col>0</xdr:col>
                <xdr:colOff>0</xdr:colOff>
                <xdr:row>26</xdr:row>
                <xdr:rowOff>0</xdr:rowOff>
              </from>
              <to>
                <xdr:col>0</xdr:col>
                <xdr:colOff>1371600</xdr:colOff>
                <xdr:row>27</xdr:row>
                <xdr:rowOff>76200</xdr:rowOff>
              </to>
            </anchor>
          </controlPr>
        </control>
      </mc:Choice>
      <mc:Fallback>
        <control shapeId="49171" r:id="rId40" name="Sheet_1"/>
      </mc:Fallback>
    </mc:AlternateContent>
    <mc:AlternateContent xmlns:mc="http://schemas.openxmlformats.org/markup-compatibility/2006">
      <mc:Choice Requires="x14">
        <control shapeId="49172" r:id="rId42" name="Sheet_2">
          <controlPr defaultSize="0" autoLine="0" r:id="rId43">
            <anchor moveWithCells="1">
              <from>
                <xdr:col>0</xdr:col>
                <xdr:colOff>0</xdr:colOff>
                <xdr:row>27</xdr:row>
                <xdr:rowOff>95250</xdr:rowOff>
              </from>
              <to>
                <xdr:col>0</xdr:col>
                <xdr:colOff>1371600</xdr:colOff>
                <xdr:row>28</xdr:row>
                <xdr:rowOff>171450</xdr:rowOff>
              </to>
            </anchor>
          </controlPr>
        </control>
      </mc:Choice>
      <mc:Fallback>
        <control shapeId="49172" r:id="rId42" name="Sheet_2"/>
      </mc:Fallback>
    </mc:AlternateContent>
    <mc:AlternateContent xmlns:mc="http://schemas.openxmlformats.org/markup-compatibility/2006">
      <mc:Choice Requires="x14">
        <control shapeId="49173" r:id="rId44" name="Sheet_3">
          <controlPr defaultSize="0" autoLine="0" r:id="rId45">
            <anchor moveWithCells="1">
              <from>
                <xdr:col>0</xdr:col>
                <xdr:colOff>0</xdr:colOff>
                <xdr:row>28</xdr:row>
                <xdr:rowOff>200025</xdr:rowOff>
              </from>
              <to>
                <xdr:col>0</xdr:col>
                <xdr:colOff>1371600</xdr:colOff>
                <xdr:row>30</xdr:row>
                <xdr:rowOff>66675</xdr:rowOff>
              </to>
            </anchor>
          </controlPr>
        </control>
      </mc:Choice>
      <mc:Fallback>
        <control shapeId="49173" r:id="rId44" name="Sheet_3"/>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1_Technical"/>
  <dimension ref="A1:K302"/>
  <sheetViews>
    <sheetView view="pageLayout" zoomScaleNormal="80" workbookViewId="0"/>
  </sheetViews>
  <sheetFormatPr defaultRowHeight="16.5"/>
  <cols>
    <col min="1" max="1" width="15.85546875" style="895" customWidth="1"/>
    <col min="2" max="4" width="15.85546875" style="6" customWidth="1"/>
    <col min="5" max="5" width="8.5703125" style="6" bestFit="1" customWidth="1"/>
    <col min="6" max="6" width="9.85546875" style="6" bestFit="1" customWidth="1"/>
    <col min="7" max="7" width="8.7109375" style="6" bestFit="1" customWidth="1"/>
    <col min="8" max="8" width="11.7109375" style="6" bestFit="1" customWidth="1"/>
    <col min="9" max="9" width="6.5703125" style="6" bestFit="1" customWidth="1"/>
    <col min="10" max="10" width="10.28515625" style="6" bestFit="1" customWidth="1"/>
    <col min="11" max="11" width="5.85546875" style="6" bestFit="1" customWidth="1"/>
    <col min="12" max="12" width="5.85546875" bestFit="1" customWidth="1"/>
    <col min="13" max="13" width="5" bestFit="1" customWidth="1"/>
    <col min="14" max="25" width="10.7109375" customWidth="1"/>
    <col min="26" max="28" width="6.42578125" customWidth="1"/>
  </cols>
  <sheetData>
    <row r="1" spans="1:11" ht="45.75" customHeight="1">
      <c r="A1" s="896" t="s">
        <v>3</v>
      </c>
      <c r="B1" s="893" t="s">
        <v>0</v>
      </c>
      <c r="C1" s="894" t="s">
        <v>72</v>
      </c>
      <c r="D1" s="894" t="s">
        <v>585</v>
      </c>
      <c r="E1" s="894" t="s">
        <v>586</v>
      </c>
      <c r="F1" s="894" t="s">
        <v>2150</v>
      </c>
      <c r="G1" s="893" t="s">
        <v>65</v>
      </c>
      <c r="H1" s="893" t="s">
        <v>39</v>
      </c>
      <c r="I1" s="893" t="s">
        <v>40</v>
      </c>
      <c r="J1" s="893" t="s">
        <v>38</v>
      </c>
      <c r="K1" s="893" t="s">
        <v>41</v>
      </c>
    </row>
    <row r="3" spans="1:11">
      <c r="A3" s="1136" t="s">
        <v>2738</v>
      </c>
    </row>
    <row r="4" spans="1:11">
      <c r="A4" s="1137" t="s">
        <v>2739</v>
      </c>
    </row>
    <row r="5" spans="1:11">
      <c r="A5" s="1137" t="s">
        <v>2740</v>
      </c>
    </row>
    <row r="6" spans="1:11">
      <c r="A6" s="1136"/>
    </row>
    <row r="7" spans="1:11">
      <c r="A7" s="1136" t="s">
        <v>2741</v>
      </c>
    </row>
    <row r="8" spans="1:11">
      <c r="A8" s="1137" t="s">
        <v>2742</v>
      </c>
    </row>
    <row r="9" spans="1:11">
      <c r="A9" s="1137" t="s">
        <v>2743</v>
      </c>
    </row>
    <row r="10" spans="1:11">
      <c r="A10" s="1137" t="s">
        <v>2744</v>
      </c>
    </row>
    <row r="11" spans="1:11">
      <c r="A11" s="1137" t="s">
        <v>266</v>
      </c>
    </row>
    <row r="12" spans="1:11">
      <c r="A12" s="1137" t="s">
        <v>267</v>
      </c>
    </row>
    <row r="13" spans="1:11">
      <c r="A13" s="1137" t="s">
        <v>2745</v>
      </c>
    </row>
    <row r="14" spans="1:11">
      <c r="A14" s="1137" t="s">
        <v>2746</v>
      </c>
    </row>
    <row r="15" spans="1:11">
      <c r="A15" s="1137" t="s">
        <v>2747</v>
      </c>
    </row>
    <row r="16" spans="1:11">
      <c r="A16" s="1137" t="s">
        <v>271</v>
      </c>
    </row>
    <row r="17" spans="1:1">
      <c r="A17" s="1137" t="s">
        <v>2748</v>
      </c>
    </row>
    <row r="18" spans="1:1">
      <c r="A18" s="1137" t="s">
        <v>2749</v>
      </c>
    </row>
    <row r="19" spans="1:1">
      <c r="A19" s="1137" t="s">
        <v>366</v>
      </c>
    </row>
    <row r="20" spans="1:1">
      <c r="A20" s="1137" t="s">
        <v>2750</v>
      </c>
    </row>
    <row r="21" spans="1:1">
      <c r="A21" s="1136"/>
    </row>
    <row r="22" spans="1:1">
      <c r="A22" s="1138" t="s">
        <v>2751</v>
      </c>
    </row>
    <row r="23" spans="1:1">
      <c r="A23" s="1139"/>
    </row>
    <row r="24" spans="1:1">
      <c r="A24" s="1140" t="s">
        <v>2752</v>
      </c>
    </row>
    <row r="25" spans="1:1">
      <c r="A25" s="1138" t="s">
        <v>2753</v>
      </c>
    </row>
    <row r="26" spans="1:1">
      <c r="A26" s="1140"/>
    </row>
    <row r="27" spans="1:1">
      <c r="A27" s="1140" t="s">
        <v>2754</v>
      </c>
    </row>
    <row r="28" spans="1:1">
      <c r="A28" s="1138" t="s">
        <v>2755</v>
      </c>
    </row>
    <row r="29" spans="1:1">
      <c r="A29" s="1138" t="s">
        <v>2756</v>
      </c>
    </row>
    <row r="30" spans="1:1">
      <c r="A30" s="1140"/>
    </row>
    <row r="31" spans="1:1">
      <c r="A31" s="1140" t="s">
        <v>2757</v>
      </c>
    </row>
    <row r="32" spans="1:1">
      <c r="A32" s="1138" t="s">
        <v>2758</v>
      </c>
    </row>
    <row r="33" spans="1:1">
      <c r="A33" s="1138" t="s">
        <v>2759</v>
      </c>
    </row>
    <row r="34" spans="1:1">
      <c r="A34" s="1138" t="s">
        <v>2760</v>
      </c>
    </row>
    <row r="35" spans="1:1">
      <c r="A35" s="1138" t="s">
        <v>2761</v>
      </c>
    </row>
    <row r="36" spans="1:1">
      <c r="A36" s="1138" t="s">
        <v>2762</v>
      </c>
    </row>
    <row r="37" spans="1:1">
      <c r="A37" s="1138" t="s">
        <v>2763</v>
      </c>
    </row>
    <row r="38" spans="1:1">
      <c r="A38" s="1141"/>
    </row>
    <row r="39" spans="1:1">
      <c r="A39" s="1140" t="s">
        <v>2764</v>
      </c>
    </row>
    <row r="40" spans="1:1">
      <c r="A40" s="1138" t="s">
        <v>2765</v>
      </c>
    </row>
    <row r="41" spans="1:1">
      <c r="A41" s="1138" t="s">
        <v>2766</v>
      </c>
    </row>
    <row r="42" spans="1:1">
      <c r="A42" s="1141"/>
    </row>
    <row r="43" spans="1:1">
      <c r="A43" s="1136" t="s">
        <v>2767</v>
      </c>
    </row>
    <row r="44" spans="1:1">
      <c r="A44" s="1137" t="s">
        <v>2768</v>
      </c>
    </row>
    <row r="45" spans="1:1">
      <c r="A45" s="163"/>
    </row>
    <row r="46" spans="1:1">
      <c r="A46" s="163"/>
    </row>
    <row r="47" spans="1:1">
      <c r="A47" s="163"/>
    </row>
    <row r="48" spans="1:1">
      <c r="A48" s="163"/>
    </row>
    <row r="49" spans="1:1">
      <c r="A49" s="163"/>
    </row>
    <row r="50" spans="1:1">
      <c r="A50" s="163"/>
    </row>
    <row r="51" spans="1:1">
      <c r="A51" s="163"/>
    </row>
    <row r="52" spans="1:1">
      <c r="A52" s="163"/>
    </row>
    <row r="53" spans="1:1">
      <c r="A53" s="163"/>
    </row>
    <row r="54" spans="1:1">
      <c r="A54" s="163"/>
    </row>
    <row r="55" spans="1:1">
      <c r="A55" s="163"/>
    </row>
    <row r="56" spans="1:1">
      <c r="A56" s="163"/>
    </row>
    <row r="57" spans="1:1">
      <c r="A57" s="163"/>
    </row>
    <row r="58" spans="1:1">
      <c r="A58" s="163"/>
    </row>
    <row r="59" spans="1:1">
      <c r="A59" s="163"/>
    </row>
    <row r="60" spans="1:1">
      <c r="A60" s="163"/>
    </row>
    <row r="61" spans="1:1">
      <c r="A61" s="163"/>
    </row>
    <row r="62" spans="1:1">
      <c r="A62" s="163"/>
    </row>
    <row r="63" spans="1:1">
      <c r="A63" s="163"/>
    </row>
    <row r="64" spans="1:1">
      <c r="A64" s="163"/>
    </row>
    <row r="65" spans="1:1">
      <c r="A65" s="163"/>
    </row>
    <row r="66" spans="1:1">
      <c r="A66" s="163"/>
    </row>
    <row r="67" spans="1:1">
      <c r="A67" s="163"/>
    </row>
    <row r="68" spans="1:1">
      <c r="A68" s="163"/>
    </row>
    <row r="69" spans="1:1">
      <c r="A69" s="163"/>
    </row>
    <row r="70" spans="1:1">
      <c r="A70" s="163"/>
    </row>
    <row r="71" spans="1:1">
      <c r="A71" s="163"/>
    </row>
    <row r="72" spans="1:1">
      <c r="A72" s="163"/>
    </row>
    <row r="73" spans="1:1">
      <c r="A73" s="163"/>
    </row>
    <row r="74" spans="1:1">
      <c r="A74" s="163"/>
    </row>
    <row r="75" spans="1:1">
      <c r="A75" s="163"/>
    </row>
    <row r="76" spans="1:1">
      <c r="A76" s="163"/>
    </row>
    <row r="77" spans="1:1">
      <c r="A77" s="163"/>
    </row>
    <row r="78" spans="1:1">
      <c r="A78" s="163"/>
    </row>
    <row r="79" spans="1:1">
      <c r="A79" s="163"/>
    </row>
    <row r="80" spans="1:1">
      <c r="A80" s="163"/>
    </row>
    <row r="81" spans="1:1">
      <c r="A81" s="163"/>
    </row>
    <row r="82" spans="1:1">
      <c r="A82" s="163"/>
    </row>
    <row r="83" spans="1:1">
      <c r="A83" s="163"/>
    </row>
    <row r="84" spans="1:1">
      <c r="A84" s="163"/>
    </row>
    <row r="85" spans="1:1">
      <c r="A85" s="163"/>
    </row>
    <row r="86" spans="1:1">
      <c r="A86" s="163"/>
    </row>
    <row r="87" spans="1:1">
      <c r="A87" s="163"/>
    </row>
    <row r="88" spans="1:1">
      <c r="A88" s="163"/>
    </row>
    <row r="89" spans="1:1">
      <c r="A89" s="163"/>
    </row>
    <row r="90" spans="1:1">
      <c r="A90" s="163"/>
    </row>
    <row r="91" spans="1:1">
      <c r="A91" s="163"/>
    </row>
    <row r="92" spans="1:1">
      <c r="A92" s="163"/>
    </row>
    <row r="93" spans="1:1">
      <c r="A93" s="163"/>
    </row>
    <row r="94" spans="1:1">
      <c r="A94" s="163"/>
    </row>
    <row r="95" spans="1:1">
      <c r="A95" s="163"/>
    </row>
    <row r="96" spans="1:1">
      <c r="A96" s="163"/>
    </row>
    <row r="97" spans="1:1">
      <c r="A97" s="163"/>
    </row>
    <row r="98" spans="1:1">
      <c r="A98" s="163"/>
    </row>
    <row r="99" spans="1:1">
      <c r="A99" s="163"/>
    </row>
    <row r="100" spans="1:1">
      <c r="A100" s="163"/>
    </row>
    <row r="101" spans="1:1">
      <c r="A101" s="163"/>
    </row>
    <row r="102" spans="1:1">
      <c r="A102" s="163"/>
    </row>
    <row r="103" spans="1:1">
      <c r="A103" s="163"/>
    </row>
    <row r="104" spans="1:1">
      <c r="A104" s="163"/>
    </row>
    <row r="105" spans="1:1">
      <c r="A105" s="163"/>
    </row>
    <row r="106" spans="1:1">
      <c r="A106" s="163"/>
    </row>
    <row r="107" spans="1:1">
      <c r="A107" s="163"/>
    </row>
    <row r="108" spans="1:1">
      <c r="A108" s="163"/>
    </row>
    <row r="109" spans="1:1">
      <c r="A109" s="163"/>
    </row>
    <row r="110" spans="1:1">
      <c r="A110" s="163"/>
    </row>
    <row r="111" spans="1:1">
      <c r="A111" s="163"/>
    </row>
    <row r="112" spans="1:1">
      <c r="A112" s="163"/>
    </row>
    <row r="113" spans="1:1">
      <c r="A113" s="163"/>
    </row>
    <row r="114" spans="1:1">
      <c r="A114" s="163"/>
    </row>
    <row r="115" spans="1:1">
      <c r="A115" s="163"/>
    </row>
    <row r="116" spans="1:1">
      <c r="A116" s="163"/>
    </row>
    <row r="117" spans="1:1">
      <c r="A117" s="163"/>
    </row>
    <row r="118" spans="1:1">
      <c r="A118" s="163"/>
    </row>
    <row r="119" spans="1:1">
      <c r="A119" s="163"/>
    </row>
    <row r="120" spans="1:1">
      <c r="A120" s="163"/>
    </row>
    <row r="121" spans="1:1">
      <c r="A121" s="163"/>
    </row>
    <row r="122" spans="1:1">
      <c r="A122" s="163"/>
    </row>
    <row r="123" spans="1:1">
      <c r="A123" s="163"/>
    </row>
    <row r="124" spans="1:1">
      <c r="A124" s="163"/>
    </row>
    <row r="125" spans="1:1">
      <c r="A125" s="163"/>
    </row>
    <row r="126" spans="1:1">
      <c r="A126" s="163"/>
    </row>
    <row r="127" spans="1:1">
      <c r="A127" s="163"/>
    </row>
    <row r="128" spans="1:1">
      <c r="A128" s="163"/>
    </row>
    <row r="129" spans="1:1">
      <c r="A129" s="163"/>
    </row>
    <row r="130" spans="1:1">
      <c r="A130" s="163"/>
    </row>
    <row r="131" spans="1:1">
      <c r="A131" s="163"/>
    </row>
    <row r="132" spans="1:1">
      <c r="A132" s="163"/>
    </row>
    <row r="133" spans="1:1">
      <c r="A133" s="163"/>
    </row>
    <row r="134" spans="1:1">
      <c r="A134" s="163"/>
    </row>
    <row r="135" spans="1:1">
      <c r="A135" s="163"/>
    </row>
    <row r="136" spans="1:1">
      <c r="A136" s="163"/>
    </row>
    <row r="137" spans="1:1">
      <c r="A137" s="163"/>
    </row>
    <row r="138" spans="1:1">
      <c r="A138" s="163"/>
    </row>
    <row r="139" spans="1:1">
      <c r="A139" s="163"/>
    </row>
    <row r="140" spans="1:1">
      <c r="A140" s="163"/>
    </row>
    <row r="141" spans="1:1">
      <c r="A141" s="163"/>
    </row>
    <row r="142" spans="1:1">
      <c r="A142" s="163"/>
    </row>
    <row r="143" spans="1:1">
      <c r="A143" s="163"/>
    </row>
    <row r="144" spans="1:1">
      <c r="A144" s="163"/>
    </row>
    <row r="145" spans="1:1">
      <c r="A145" s="163"/>
    </row>
    <row r="146" spans="1:1">
      <c r="A146" s="163"/>
    </row>
    <row r="147" spans="1:1">
      <c r="A147" s="163"/>
    </row>
    <row r="148" spans="1:1">
      <c r="A148" s="163"/>
    </row>
    <row r="149" spans="1:1">
      <c r="A149" s="163"/>
    </row>
    <row r="150" spans="1:1">
      <c r="A150" s="163"/>
    </row>
    <row r="151" spans="1:1">
      <c r="A151" s="163"/>
    </row>
    <row r="152" spans="1:1">
      <c r="A152" s="163"/>
    </row>
    <row r="153" spans="1:1">
      <c r="A153" s="163"/>
    </row>
    <row r="154" spans="1:1">
      <c r="A154" s="163"/>
    </row>
    <row r="155" spans="1:1">
      <c r="A155" s="163"/>
    </row>
    <row r="156" spans="1:1">
      <c r="A156" s="163"/>
    </row>
    <row r="157" spans="1:1">
      <c r="A157" s="163"/>
    </row>
    <row r="158" spans="1:1">
      <c r="A158" s="163"/>
    </row>
    <row r="159" spans="1:1">
      <c r="A159" s="163"/>
    </row>
    <row r="160" spans="1:1">
      <c r="A160" s="163"/>
    </row>
    <row r="161" spans="1:1">
      <c r="A161" s="163"/>
    </row>
    <row r="162" spans="1:1">
      <c r="A162" s="163"/>
    </row>
    <row r="163" spans="1:1">
      <c r="A163" s="163"/>
    </row>
    <row r="164" spans="1:1">
      <c r="A164" s="163"/>
    </row>
    <row r="165" spans="1:1">
      <c r="A165" s="163"/>
    </row>
    <row r="166" spans="1:1">
      <c r="A166" s="163"/>
    </row>
    <row r="167" spans="1:1">
      <c r="A167" s="163"/>
    </row>
    <row r="168" spans="1:1">
      <c r="A168" s="163"/>
    </row>
    <row r="169" spans="1:1">
      <c r="A169" s="163"/>
    </row>
    <row r="170" spans="1:1">
      <c r="A170" s="163"/>
    </row>
    <row r="171" spans="1:1">
      <c r="A171" s="163"/>
    </row>
    <row r="172" spans="1:1">
      <c r="A172" s="163"/>
    </row>
    <row r="173" spans="1:1">
      <c r="A173" s="163"/>
    </row>
    <row r="174" spans="1:1">
      <c r="A174" s="163"/>
    </row>
    <row r="175" spans="1:1">
      <c r="A175" s="163"/>
    </row>
    <row r="176" spans="1:1">
      <c r="A176" s="163"/>
    </row>
    <row r="177" spans="1:1">
      <c r="A177" s="163"/>
    </row>
    <row r="178" spans="1:1">
      <c r="A178" s="163"/>
    </row>
    <row r="179" spans="1:1">
      <c r="A179" s="163"/>
    </row>
    <row r="180" spans="1:1">
      <c r="A180" s="163"/>
    </row>
    <row r="181" spans="1:1">
      <c r="A181" s="163"/>
    </row>
    <row r="182" spans="1:1">
      <c r="A182" s="163"/>
    </row>
    <row r="183" spans="1:1">
      <c r="A183" s="163"/>
    </row>
    <row r="184" spans="1:1">
      <c r="A184" s="163"/>
    </row>
    <row r="185" spans="1:1">
      <c r="A185" s="163"/>
    </row>
    <row r="186" spans="1:1">
      <c r="A186" s="163"/>
    </row>
    <row r="187" spans="1:1">
      <c r="A187" s="163"/>
    </row>
    <row r="188" spans="1:1">
      <c r="A188" s="163"/>
    </row>
    <row r="189" spans="1:1">
      <c r="A189" s="163"/>
    </row>
    <row r="190" spans="1:1">
      <c r="A190" s="163"/>
    </row>
    <row r="191" spans="1:1">
      <c r="A191" s="163"/>
    </row>
    <row r="192" spans="1:1">
      <c r="A192" s="163"/>
    </row>
    <row r="193" spans="1:1">
      <c r="A193" s="163"/>
    </row>
    <row r="194" spans="1:1">
      <c r="A194" s="163"/>
    </row>
    <row r="195" spans="1:1">
      <c r="A195" s="163"/>
    </row>
    <row r="196" spans="1:1">
      <c r="A196" s="163"/>
    </row>
    <row r="197" spans="1:1">
      <c r="A197" s="163"/>
    </row>
    <row r="198" spans="1:1">
      <c r="A198" s="163"/>
    </row>
    <row r="199" spans="1:1">
      <c r="A199" s="163"/>
    </row>
    <row r="200" spans="1:1">
      <c r="A200" s="163"/>
    </row>
    <row r="201" spans="1:1">
      <c r="A201" s="163"/>
    </row>
    <row r="202" spans="1:1">
      <c r="A202" s="163"/>
    </row>
    <row r="203" spans="1:1">
      <c r="A203" s="163"/>
    </row>
    <row r="204" spans="1:1">
      <c r="A204" s="163"/>
    </row>
    <row r="205" spans="1:1">
      <c r="A205" s="163"/>
    </row>
    <row r="206" spans="1:1">
      <c r="A206" s="163"/>
    </row>
    <row r="207" spans="1:1">
      <c r="A207" s="163"/>
    </row>
    <row r="208" spans="1:1">
      <c r="A208" s="163"/>
    </row>
    <row r="209" spans="1:1">
      <c r="A209" s="163"/>
    </row>
    <row r="210" spans="1:1">
      <c r="A210" s="163"/>
    </row>
    <row r="211" spans="1:1">
      <c r="A211" s="163"/>
    </row>
    <row r="212" spans="1:1">
      <c r="A212" s="163"/>
    </row>
    <row r="213" spans="1:1">
      <c r="A213" s="163"/>
    </row>
    <row r="214" spans="1:1">
      <c r="A214" s="163"/>
    </row>
    <row r="215" spans="1:1">
      <c r="A215" s="163"/>
    </row>
    <row r="216" spans="1:1">
      <c r="A216" s="163"/>
    </row>
    <row r="217" spans="1:1">
      <c r="A217" s="163"/>
    </row>
    <row r="218" spans="1:1">
      <c r="A218" s="163"/>
    </row>
    <row r="219" spans="1:1">
      <c r="A219" s="163"/>
    </row>
    <row r="220" spans="1:1">
      <c r="A220" s="163"/>
    </row>
    <row r="221" spans="1:1">
      <c r="A221" s="163"/>
    </row>
    <row r="222" spans="1:1">
      <c r="A222" s="163"/>
    </row>
    <row r="223" spans="1:1">
      <c r="A223" s="163"/>
    </row>
    <row r="224" spans="1:1">
      <c r="A224" s="163"/>
    </row>
    <row r="225" spans="1:1">
      <c r="A225" s="163"/>
    </row>
    <row r="226" spans="1:1">
      <c r="A226" s="163"/>
    </row>
    <row r="227" spans="1:1">
      <c r="A227" s="163"/>
    </row>
    <row r="228" spans="1:1">
      <c r="A228" s="163"/>
    </row>
    <row r="229" spans="1:1">
      <c r="A229" s="163"/>
    </row>
    <row r="230" spans="1:1">
      <c r="A230" s="163"/>
    </row>
    <row r="231" spans="1:1">
      <c r="A231" s="163"/>
    </row>
    <row r="232" spans="1:1">
      <c r="A232" s="163"/>
    </row>
    <row r="233" spans="1:1">
      <c r="A233" s="163"/>
    </row>
    <row r="234" spans="1:1">
      <c r="A234" s="163"/>
    </row>
    <row r="235" spans="1:1">
      <c r="A235" s="163"/>
    </row>
    <row r="236" spans="1:1">
      <c r="A236" s="163"/>
    </row>
    <row r="237" spans="1:1">
      <c r="A237" s="163"/>
    </row>
    <row r="238" spans="1:1">
      <c r="A238" s="163"/>
    </row>
    <row r="239" spans="1:1">
      <c r="A239" s="163"/>
    </row>
    <row r="240" spans="1:1">
      <c r="A240" s="163"/>
    </row>
    <row r="241" spans="1:1">
      <c r="A241" s="163"/>
    </row>
    <row r="242" spans="1:1">
      <c r="A242" s="163"/>
    </row>
    <row r="243" spans="1:1">
      <c r="A243" s="163"/>
    </row>
    <row r="244" spans="1:1">
      <c r="A244" s="163"/>
    </row>
    <row r="245" spans="1:1">
      <c r="A245" s="163"/>
    </row>
    <row r="246" spans="1:1">
      <c r="A246" s="163"/>
    </row>
    <row r="247" spans="1:1">
      <c r="A247" s="163"/>
    </row>
    <row r="248" spans="1:1">
      <c r="A248" s="163"/>
    </row>
    <row r="249" spans="1:1">
      <c r="A249" s="163"/>
    </row>
    <row r="250" spans="1:1">
      <c r="A250" s="163"/>
    </row>
    <row r="251" spans="1:1">
      <c r="A251" s="163"/>
    </row>
    <row r="252" spans="1:1">
      <c r="A252" s="163"/>
    </row>
    <row r="253" spans="1:1">
      <c r="A253" s="163"/>
    </row>
    <row r="254" spans="1:1">
      <c r="A254" s="163"/>
    </row>
    <row r="255" spans="1:1">
      <c r="A255" s="163"/>
    </row>
    <row r="256" spans="1:1">
      <c r="A256" s="163"/>
    </row>
    <row r="257" spans="1:1">
      <c r="A257" s="163"/>
    </row>
    <row r="258" spans="1:1">
      <c r="A258" s="163"/>
    </row>
    <row r="259" spans="1:1">
      <c r="A259" s="163"/>
    </row>
    <row r="260" spans="1:1">
      <c r="A260" s="163"/>
    </row>
    <row r="261" spans="1:1">
      <c r="A261" s="163"/>
    </row>
    <row r="262" spans="1:1">
      <c r="A262" s="163"/>
    </row>
    <row r="263" spans="1:1">
      <c r="A263" s="163"/>
    </row>
    <row r="264" spans="1:1">
      <c r="A264" s="163"/>
    </row>
    <row r="265" spans="1:1">
      <c r="A265" s="163"/>
    </row>
    <row r="266" spans="1:1">
      <c r="A266" s="163"/>
    </row>
    <row r="267" spans="1:1">
      <c r="A267" s="163"/>
    </row>
    <row r="268" spans="1:1">
      <c r="A268" s="163"/>
    </row>
    <row r="269" spans="1:1">
      <c r="A269" s="163"/>
    </row>
    <row r="270" spans="1:1">
      <c r="A270" s="163"/>
    </row>
    <row r="271" spans="1:1">
      <c r="A271" s="163"/>
    </row>
    <row r="272" spans="1:1">
      <c r="A272" s="163"/>
    </row>
    <row r="273" spans="1:1">
      <c r="A273" s="163"/>
    </row>
    <row r="274" spans="1:1">
      <c r="A274" s="163"/>
    </row>
    <row r="275" spans="1:1">
      <c r="A275" s="163"/>
    </row>
    <row r="276" spans="1:1">
      <c r="A276" s="163"/>
    </row>
    <row r="277" spans="1:1">
      <c r="A277" s="163"/>
    </row>
    <row r="278" spans="1:1">
      <c r="A278" s="163"/>
    </row>
    <row r="279" spans="1:1">
      <c r="A279" s="163"/>
    </row>
    <row r="280" spans="1:1">
      <c r="A280" s="163"/>
    </row>
    <row r="281" spans="1:1">
      <c r="A281" s="163"/>
    </row>
    <row r="282" spans="1:1">
      <c r="A282" s="163"/>
    </row>
    <row r="283" spans="1:1">
      <c r="A283" s="163"/>
    </row>
    <row r="284" spans="1:1">
      <c r="A284" s="163"/>
    </row>
    <row r="285" spans="1:1">
      <c r="A285" s="163"/>
    </row>
    <row r="286" spans="1:1">
      <c r="A286" s="163"/>
    </row>
    <row r="287" spans="1:1">
      <c r="A287" s="163"/>
    </row>
    <row r="288" spans="1:1">
      <c r="A288" s="163"/>
    </row>
    <row r="289" spans="1:1">
      <c r="A289" s="163"/>
    </row>
    <row r="290" spans="1:1">
      <c r="A290" s="163"/>
    </row>
    <row r="291" spans="1:1">
      <c r="A291" s="163"/>
    </row>
    <row r="292" spans="1:1">
      <c r="A292" s="163"/>
    </row>
    <row r="293" spans="1:1">
      <c r="A293" s="163"/>
    </row>
    <row r="294" spans="1:1">
      <c r="A294" s="163"/>
    </row>
    <row r="295" spans="1:1">
      <c r="A295" s="163"/>
    </row>
    <row r="296" spans="1:1">
      <c r="A296" s="163"/>
    </row>
    <row r="297" spans="1:1">
      <c r="A297" s="163"/>
    </row>
    <row r="298" spans="1:1">
      <c r="A298" s="163"/>
    </row>
    <row r="299" spans="1:1">
      <c r="A299" s="163"/>
    </row>
    <row r="300" spans="1:1">
      <c r="A300" s="163"/>
    </row>
    <row r="301" spans="1:1">
      <c r="A301" s="163"/>
    </row>
    <row r="302" spans="1:1">
      <c r="A302" s="163"/>
    </row>
  </sheetData>
  <pageMargins left="0.36666666666666664" right="0.32500000000000001" top="1.075" bottom="0.8671875" header="0.3" footer="0.3"/>
  <pageSetup scale="75" orientation="landscape" r:id="rId1"/>
  <headerFooter>
    <oddHeader>&amp;L&amp;G&amp;C
&amp;"Arial Narrow,Bold Italic"&amp;22&amp;U&amp;K00518ETechnical Summary &amp;KFF0000Sheet (&amp;A)&amp;R
&amp;"Arial Narrow,Bold Italic"&amp;16&amp;U&amp;K00518EDate: &amp;D</oddHeader>
    <oddFooter>&amp;L&amp;G&amp;R&amp;"Arial Narrow,Bold Italic"&amp;12&amp;U&amp;KFF0000Page:&amp;U&amp;K0070C0 &amp;U&amp;K00518E&amp;P &amp; / &amp;N</oddFooter>
  </headerFooter>
  <legacyDrawingHF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I2_Documentation"/>
  <dimension ref="A1:MM87"/>
  <sheetViews>
    <sheetView zoomScale="80" zoomScaleNormal="80" workbookViewId="0">
      <selection activeCell="IT19" sqref="IT19"/>
    </sheetView>
  </sheetViews>
  <sheetFormatPr defaultColWidth="9.140625" defaultRowHeight="16.5"/>
  <cols>
    <col min="1" max="2" width="28.7109375" style="176" customWidth="1"/>
    <col min="3" max="3" width="12.42578125" style="176" customWidth="1"/>
    <col min="4" max="6" width="6.42578125" style="176" hidden="1" customWidth="1"/>
    <col min="7" max="9" width="9.140625" style="176" hidden="1" customWidth="1"/>
    <col min="10" max="10" width="10" style="176" hidden="1" customWidth="1"/>
    <col min="11" max="12" width="10.7109375" style="176" hidden="1" customWidth="1"/>
    <col min="13" max="15" width="9.28515625" style="176" hidden="1" customWidth="1"/>
    <col min="16" max="16" width="11.42578125" style="176" hidden="1" customWidth="1"/>
    <col min="17" max="17" width="14.85546875" style="176" hidden="1" customWidth="1"/>
    <col min="18" max="22" width="9.28515625" style="176" hidden="1" customWidth="1"/>
    <col min="23" max="26" width="9.140625" style="176" hidden="1" customWidth="1"/>
    <col min="27" max="27" width="9.28515625" style="176" hidden="1" customWidth="1"/>
    <col min="28" max="28" width="10.42578125" style="176" hidden="1" customWidth="1"/>
    <col min="29" max="29" width="5.5703125" style="176" hidden="1" customWidth="1"/>
    <col min="30" max="30" width="12.7109375" style="176" hidden="1" customWidth="1"/>
    <col min="31" max="31" width="11.42578125" style="176" hidden="1" customWidth="1"/>
    <col min="32" max="32" width="8.42578125" style="176" hidden="1" customWidth="1"/>
    <col min="33" max="33" width="7.28515625" style="176" hidden="1" customWidth="1"/>
    <col min="34" max="34" width="9.28515625" style="176" hidden="1" customWidth="1"/>
    <col min="35" max="39" width="9.140625" style="176" hidden="1" customWidth="1"/>
    <col min="40" max="40" width="3.42578125" style="176" hidden="1" customWidth="1"/>
    <col min="41" max="41" width="5.85546875" style="176" hidden="1" customWidth="1"/>
    <col min="42" max="42" width="33.5703125" style="176" hidden="1" customWidth="1"/>
    <col min="43" max="43" width="4.85546875" style="176" hidden="1" customWidth="1"/>
    <col min="44" max="44" width="9.7109375" style="176" hidden="1" customWidth="1"/>
    <col min="45" max="45" width="6.42578125" style="176" hidden="1" customWidth="1"/>
    <col min="46" max="46" width="3.85546875" style="176" hidden="1" customWidth="1"/>
    <col min="47" max="47" width="9.140625" style="176" hidden="1" customWidth="1"/>
    <col min="48" max="48" width="5.140625" style="176" hidden="1" customWidth="1"/>
    <col min="49" max="49" width="6.5703125" style="176" hidden="1" customWidth="1"/>
    <col min="50" max="50" width="12.28515625" style="176" hidden="1" customWidth="1"/>
    <col min="51" max="51" width="6" style="176" hidden="1" customWidth="1"/>
    <col min="52" max="52" width="9.42578125" style="176" hidden="1" customWidth="1"/>
    <col min="53" max="53" width="16" style="176" hidden="1" customWidth="1"/>
    <col min="54" max="61" width="9.140625" style="176" hidden="1" customWidth="1"/>
    <col min="62" max="66" width="9.42578125" style="176" hidden="1" customWidth="1"/>
    <col min="67" max="67" width="9.140625" style="176" hidden="1" customWidth="1"/>
    <col min="68" max="69" width="9.42578125" style="176" hidden="1" customWidth="1"/>
    <col min="70" max="70" width="9.140625" style="176" hidden="1" customWidth="1"/>
    <col min="71" max="76" width="9.42578125" style="176" hidden="1" customWidth="1"/>
    <col min="77" max="78" width="9.28515625" style="176" hidden="1" customWidth="1"/>
    <col min="79" max="80" width="9.140625" style="176" hidden="1" customWidth="1"/>
    <col min="81" max="85" width="9.42578125" style="176" hidden="1" customWidth="1"/>
    <col min="86" max="86" width="9.140625" style="176" hidden="1" customWidth="1"/>
    <col min="87" max="88" width="9.42578125" style="176" hidden="1" customWidth="1"/>
    <col min="89" max="89" width="9.140625" style="176" hidden="1" customWidth="1"/>
    <col min="90" max="95" width="9.42578125" style="176" hidden="1" customWidth="1"/>
    <col min="96" max="100" width="9.140625" style="176" hidden="1" customWidth="1"/>
    <col min="101" max="101" width="3.28515625" style="176" hidden="1" customWidth="1"/>
    <col min="102" max="102" width="6.5703125" style="176" hidden="1" customWidth="1"/>
    <col min="103" max="103" width="32.28515625" style="176" hidden="1" customWidth="1"/>
    <col min="104" max="104" width="13" style="176" hidden="1" customWidth="1"/>
    <col min="105" max="105" width="15.28515625" style="176" hidden="1" customWidth="1"/>
    <col min="106" max="106" width="15.5703125" style="176" hidden="1" customWidth="1"/>
    <col min="107" max="107" width="8.5703125" style="176" hidden="1" customWidth="1"/>
    <col min="108" max="108" width="14.5703125" style="176" hidden="1" customWidth="1"/>
    <col min="109" max="109" width="5.140625" style="176" hidden="1" customWidth="1"/>
    <col min="110" max="110" width="6.5703125" style="176" hidden="1" customWidth="1"/>
    <col min="111" max="111" width="13" style="176" hidden="1" customWidth="1"/>
    <col min="112" max="112" width="8.28515625" style="176" hidden="1" customWidth="1"/>
    <col min="113" max="113" width="14.42578125" style="176" hidden="1" customWidth="1"/>
    <col min="114" max="114" width="15" style="176" hidden="1" customWidth="1"/>
    <col min="115" max="115" width="10.28515625" style="176" hidden="1" customWidth="1"/>
    <col min="116" max="116" width="13.140625" style="176" hidden="1" customWidth="1"/>
    <col min="117" max="117" width="5.140625" style="176" hidden="1" customWidth="1"/>
    <col min="118" max="118" width="6.5703125" style="176" hidden="1" customWidth="1"/>
    <col min="119" max="119" width="6.28515625" style="176" hidden="1" customWidth="1"/>
    <col min="120" max="125" width="9.140625" style="176" hidden="1" customWidth="1"/>
    <col min="126" max="126" width="12.140625" style="176" hidden="1" customWidth="1"/>
    <col min="127" max="127" width="9.140625" style="176" hidden="1" customWidth="1"/>
    <col min="128" max="137" width="9.42578125" style="176" hidden="1" customWidth="1"/>
    <col min="138" max="138" width="9.5703125" style="176" hidden="1" customWidth="1"/>
    <col min="139" max="144" width="9.42578125" style="176" hidden="1" customWidth="1"/>
    <col min="145" max="145" width="9.5703125" style="176" hidden="1" customWidth="1"/>
    <col min="146" max="146" width="9.140625" style="176" hidden="1" customWidth="1"/>
    <col min="147" max="147" width="11.5703125" style="176" hidden="1" customWidth="1"/>
    <col min="148" max="155" width="9.140625" style="176" hidden="1" customWidth="1"/>
    <col min="156" max="156" width="8.85546875" style="176" hidden="1" customWidth="1"/>
    <col min="157" max="157" width="3.7109375" style="176" hidden="1" customWidth="1"/>
    <col min="158" max="158" width="10.7109375" style="176" hidden="1" customWidth="1"/>
    <col min="159" max="159" width="11.5703125" style="176" hidden="1" customWidth="1"/>
    <col min="160" max="160" width="8.85546875" style="176" hidden="1" customWidth="1"/>
    <col min="161" max="161" width="27.28515625" style="176" hidden="1" customWidth="1"/>
    <col min="162" max="163" width="5.85546875" style="176" hidden="1" customWidth="1"/>
    <col min="164" max="164" width="7.42578125" style="176" hidden="1" customWidth="1"/>
    <col min="165" max="165" width="13.5703125" style="176" hidden="1" customWidth="1"/>
    <col min="166" max="168" width="7.85546875" style="176" hidden="1" customWidth="1"/>
    <col min="169" max="169" width="5.140625" style="176" hidden="1" customWidth="1"/>
    <col min="170" max="170" width="6.5703125" style="176" hidden="1" customWidth="1"/>
    <col min="171" max="171" width="4.5703125" style="176" hidden="1" customWidth="1"/>
    <col min="172" max="172" width="3.5703125" style="176" hidden="1" customWidth="1"/>
    <col min="173" max="173" width="5.85546875" style="176" hidden="1" customWidth="1"/>
    <col min="174" max="174" width="5.5703125" style="176" hidden="1" customWidth="1"/>
    <col min="175" max="175" width="7" style="176" hidden="1" customWidth="1"/>
    <col min="176" max="176" width="4.7109375" style="176" hidden="1" customWidth="1"/>
    <col min="177" max="177" width="3.140625" style="176" hidden="1" customWidth="1"/>
    <col min="178" max="178" width="4.140625" style="176" hidden="1" customWidth="1"/>
    <col min="179" max="179" width="4.5703125" style="176" hidden="1" customWidth="1"/>
    <col min="180" max="180" width="6.5703125" style="176" hidden="1" customWidth="1"/>
    <col min="181" max="181" width="6" style="176" hidden="1" customWidth="1"/>
    <col min="182" max="182" width="5.42578125" style="176" hidden="1" customWidth="1"/>
    <col min="183" max="183" width="7" style="176" hidden="1" customWidth="1"/>
    <col min="184" max="184" width="4.7109375" style="176" hidden="1" customWidth="1"/>
    <col min="185" max="185" width="3.140625" style="176" hidden="1" customWidth="1"/>
    <col min="186" max="186" width="4.140625" style="176" hidden="1" customWidth="1"/>
    <col min="187" max="187" width="4.5703125" style="176" hidden="1" customWidth="1"/>
    <col min="188" max="188" width="6.5703125" style="176" hidden="1" customWidth="1"/>
    <col min="189" max="189" width="3.140625" style="176" hidden="1" customWidth="1"/>
    <col min="190" max="190" width="4.5703125" style="176" hidden="1" customWidth="1"/>
    <col min="191" max="191" width="5.140625" style="176" hidden="1" customWidth="1"/>
    <col min="192" max="192" width="6" style="176" hidden="1" customWidth="1"/>
    <col min="193" max="193" width="7.42578125" style="176" hidden="1" customWidth="1"/>
    <col min="194" max="194" width="5.42578125" style="176" hidden="1" customWidth="1"/>
    <col min="195" max="201" width="9.140625" style="176" hidden="1" customWidth="1"/>
    <col min="202" max="203" width="9.28515625" style="176" hidden="1" customWidth="1"/>
    <col min="204" max="206" width="9.140625" style="176" hidden="1" customWidth="1"/>
    <col min="207" max="207" width="16" style="176" hidden="1" customWidth="1"/>
    <col min="208" max="210" width="9.28515625" style="176" hidden="1" customWidth="1"/>
    <col min="211" max="211" width="9.140625" style="176" hidden="1" customWidth="1"/>
    <col min="212" max="240" width="9.28515625" style="176" hidden="1" customWidth="1"/>
    <col min="241" max="246" width="9.140625" style="176" hidden="1" customWidth="1"/>
    <col min="247" max="247" width="9.140625" style="176" customWidth="1"/>
    <col min="248" max="248" width="12.85546875" style="176" customWidth="1"/>
    <col min="249" max="249" width="14.85546875" style="176" customWidth="1"/>
    <col min="250" max="250" width="10.85546875" style="176" customWidth="1"/>
    <col min="251" max="252" width="9.28515625" style="176" customWidth="1"/>
    <col min="253" max="253" width="11.28515625" style="176" customWidth="1"/>
    <col min="254" max="254" width="17.85546875" style="176" customWidth="1"/>
    <col min="255" max="260" width="9.28515625" style="176" customWidth="1"/>
    <col min="261" max="261" width="13.5703125" style="176" customWidth="1"/>
    <col min="262" max="262" width="13.42578125" style="176" customWidth="1"/>
    <col min="263" max="263" width="10.140625" style="176" customWidth="1"/>
    <col min="264" max="264" width="14" style="176" customWidth="1"/>
    <col min="265" max="272" width="9.140625" style="176" hidden="1" customWidth="1"/>
    <col min="273" max="273" width="30.28515625" style="176" hidden="1" customWidth="1"/>
    <col min="274" max="274" width="16.42578125" style="176" hidden="1" customWidth="1"/>
    <col min="275" max="275" width="7.7109375" style="176" hidden="1" customWidth="1"/>
    <col min="276" max="276" width="10.140625" style="176" hidden="1" customWidth="1"/>
    <col min="277" max="277" width="12.42578125" style="176" hidden="1" customWidth="1"/>
    <col min="278" max="278" width="9.5703125" style="176" hidden="1" customWidth="1"/>
    <col min="279" max="279" width="16.140625" style="176" hidden="1" customWidth="1"/>
    <col min="280" max="280" width="12.5703125" style="176" hidden="1" customWidth="1"/>
    <col min="281" max="281" width="10.5703125" style="176" hidden="1" customWidth="1"/>
    <col min="282" max="282" width="12.42578125" style="176" hidden="1" customWidth="1"/>
    <col min="283" max="283" width="7.28515625" style="176" hidden="1" customWidth="1"/>
    <col min="284" max="284" width="11.42578125" style="176" hidden="1" customWidth="1"/>
    <col min="285" max="285" width="12.42578125" style="176" hidden="1" customWidth="1"/>
    <col min="286" max="286" width="12.28515625" style="176" hidden="1" customWidth="1"/>
    <col min="287" max="287" width="18.140625" style="176" hidden="1" customWidth="1"/>
    <col min="288" max="288" width="13.28515625" style="176" hidden="1" customWidth="1"/>
    <col min="289" max="290" width="11.85546875" style="176" hidden="1" customWidth="1"/>
    <col min="291" max="295" width="9.140625" style="176" hidden="1" customWidth="1"/>
    <col min="296" max="296" width="12" style="176" hidden="1" customWidth="1"/>
    <col min="297" max="297" width="14.7109375" style="176" hidden="1" customWidth="1"/>
    <col min="298" max="301" width="9.140625" style="176" hidden="1" customWidth="1"/>
    <col min="302" max="302" width="18.85546875" style="176" hidden="1" customWidth="1"/>
    <col min="303" max="303" width="7.42578125" style="176" hidden="1" customWidth="1"/>
    <col min="304" max="306" width="9.140625" style="176" hidden="1" customWidth="1"/>
    <col min="307" max="307" width="10.28515625" style="176" hidden="1" customWidth="1"/>
    <col min="308" max="309" width="9.140625" style="176" hidden="1" customWidth="1"/>
    <col min="310" max="310" width="10.7109375" style="176" hidden="1" customWidth="1"/>
    <col min="311" max="311" width="15.7109375" style="176" hidden="1" customWidth="1"/>
    <col min="312" max="312" width="9.140625" style="176" hidden="1" customWidth="1"/>
    <col min="313" max="313" width="10.7109375" style="176" hidden="1" customWidth="1"/>
    <col min="314" max="314" width="10.140625" style="176" hidden="1" customWidth="1"/>
    <col min="315" max="315" width="10.28515625" style="176" hidden="1" customWidth="1"/>
    <col min="316" max="316" width="18.85546875" style="176" hidden="1" customWidth="1"/>
    <col min="317" max="319" width="9.140625" style="176" hidden="1" customWidth="1"/>
    <col min="320" max="320" width="12.85546875" style="176" hidden="1" customWidth="1"/>
    <col min="321" max="321" width="10.28515625" style="176" hidden="1" customWidth="1"/>
    <col min="322" max="351" width="9.140625" style="176" hidden="1" customWidth="1"/>
    <col min="352" max="353" width="9.140625" style="176" customWidth="1"/>
    <col min="354" max="16384" width="9.140625" style="176"/>
  </cols>
  <sheetData>
    <row r="1" spans="1:322" ht="26.25" thickBot="1">
      <c r="A1" s="1917" t="s">
        <v>658</v>
      </c>
      <c r="B1" s="1918"/>
      <c r="I1" s="1930" t="s">
        <v>1188</v>
      </c>
      <c r="J1" s="1931"/>
      <c r="K1" s="1931"/>
      <c r="L1" s="1931"/>
      <c r="M1" s="1931"/>
      <c r="N1" s="1931"/>
      <c r="O1" s="1931"/>
      <c r="P1" s="1931"/>
      <c r="Q1" s="1931"/>
      <c r="R1" s="1931"/>
      <c r="S1" s="1931"/>
      <c r="T1" s="1931"/>
      <c r="U1" s="1931"/>
      <c r="V1" s="1932"/>
      <c r="AB1" s="1939" t="s">
        <v>1187</v>
      </c>
      <c r="AC1" s="1940"/>
      <c r="AD1" s="1940"/>
      <c r="AE1" s="1940"/>
      <c r="AF1" s="1940"/>
      <c r="AG1" s="1940"/>
      <c r="AH1" s="1941"/>
      <c r="AN1" s="1961" t="s">
        <v>687</v>
      </c>
      <c r="AO1" s="1962"/>
      <c r="AP1" s="1962"/>
      <c r="AQ1" s="1962"/>
      <c r="AR1" s="1962"/>
      <c r="AS1" s="1962"/>
      <c r="AT1" s="1962"/>
      <c r="AU1" s="1962"/>
      <c r="AV1" s="1962"/>
      <c r="AW1" s="1962"/>
      <c r="AX1" s="1962"/>
      <c r="AY1" s="1962"/>
      <c r="AZ1" s="1962"/>
      <c r="BA1" s="1963"/>
      <c r="BI1" s="1948" t="s">
        <v>884</v>
      </c>
      <c r="BJ1" s="1949"/>
      <c r="BK1" s="1949"/>
      <c r="BL1" s="1949"/>
      <c r="BM1" s="1949"/>
      <c r="BN1" s="1949"/>
      <c r="BO1" s="1949"/>
      <c r="BP1" s="1949"/>
      <c r="BQ1" s="1949"/>
      <c r="BR1" s="1949"/>
      <c r="BS1" s="1949"/>
      <c r="BT1" s="1949"/>
      <c r="BU1" s="1949"/>
      <c r="BV1" s="1949"/>
      <c r="BW1" s="1949"/>
      <c r="BX1" s="1950"/>
      <c r="BY1" s="335"/>
      <c r="BZ1" s="336"/>
      <c r="CB1" s="1948" t="s">
        <v>885</v>
      </c>
      <c r="CC1" s="1949"/>
      <c r="CD1" s="1949"/>
      <c r="CE1" s="1949"/>
      <c r="CF1" s="1949"/>
      <c r="CG1" s="1949"/>
      <c r="CH1" s="1949"/>
      <c r="CI1" s="1949"/>
      <c r="CJ1" s="1949"/>
      <c r="CK1" s="1949"/>
      <c r="CL1" s="1949"/>
      <c r="CM1" s="1949"/>
      <c r="CN1" s="1949"/>
      <c r="CO1" s="1949"/>
      <c r="CP1" s="1949"/>
      <c r="CQ1" s="1950"/>
      <c r="CW1" s="2044" t="s">
        <v>1278</v>
      </c>
      <c r="CX1" s="2045"/>
      <c r="CY1" s="2045"/>
      <c r="CZ1" s="2045"/>
      <c r="DA1" s="2045"/>
      <c r="DB1" s="2045"/>
      <c r="DC1" s="2045"/>
      <c r="DD1" s="2045"/>
      <c r="DE1" s="2045"/>
      <c r="DF1" s="2045"/>
      <c r="DG1" s="2045"/>
      <c r="DH1" s="2045"/>
      <c r="DI1" s="2045"/>
      <c r="DJ1" s="2045"/>
      <c r="DK1" s="2045"/>
      <c r="DL1" s="2045"/>
      <c r="DM1" s="2045"/>
      <c r="DN1" s="2045"/>
      <c r="DO1" s="2046"/>
      <c r="DV1" s="1961" t="s">
        <v>976</v>
      </c>
      <c r="DW1" s="1962"/>
      <c r="DX1" s="1962"/>
      <c r="DY1" s="1962"/>
      <c r="DZ1" s="1962"/>
      <c r="EA1" s="1962"/>
      <c r="EB1" s="1962"/>
      <c r="EC1" s="1962"/>
      <c r="ED1" s="1962"/>
      <c r="EE1" s="1962"/>
      <c r="EF1" s="1962"/>
      <c r="EG1" s="1962"/>
      <c r="EH1" s="1962"/>
      <c r="EI1" s="1962"/>
      <c r="EJ1" s="1962"/>
      <c r="EK1" s="1962"/>
      <c r="EL1" s="1962"/>
      <c r="EM1" s="1962"/>
      <c r="EN1" s="1962"/>
      <c r="EO1" s="1962"/>
      <c r="EP1" s="1962"/>
      <c r="EQ1" s="1963"/>
      <c r="EZ1" s="2029" t="s">
        <v>988</v>
      </c>
      <c r="FA1" s="2030"/>
      <c r="FB1" s="2030"/>
      <c r="FC1" s="2030"/>
      <c r="FD1" s="2030"/>
      <c r="FE1" s="2030"/>
      <c r="FF1" s="2030"/>
      <c r="FG1" s="2030"/>
      <c r="FH1" s="2030"/>
      <c r="FI1" s="2030"/>
      <c r="FJ1" s="2030"/>
      <c r="FK1" s="2030"/>
      <c r="FL1" s="2030"/>
      <c r="FM1" s="2030"/>
      <c r="FN1" s="2030"/>
      <c r="FO1" s="2030"/>
      <c r="FP1" s="2030"/>
      <c r="FQ1" s="2030"/>
      <c r="FR1" s="2030"/>
      <c r="FS1" s="2030"/>
      <c r="FT1" s="2030"/>
      <c r="FU1" s="2030"/>
      <c r="FV1" s="2030"/>
      <c r="FW1" s="2030"/>
      <c r="FX1" s="2030"/>
      <c r="FY1" s="2030"/>
      <c r="FZ1" s="2030"/>
      <c r="GA1" s="2030"/>
      <c r="GB1" s="2030"/>
      <c r="GC1" s="2030"/>
      <c r="GD1" s="2030"/>
      <c r="GE1" s="2030"/>
      <c r="GF1" s="2030"/>
      <c r="GG1" s="2030"/>
      <c r="GH1" s="2030"/>
      <c r="GI1" s="2030"/>
      <c r="GJ1" s="2030"/>
      <c r="GK1" s="2030"/>
      <c r="GL1" s="2031"/>
      <c r="GT1" s="2029" t="s">
        <v>988</v>
      </c>
      <c r="GU1" s="2030"/>
      <c r="GV1" s="2030"/>
      <c r="GW1" s="2030"/>
      <c r="GX1" s="2030"/>
      <c r="GY1" s="2030"/>
      <c r="GZ1" s="2030"/>
      <c r="HA1" s="2030"/>
      <c r="HB1" s="2030"/>
      <c r="HC1" s="2030"/>
      <c r="HD1" s="2030"/>
      <c r="HE1" s="2030"/>
      <c r="HF1" s="2030"/>
      <c r="HG1" s="2030"/>
      <c r="HH1" s="2030"/>
      <c r="HI1" s="2030"/>
      <c r="HJ1" s="2030"/>
      <c r="HK1" s="2030"/>
      <c r="HL1" s="2030"/>
      <c r="HM1" s="2030"/>
      <c r="HN1" s="2030"/>
      <c r="HO1" s="2030"/>
      <c r="HP1" s="2030"/>
      <c r="HQ1" s="2030"/>
      <c r="HR1" s="2030"/>
      <c r="HS1" s="2030"/>
      <c r="HT1" s="2030"/>
      <c r="HU1" s="2030"/>
      <c r="HV1" s="2030"/>
      <c r="HW1" s="2030"/>
      <c r="HX1" s="2030"/>
      <c r="HY1" s="2030"/>
      <c r="HZ1" s="2030"/>
      <c r="IA1" s="2030"/>
      <c r="IB1" s="2030"/>
      <c r="IC1" s="2030"/>
      <c r="ID1" s="2030"/>
      <c r="IE1" s="2030"/>
      <c r="IF1" s="2031"/>
      <c r="IN1" s="1939" t="s">
        <v>1119</v>
      </c>
      <c r="IO1" s="1940"/>
      <c r="IP1" s="1940"/>
      <c r="IQ1" s="1940"/>
      <c r="IR1" s="1940"/>
      <c r="IS1" s="1940"/>
      <c r="IT1" s="1940"/>
      <c r="IU1" s="1940"/>
      <c r="IV1" s="1940"/>
      <c r="IW1" s="1940"/>
      <c r="IX1" s="1940"/>
      <c r="IY1" s="1940"/>
      <c r="IZ1" s="1940"/>
      <c r="JA1" s="1940"/>
      <c r="JB1" s="1940"/>
      <c r="JC1" s="1941"/>
      <c r="JM1" s="2415" t="s">
        <v>1140</v>
      </c>
      <c r="JN1" s="2416"/>
      <c r="JO1" s="2416"/>
      <c r="JP1" s="2416"/>
      <c r="JQ1" s="2416"/>
      <c r="JR1" s="2416"/>
      <c r="JS1" s="2416"/>
      <c r="JT1" s="2416"/>
      <c r="JU1" s="2416"/>
      <c r="JV1" s="2416"/>
      <c r="JW1" s="2416"/>
      <c r="JX1" s="2416"/>
      <c r="JY1" s="2416"/>
      <c r="JZ1" s="2416"/>
      <c r="KA1" s="2416"/>
      <c r="KB1" s="2416"/>
      <c r="KC1" s="2416"/>
      <c r="KD1" s="2417"/>
      <c r="KJ1" s="1927" t="s">
        <v>1198</v>
      </c>
      <c r="KK1" s="1927"/>
      <c r="KL1" s="1927"/>
      <c r="KM1" s="1927"/>
      <c r="KN1" s="1927"/>
      <c r="KO1" s="1927"/>
      <c r="KP1" s="1927"/>
      <c r="KQ1" s="1927"/>
      <c r="KR1" s="1927"/>
      <c r="KS1" s="1927"/>
      <c r="KT1" s="1927"/>
      <c r="KU1" s="1927"/>
      <c r="KV1" s="1927"/>
      <c r="KW1"/>
      <c r="KX1" s="537"/>
      <c r="KY1" s="537"/>
      <c r="KZ1" s="1925" t="s">
        <v>1199</v>
      </c>
      <c r="LA1" s="1925"/>
      <c r="LB1" s="1925"/>
      <c r="LC1" s="1925"/>
      <c r="LD1" s="1925"/>
      <c r="LE1" s="1925"/>
      <c r="LF1" s="1925"/>
      <c r="LG1" s="1925"/>
      <c r="LH1"/>
      <c r="LI1"/>
      <c r="LJ1"/>
    </row>
    <row r="2" spans="1:322" ht="33.75" thickBot="1">
      <c r="A2" s="1120" t="s">
        <v>566</v>
      </c>
      <c r="B2" s="1120" t="s">
        <v>2695</v>
      </c>
      <c r="I2" s="337" t="s">
        <v>0</v>
      </c>
      <c r="J2" s="338" t="s">
        <v>813</v>
      </c>
      <c r="K2" s="1933" t="s">
        <v>1169</v>
      </c>
      <c r="L2" s="324" t="s">
        <v>1170</v>
      </c>
      <c r="M2" s="324" t="s">
        <v>816</v>
      </c>
      <c r="N2" s="324" t="s">
        <v>1171</v>
      </c>
      <c r="O2" s="324" t="s">
        <v>785</v>
      </c>
      <c r="P2" s="1936" t="s">
        <v>1172</v>
      </c>
      <c r="Q2" s="339" t="s">
        <v>1173</v>
      </c>
      <c r="R2" s="339" t="s">
        <v>816</v>
      </c>
      <c r="S2" s="339" t="s">
        <v>1171</v>
      </c>
      <c r="T2" s="339" t="s">
        <v>785</v>
      </c>
      <c r="U2" s="338" t="s">
        <v>1174</v>
      </c>
      <c r="V2" s="340" t="s">
        <v>1175</v>
      </c>
      <c r="AB2" s="341" t="s">
        <v>0</v>
      </c>
      <c r="AC2" s="342" t="s">
        <v>980</v>
      </c>
      <c r="AD2" s="342" t="s">
        <v>953</v>
      </c>
      <c r="AE2" s="342" t="s">
        <v>813</v>
      </c>
      <c r="AF2" s="342" t="s">
        <v>981</v>
      </c>
      <c r="AG2" s="342" t="s">
        <v>982</v>
      </c>
      <c r="AH2" s="342" t="s">
        <v>426</v>
      </c>
      <c r="AN2" s="1964" t="s">
        <v>0</v>
      </c>
      <c r="AO2" s="1965"/>
      <c r="AP2" s="1966" t="s">
        <v>688</v>
      </c>
      <c r="AQ2" s="1967"/>
      <c r="AR2" s="1968"/>
      <c r="AS2" s="1966" t="s">
        <v>689</v>
      </c>
      <c r="AT2" s="1967"/>
      <c r="AU2" s="1967"/>
      <c r="AV2" s="1967"/>
      <c r="AW2" s="1967"/>
      <c r="AX2" s="1967"/>
      <c r="AY2" s="1968"/>
      <c r="AZ2" s="343" t="s">
        <v>690</v>
      </c>
      <c r="BA2" s="1969" t="s">
        <v>691</v>
      </c>
      <c r="BI2" s="1951"/>
      <c r="BJ2" s="1952"/>
      <c r="BK2" s="1952"/>
      <c r="BL2" s="1952"/>
      <c r="BM2" s="1952"/>
      <c r="BN2" s="1952"/>
      <c r="BO2" s="1952"/>
      <c r="BP2" s="1952"/>
      <c r="BQ2" s="1952"/>
      <c r="BR2" s="1952"/>
      <c r="BS2" s="1952"/>
      <c r="BT2" s="1952"/>
      <c r="BU2" s="1952"/>
      <c r="BV2" s="1952"/>
      <c r="BW2" s="1952"/>
      <c r="BX2" s="1953"/>
      <c r="BY2" s="335"/>
      <c r="BZ2" s="344"/>
      <c r="CB2" s="1951"/>
      <c r="CC2" s="1952"/>
      <c r="CD2" s="1952"/>
      <c r="CE2" s="1952"/>
      <c r="CF2" s="1952"/>
      <c r="CG2" s="1952"/>
      <c r="CH2" s="1952"/>
      <c r="CI2" s="1952"/>
      <c r="CJ2" s="1952"/>
      <c r="CK2" s="1952"/>
      <c r="CL2" s="1952"/>
      <c r="CM2" s="1952"/>
      <c r="CN2" s="1952"/>
      <c r="CO2" s="1952"/>
      <c r="CP2" s="1952"/>
      <c r="CQ2" s="1953"/>
      <c r="CW2" s="1961" t="s">
        <v>0</v>
      </c>
      <c r="CX2" s="1963"/>
      <c r="CY2" s="1961" t="s">
        <v>688</v>
      </c>
      <c r="CZ2" s="1963"/>
      <c r="DA2" s="1961" t="s">
        <v>689</v>
      </c>
      <c r="DB2" s="1962"/>
      <c r="DC2" s="1962"/>
      <c r="DD2" s="1962"/>
      <c r="DE2" s="1962"/>
      <c r="DF2" s="1962"/>
      <c r="DG2" s="1962"/>
      <c r="DH2" s="1963"/>
      <c r="DI2" s="2047" t="s">
        <v>886</v>
      </c>
      <c r="DJ2" s="2048"/>
      <c r="DK2" s="2048"/>
      <c r="DL2" s="2048"/>
      <c r="DM2" s="2048"/>
      <c r="DN2" s="2048"/>
      <c r="DO2" s="2049"/>
      <c r="DV2" s="1985" t="s">
        <v>948</v>
      </c>
      <c r="DW2" s="2040" t="s">
        <v>91</v>
      </c>
      <c r="DX2" s="1986" t="s">
        <v>688</v>
      </c>
      <c r="DY2" s="1986"/>
      <c r="DZ2" s="1986" t="s">
        <v>949</v>
      </c>
      <c r="EA2" s="1986"/>
      <c r="EB2" s="1986"/>
      <c r="EC2" s="1986" t="s">
        <v>689</v>
      </c>
      <c r="ED2" s="1986"/>
      <c r="EE2" s="1986"/>
      <c r="EF2" s="1986"/>
      <c r="EG2" s="1986"/>
      <c r="EH2" s="1986"/>
      <c r="EI2" s="2035" t="s">
        <v>950</v>
      </c>
      <c r="EJ2" s="2042"/>
      <c r="EK2" s="2042"/>
      <c r="EL2" s="2042"/>
      <c r="EM2" s="2042"/>
      <c r="EN2" s="2042"/>
      <c r="EO2" s="2043"/>
      <c r="EP2" s="2027" t="s">
        <v>661</v>
      </c>
      <c r="EQ2" s="2028"/>
      <c r="EZ2" s="2015" t="s">
        <v>989</v>
      </c>
      <c r="FA2" s="2033" t="s">
        <v>692</v>
      </c>
      <c r="FB2" s="1985" t="s">
        <v>990</v>
      </c>
      <c r="FC2" s="1986"/>
      <c r="FD2" s="2035"/>
      <c r="FE2" s="1985" t="s">
        <v>564</v>
      </c>
      <c r="FF2" s="1986" t="s">
        <v>39</v>
      </c>
      <c r="FG2" s="1986" t="s">
        <v>40</v>
      </c>
      <c r="FH2" s="2057" t="s">
        <v>991</v>
      </c>
      <c r="FI2" s="2058" t="s">
        <v>992</v>
      </c>
      <c r="FJ2" s="1986"/>
      <c r="FK2" s="1986"/>
      <c r="FL2" s="1986"/>
      <c r="FM2" s="2057"/>
      <c r="FN2" s="1985" t="s">
        <v>993</v>
      </c>
      <c r="FO2" s="1986"/>
      <c r="FP2" s="1986"/>
      <c r="FQ2" s="1986"/>
      <c r="FR2" s="2057"/>
      <c r="FS2" s="1985" t="s">
        <v>994</v>
      </c>
      <c r="FT2" s="1986"/>
      <c r="FU2" s="1986"/>
      <c r="FV2" s="1986"/>
      <c r="FW2" s="1986"/>
      <c r="FX2" s="2057"/>
      <c r="FY2" s="1985" t="s">
        <v>950</v>
      </c>
      <c r="FZ2" s="1986"/>
      <c r="GA2" s="1986"/>
      <c r="GB2" s="1986"/>
      <c r="GC2" s="1986"/>
      <c r="GD2" s="1986"/>
      <c r="GE2" s="1986"/>
      <c r="GF2" s="2057"/>
      <c r="GG2" s="1985" t="s">
        <v>995</v>
      </c>
      <c r="GH2" s="1986"/>
      <c r="GI2" s="2057"/>
      <c r="GJ2" s="2058" t="s">
        <v>996</v>
      </c>
      <c r="GK2" s="1986"/>
      <c r="GL2" s="2057"/>
      <c r="GT2" s="2015" t="s">
        <v>989</v>
      </c>
      <c r="GU2" s="2033" t="s">
        <v>692</v>
      </c>
      <c r="GV2" s="1985" t="s">
        <v>990</v>
      </c>
      <c r="GW2" s="1986"/>
      <c r="GX2" s="2035"/>
      <c r="GY2" s="1985" t="s">
        <v>564</v>
      </c>
      <c r="GZ2" s="1986" t="s">
        <v>39</v>
      </c>
      <c r="HA2" s="1986" t="s">
        <v>40</v>
      </c>
      <c r="HB2" s="2057" t="s">
        <v>991</v>
      </c>
      <c r="HC2" s="2058" t="s">
        <v>992</v>
      </c>
      <c r="HD2" s="1986"/>
      <c r="HE2" s="1986"/>
      <c r="HF2" s="1986"/>
      <c r="HG2" s="2057"/>
      <c r="HH2" s="1985" t="s">
        <v>993</v>
      </c>
      <c r="HI2" s="1986"/>
      <c r="HJ2" s="1986"/>
      <c r="HK2" s="1986"/>
      <c r="HL2" s="2057"/>
      <c r="HM2" s="1985" t="s">
        <v>994</v>
      </c>
      <c r="HN2" s="1986"/>
      <c r="HO2" s="1986"/>
      <c r="HP2" s="1986"/>
      <c r="HQ2" s="1986"/>
      <c r="HR2" s="2057"/>
      <c r="HS2" s="1985" t="s">
        <v>950</v>
      </c>
      <c r="HT2" s="1986"/>
      <c r="HU2" s="1986"/>
      <c r="HV2" s="1986"/>
      <c r="HW2" s="1986"/>
      <c r="HX2" s="1986"/>
      <c r="HY2" s="1986"/>
      <c r="HZ2" s="2057"/>
      <c r="IA2" s="1985" t="s">
        <v>995</v>
      </c>
      <c r="IB2" s="1986"/>
      <c r="IC2" s="2057"/>
      <c r="ID2" s="2058" t="s">
        <v>996</v>
      </c>
      <c r="IE2" s="1986"/>
      <c r="IF2" s="2057"/>
      <c r="IN2" s="2388" t="s">
        <v>1112</v>
      </c>
      <c r="IO2" s="2389"/>
      <c r="IP2" s="2391"/>
      <c r="IQ2" s="2388" t="s">
        <v>1111</v>
      </c>
      <c r="IR2" s="2389"/>
      <c r="IS2" s="2389"/>
      <c r="IT2" s="2389"/>
      <c r="IU2" s="2389"/>
      <c r="IV2" s="2389"/>
      <c r="IW2" s="2389"/>
      <c r="IX2" s="2390"/>
      <c r="IY2" s="2388" t="s">
        <v>1113</v>
      </c>
      <c r="IZ2" s="2389"/>
      <c r="JA2" s="2389"/>
      <c r="JB2" s="2389"/>
      <c r="JC2" s="2390"/>
      <c r="JM2" s="2418" t="s">
        <v>0</v>
      </c>
      <c r="JN2" s="2421" t="s">
        <v>9</v>
      </c>
      <c r="JO2" s="2412" t="s">
        <v>1122</v>
      </c>
      <c r="JP2" s="2412"/>
      <c r="JQ2" s="2412"/>
      <c r="JR2" s="2412"/>
      <c r="JS2" s="2412"/>
      <c r="JT2" s="2412"/>
      <c r="JU2" s="2412"/>
      <c r="JV2" s="2412"/>
      <c r="JW2" s="2413" t="s">
        <v>1131</v>
      </c>
      <c r="JX2" s="2413"/>
      <c r="JY2" s="2413"/>
      <c r="JZ2" s="2413"/>
      <c r="KA2" s="2413"/>
      <c r="KB2" s="2413"/>
      <c r="KC2" s="2413"/>
      <c r="KD2" s="2414"/>
      <c r="KJ2" s="1911" t="s">
        <v>1200</v>
      </c>
      <c r="KK2" s="1912"/>
      <c r="KL2" s="1912"/>
      <c r="KM2" s="1912"/>
      <c r="KN2" s="1912"/>
      <c r="KO2" s="1912"/>
      <c r="KP2" s="1912"/>
      <c r="KQ2" s="1912"/>
      <c r="KR2" s="1912"/>
      <c r="KS2" s="1912"/>
      <c r="KT2" s="1912"/>
      <c r="KU2" s="1912"/>
      <c r="KV2" s="1913"/>
      <c r="KW2"/>
      <c r="KX2" s="1925" t="s">
        <v>428</v>
      </c>
      <c r="KY2" s="1925" t="s">
        <v>9</v>
      </c>
      <c r="KZ2" s="1926" t="s">
        <v>1201</v>
      </c>
      <c r="LA2" s="1925" t="s">
        <v>1202</v>
      </c>
      <c r="LB2" s="1925" t="s">
        <v>1203</v>
      </c>
      <c r="LC2" s="1925" t="s">
        <v>1204</v>
      </c>
      <c r="LD2" s="1925" t="s">
        <v>1205</v>
      </c>
      <c r="LE2" s="1925" t="s">
        <v>1206</v>
      </c>
      <c r="LF2" s="1925" t="s">
        <v>426</v>
      </c>
      <c r="LG2" s="1926" t="s">
        <v>701</v>
      </c>
      <c r="LH2"/>
      <c r="LI2"/>
      <c r="LJ2"/>
    </row>
    <row r="3" spans="1:322" ht="17.25" customHeight="1" thickBot="1">
      <c r="A3" s="2398"/>
      <c r="B3" s="2398"/>
      <c r="I3" s="337"/>
      <c r="J3" s="338"/>
      <c r="K3" s="1933"/>
      <c r="L3" s="324"/>
      <c r="M3" s="324"/>
      <c r="N3" s="324"/>
      <c r="O3" s="324"/>
      <c r="P3" s="1936"/>
      <c r="Q3" s="339"/>
      <c r="R3" s="339"/>
      <c r="S3" s="339"/>
      <c r="T3" s="339"/>
      <c r="U3" s="338"/>
      <c r="V3" s="340"/>
      <c r="AB3" s="1096"/>
      <c r="AC3" s="1097"/>
      <c r="AD3" s="1097"/>
      <c r="AE3" s="1097"/>
      <c r="AF3" s="1097"/>
      <c r="AG3" s="1097"/>
      <c r="AH3" s="1097"/>
      <c r="AN3" s="1098"/>
      <c r="AO3" s="1099"/>
      <c r="AP3" s="1100"/>
      <c r="AQ3" s="1101"/>
      <c r="AR3" s="1102"/>
      <c r="AS3" s="1100"/>
      <c r="AT3" s="1101"/>
      <c r="AU3" s="1101"/>
      <c r="AV3" s="1101"/>
      <c r="AW3" s="1101"/>
      <c r="AX3" s="1101"/>
      <c r="AY3" s="1102"/>
      <c r="AZ3" s="1103"/>
      <c r="BA3" s="1970"/>
      <c r="BI3" s="1104"/>
      <c r="BJ3" s="1104"/>
      <c r="BK3" s="1104"/>
      <c r="BL3" s="1104"/>
      <c r="BM3" s="1104"/>
      <c r="BN3" s="1104"/>
      <c r="BO3" s="1104"/>
      <c r="BP3" s="1104"/>
      <c r="BQ3" s="1104"/>
      <c r="BR3" s="1104"/>
      <c r="BS3" s="1104"/>
      <c r="BT3" s="1104"/>
      <c r="BU3" s="1104"/>
      <c r="BV3" s="1104"/>
      <c r="BW3" s="1104"/>
      <c r="BX3" s="1104"/>
      <c r="BY3" s="335"/>
      <c r="BZ3" s="344"/>
      <c r="CB3" s="1104"/>
      <c r="CC3" s="1104"/>
      <c r="CD3" s="1104"/>
      <c r="CE3" s="1104"/>
      <c r="CF3" s="1104"/>
      <c r="CG3" s="1104"/>
      <c r="CH3" s="1104"/>
      <c r="CI3" s="1104"/>
      <c r="CJ3" s="1104"/>
      <c r="CK3" s="1104"/>
      <c r="CL3" s="1104"/>
      <c r="CM3" s="1104"/>
      <c r="CN3" s="1104"/>
      <c r="CO3" s="1104"/>
      <c r="CP3" s="1104"/>
      <c r="CQ3" s="1104"/>
      <c r="CW3" s="1105"/>
      <c r="CX3" s="1106"/>
      <c r="CY3" s="1086"/>
      <c r="CZ3" s="1087"/>
      <c r="DA3" s="1105"/>
      <c r="DB3" s="1107"/>
      <c r="DC3" s="1107"/>
      <c r="DD3" s="1107"/>
      <c r="DE3" s="1107"/>
      <c r="DF3" s="1107"/>
      <c r="DG3" s="1107"/>
      <c r="DH3" s="1106"/>
      <c r="DI3" s="1108"/>
      <c r="DJ3" s="1109"/>
      <c r="DK3" s="1109"/>
      <c r="DL3" s="1109"/>
      <c r="DM3" s="1109"/>
      <c r="DN3" s="1109"/>
      <c r="DO3" s="1110"/>
      <c r="DV3" s="2036"/>
      <c r="DW3" s="2041"/>
      <c r="DX3" s="1088"/>
      <c r="DY3" s="1088"/>
      <c r="DZ3" s="1088"/>
      <c r="EA3" s="1088"/>
      <c r="EB3" s="1088"/>
      <c r="EC3" s="1088"/>
      <c r="ED3" s="1088"/>
      <c r="EE3" s="1088"/>
      <c r="EF3" s="1088"/>
      <c r="EG3" s="1088"/>
      <c r="EH3" s="1088"/>
      <c r="EI3" s="1111"/>
      <c r="EJ3" s="1112"/>
      <c r="EK3" s="1112"/>
      <c r="EL3" s="1112"/>
      <c r="EM3" s="1112"/>
      <c r="EN3" s="1112"/>
      <c r="EO3" s="1092"/>
      <c r="EP3" s="25"/>
      <c r="EQ3" s="1113"/>
      <c r="EZ3" s="2032"/>
      <c r="FA3" s="2034"/>
      <c r="FB3" s="2036"/>
      <c r="FC3" s="2037"/>
      <c r="FD3" s="2038"/>
      <c r="FE3" s="2036"/>
      <c r="FF3" s="2037"/>
      <c r="FG3" s="2037"/>
      <c r="FH3" s="2061"/>
      <c r="FI3" s="1092"/>
      <c r="FJ3" s="1090"/>
      <c r="FK3" s="1090"/>
      <c r="FL3" s="1090"/>
      <c r="FM3" s="1089"/>
      <c r="FN3" s="1091"/>
      <c r="FO3" s="1090"/>
      <c r="FP3" s="1090"/>
      <c r="FQ3" s="1090"/>
      <c r="FR3" s="1089"/>
      <c r="FS3" s="1091"/>
      <c r="FT3" s="1090"/>
      <c r="FU3" s="1090"/>
      <c r="FV3" s="1090"/>
      <c r="FW3" s="1090"/>
      <c r="FX3" s="1089"/>
      <c r="FY3" s="1091"/>
      <c r="FZ3" s="1090"/>
      <c r="GA3" s="1090"/>
      <c r="GB3" s="1090"/>
      <c r="GC3" s="1090"/>
      <c r="GD3" s="1090"/>
      <c r="GE3" s="1090"/>
      <c r="GF3" s="1089"/>
      <c r="GG3" s="1091"/>
      <c r="GH3" s="1090"/>
      <c r="GI3" s="1089"/>
      <c r="GJ3" s="1092"/>
      <c r="GK3" s="1090"/>
      <c r="GL3" s="1089"/>
      <c r="GT3" s="2032"/>
      <c r="GU3" s="2034"/>
      <c r="GV3" s="2036"/>
      <c r="GW3" s="2037"/>
      <c r="GX3" s="2038"/>
      <c r="GY3" s="2036"/>
      <c r="GZ3" s="2037"/>
      <c r="HA3" s="2037"/>
      <c r="HB3" s="2061"/>
      <c r="HC3" s="1092"/>
      <c r="HD3" s="1090"/>
      <c r="HE3" s="1090"/>
      <c r="HF3" s="1090"/>
      <c r="HG3" s="1089"/>
      <c r="HH3" s="1091"/>
      <c r="HI3" s="1090"/>
      <c r="HJ3" s="1090"/>
      <c r="HK3" s="1090"/>
      <c r="HL3" s="1089"/>
      <c r="HM3" s="1091"/>
      <c r="HN3" s="1090"/>
      <c r="HO3" s="1090"/>
      <c r="HP3" s="1090"/>
      <c r="HQ3" s="1090"/>
      <c r="HR3" s="1089"/>
      <c r="HS3" s="1091"/>
      <c r="HT3" s="1090"/>
      <c r="HU3" s="1090"/>
      <c r="HV3" s="1090"/>
      <c r="HW3" s="1090"/>
      <c r="HX3" s="1090"/>
      <c r="HY3" s="1090"/>
      <c r="HZ3" s="1089"/>
      <c r="IA3" s="1091"/>
      <c r="IB3" s="1090"/>
      <c r="IC3" s="1089"/>
      <c r="ID3" s="1092"/>
      <c r="IE3" s="1090"/>
      <c r="IF3" s="1089"/>
      <c r="IN3" s="1114"/>
      <c r="IO3" s="1115"/>
      <c r="IP3" s="1116"/>
      <c r="IQ3" s="1114"/>
      <c r="IR3" s="1115"/>
      <c r="IS3" s="1115"/>
      <c r="IT3" s="1115"/>
      <c r="IU3" s="1115"/>
      <c r="IV3" s="1115"/>
      <c r="IW3" s="1115"/>
      <c r="IX3" s="1117"/>
      <c r="IY3" s="1114"/>
      <c r="IZ3" s="1115"/>
      <c r="JA3" s="1115"/>
      <c r="JB3" s="1115"/>
      <c r="JC3" s="1117"/>
      <c r="JM3" s="2419"/>
      <c r="JN3" s="2422"/>
      <c r="JO3" s="324"/>
      <c r="JP3" s="324"/>
      <c r="JQ3" s="324"/>
      <c r="JR3" s="324"/>
      <c r="JS3" s="324"/>
      <c r="JT3" s="324"/>
      <c r="JU3" s="324"/>
      <c r="JV3" s="324"/>
      <c r="JW3" s="1118"/>
      <c r="JX3" s="1118"/>
      <c r="JY3" s="1118"/>
      <c r="JZ3" s="1118"/>
      <c r="KA3" s="1118"/>
      <c r="KB3" s="1118"/>
      <c r="KC3" s="1118"/>
      <c r="KD3" s="1119"/>
      <c r="KJ3" s="1083"/>
      <c r="KK3" s="1084"/>
      <c r="KL3" s="1084"/>
      <c r="KM3" s="1084"/>
      <c r="KN3" s="1084"/>
      <c r="KO3" s="1084"/>
      <c r="KP3" s="1084"/>
      <c r="KQ3" s="1084"/>
      <c r="KR3" s="1084"/>
      <c r="KS3" s="1084"/>
      <c r="KT3" s="1084"/>
      <c r="KU3" s="1084"/>
      <c r="KV3" s="1085"/>
      <c r="KW3"/>
      <c r="KX3" s="1925"/>
      <c r="KY3" s="1925"/>
      <c r="KZ3" s="1926"/>
      <c r="LA3" s="1925"/>
      <c r="LB3" s="1925"/>
      <c r="LC3" s="1925"/>
      <c r="LD3" s="1925"/>
      <c r="LE3" s="1925"/>
      <c r="LF3" s="1925"/>
      <c r="LG3" s="1926"/>
      <c r="LH3"/>
      <c r="LI3"/>
      <c r="LJ3"/>
    </row>
    <row r="4" spans="1:322" ht="17.25" thickBot="1">
      <c r="A4" s="2399"/>
      <c r="B4" s="2399"/>
      <c r="I4" s="337"/>
      <c r="J4" s="338"/>
      <c r="K4" s="1933"/>
      <c r="L4" s="324"/>
      <c r="M4" s="324"/>
      <c r="N4" s="324"/>
      <c r="O4" s="324"/>
      <c r="P4" s="1936"/>
      <c r="Q4" s="339"/>
      <c r="R4" s="339"/>
      <c r="S4" s="339"/>
      <c r="T4" s="339"/>
      <c r="U4" s="338"/>
      <c r="V4" s="340"/>
      <c r="AB4" s="1096"/>
      <c r="AC4" s="1097"/>
      <c r="AD4" s="1097"/>
      <c r="AE4" s="1097"/>
      <c r="AF4" s="1097"/>
      <c r="AG4" s="1097"/>
      <c r="AH4" s="1097"/>
      <c r="AN4" s="1098"/>
      <c r="AO4" s="1099"/>
      <c r="AP4" s="1100"/>
      <c r="AQ4" s="1101"/>
      <c r="AR4" s="1102"/>
      <c r="AS4" s="1100"/>
      <c r="AT4" s="1101"/>
      <c r="AU4" s="1101"/>
      <c r="AV4" s="1101"/>
      <c r="AW4" s="1101"/>
      <c r="AX4" s="1101"/>
      <c r="AY4" s="1102"/>
      <c r="AZ4" s="1103"/>
      <c r="BA4" s="1970"/>
      <c r="BI4" s="1104"/>
      <c r="BJ4" s="1104"/>
      <c r="BK4" s="1104"/>
      <c r="BL4" s="1104"/>
      <c r="BM4" s="1104"/>
      <c r="BN4" s="1104"/>
      <c r="BO4" s="1104"/>
      <c r="BP4" s="1104"/>
      <c r="BQ4" s="1104"/>
      <c r="BR4" s="1104"/>
      <c r="BS4" s="1104"/>
      <c r="BT4" s="1104"/>
      <c r="BU4" s="1104"/>
      <c r="BV4" s="1104"/>
      <c r="BW4" s="1104"/>
      <c r="BX4" s="1104"/>
      <c r="BY4" s="335"/>
      <c r="BZ4" s="344"/>
      <c r="CB4" s="1104"/>
      <c r="CC4" s="1104"/>
      <c r="CD4" s="1104"/>
      <c r="CE4" s="1104"/>
      <c r="CF4" s="1104"/>
      <c r="CG4" s="1104"/>
      <c r="CH4" s="1104"/>
      <c r="CI4" s="1104"/>
      <c r="CJ4" s="1104"/>
      <c r="CK4" s="1104"/>
      <c r="CL4" s="1104"/>
      <c r="CM4" s="1104"/>
      <c r="CN4" s="1104"/>
      <c r="CO4" s="1104"/>
      <c r="CP4" s="1104"/>
      <c r="CQ4" s="1104"/>
      <c r="CW4" s="1105"/>
      <c r="CX4" s="1106"/>
      <c r="CY4" s="1086"/>
      <c r="CZ4" s="1087"/>
      <c r="DA4" s="1105"/>
      <c r="DB4" s="1107"/>
      <c r="DC4" s="1107"/>
      <c r="DD4" s="1107"/>
      <c r="DE4" s="1107"/>
      <c r="DF4" s="1107"/>
      <c r="DG4" s="1107"/>
      <c r="DH4" s="1106"/>
      <c r="DI4" s="1108"/>
      <c r="DJ4" s="1109"/>
      <c r="DK4" s="1109"/>
      <c r="DL4" s="1109"/>
      <c r="DM4" s="1109"/>
      <c r="DN4" s="1109"/>
      <c r="DO4" s="1110"/>
      <c r="DV4" s="2036"/>
      <c r="DW4" s="2041"/>
      <c r="DX4" s="1088"/>
      <c r="DY4" s="1088"/>
      <c r="DZ4" s="1088"/>
      <c r="EA4" s="1088"/>
      <c r="EB4" s="1088"/>
      <c r="EC4" s="1088"/>
      <c r="ED4" s="1088"/>
      <c r="EE4" s="1088"/>
      <c r="EF4" s="1088"/>
      <c r="EG4" s="1088"/>
      <c r="EH4" s="1088"/>
      <c r="EI4" s="1111"/>
      <c r="EJ4" s="1112"/>
      <c r="EK4" s="1112"/>
      <c r="EL4" s="1112"/>
      <c r="EM4" s="1112"/>
      <c r="EN4" s="1112"/>
      <c r="EO4" s="1092"/>
      <c r="EP4" s="25"/>
      <c r="EQ4" s="1113"/>
      <c r="EZ4" s="2032"/>
      <c r="FA4" s="2034"/>
      <c r="FB4" s="2036"/>
      <c r="FC4" s="2037"/>
      <c r="FD4" s="2038"/>
      <c r="FE4" s="2036"/>
      <c r="FF4" s="2037"/>
      <c r="FG4" s="2037"/>
      <c r="FH4" s="2061"/>
      <c r="FI4" s="1092"/>
      <c r="FJ4" s="1090"/>
      <c r="FK4" s="1090"/>
      <c r="FL4" s="1090"/>
      <c r="FM4" s="1089"/>
      <c r="FN4" s="1091"/>
      <c r="FO4" s="1090"/>
      <c r="FP4" s="1090"/>
      <c r="FQ4" s="1090"/>
      <c r="FR4" s="1089"/>
      <c r="FS4" s="1091"/>
      <c r="FT4" s="1090"/>
      <c r="FU4" s="1090"/>
      <c r="FV4" s="1090"/>
      <c r="FW4" s="1090"/>
      <c r="FX4" s="1089"/>
      <c r="FY4" s="1091"/>
      <c r="FZ4" s="1090"/>
      <c r="GA4" s="1090"/>
      <c r="GB4" s="1090"/>
      <c r="GC4" s="1090"/>
      <c r="GD4" s="1090"/>
      <c r="GE4" s="1090"/>
      <c r="GF4" s="1089"/>
      <c r="GG4" s="1091"/>
      <c r="GH4" s="1090"/>
      <c r="GI4" s="1089"/>
      <c r="GJ4" s="1092"/>
      <c r="GK4" s="1090"/>
      <c r="GL4" s="1089"/>
      <c r="GT4" s="2032"/>
      <c r="GU4" s="2034"/>
      <c r="GV4" s="2036"/>
      <c r="GW4" s="2037"/>
      <c r="GX4" s="2038"/>
      <c r="GY4" s="2036"/>
      <c r="GZ4" s="2037"/>
      <c r="HA4" s="2037"/>
      <c r="HB4" s="2061"/>
      <c r="HC4" s="1092"/>
      <c r="HD4" s="1090"/>
      <c r="HE4" s="1090"/>
      <c r="HF4" s="1090"/>
      <c r="HG4" s="1089"/>
      <c r="HH4" s="1091"/>
      <c r="HI4" s="1090"/>
      <c r="HJ4" s="1090"/>
      <c r="HK4" s="1090"/>
      <c r="HL4" s="1089"/>
      <c r="HM4" s="1091"/>
      <c r="HN4" s="1090"/>
      <c r="HO4" s="1090"/>
      <c r="HP4" s="1090"/>
      <c r="HQ4" s="1090"/>
      <c r="HR4" s="1089"/>
      <c r="HS4" s="1091"/>
      <c r="HT4" s="1090"/>
      <c r="HU4" s="1090"/>
      <c r="HV4" s="1090"/>
      <c r="HW4" s="1090"/>
      <c r="HX4" s="1090"/>
      <c r="HY4" s="1090"/>
      <c r="HZ4" s="1089"/>
      <c r="IA4" s="1091"/>
      <c r="IB4" s="1090"/>
      <c r="IC4" s="1089"/>
      <c r="ID4" s="1092"/>
      <c r="IE4" s="1090"/>
      <c r="IF4" s="1089"/>
      <c r="IN4" s="1114"/>
      <c r="IO4" s="1115"/>
      <c r="IP4" s="1116"/>
      <c r="IQ4" s="1114"/>
      <c r="IR4" s="1115"/>
      <c r="IS4" s="1115"/>
      <c r="IT4" s="1115"/>
      <c r="IU4" s="1115"/>
      <c r="IV4" s="1115"/>
      <c r="IW4" s="1115"/>
      <c r="IX4" s="1117"/>
      <c r="IY4" s="1114"/>
      <c r="IZ4" s="1115"/>
      <c r="JA4" s="1115"/>
      <c r="JB4" s="1115"/>
      <c r="JC4" s="1117"/>
      <c r="JE4" s="1898" t="s">
        <v>2813</v>
      </c>
      <c r="JM4" s="2419"/>
      <c r="JN4" s="2422"/>
      <c r="JO4" s="324"/>
      <c r="JP4" s="324"/>
      <c r="JQ4" s="324"/>
      <c r="JR4" s="324"/>
      <c r="JS4" s="324"/>
      <c r="JT4" s="324"/>
      <c r="JU4" s="324"/>
      <c r="JV4" s="324"/>
      <c r="JW4" s="1118"/>
      <c r="JX4" s="1118"/>
      <c r="JY4" s="1118"/>
      <c r="JZ4" s="1118"/>
      <c r="KA4" s="1118"/>
      <c r="KB4" s="1118"/>
      <c r="KC4" s="1118"/>
      <c r="KD4" s="1119"/>
      <c r="KJ4" s="1083"/>
      <c r="KK4" s="1084"/>
      <c r="KL4" s="1084"/>
      <c r="KM4" s="1084"/>
      <c r="KN4" s="1084"/>
      <c r="KO4" s="1084"/>
      <c r="KP4" s="1084"/>
      <c r="KQ4" s="1084"/>
      <c r="KR4" s="1084"/>
      <c r="KS4" s="1084"/>
      <c r="KT4" s="1084"/>
      <c r="KU4" s="1084"/>
      <c r="KV4" s="1085"/>
      <c r="KW4"/>
      <c r="KX4" s="1925"/>
      <c r="KY4" s="1925"/>
      <c r="KZ4" s="1926"/>
      <c r="LA4" s="1925"/>
      <c r="LB4" s="1925"/>
      <c r="LC4" s="1925"/>
      <c r="LD4" s="1925"/>
      <c r="LE4" s="1925"/>
      <c r="LF4" s="1925"/>
      <c r="LG4" s="1926"/>
      <c r="LH4"/>
      <c r="LI4"/>
      <c r="LJ4"/>
    </row>
    <row r="5" spans="1:322" ht="17.25" customHeight="1" thickBot="1">
      <c r="A5" s="2399"/>
      <c r="B5" s="2399"/>
      <c r="I5" s="337"/>
      <c r="J5" s="338"/>
      <c r="K5" s="1933"/>
      <c r="L5" s="324"/>
      <c r="M5" s="324"/>
      <c r="N5" s="324"/>
      <c r="O5" s="324"/>
      <c r="P5" s="1936"/>
      <c r="Q5" s="339"/>
      <c r="R5" s="339"/>
      <c r="S5" s="339"/>
      <c r="T5" s="339"/>
      <c r="U5" s="338"/>
      <c r="V5" s="340"/>
      <c r="AB5" s="1096"/>
      <c r="AC5" s="1097"/>
      <c r="AD5" s="1097"/>
      <c r="AE5" s="1097"/>
      <c r="AF5" s="1097"/>
      <c r="AG5" s="1097"/>
      <c r="AH5" s="1097"/>
      <c r="AN5" s="1098"/>
      <c r="AO5" s="1099"/>
      <c r="AP5" s="1100"/>
      <c r="AQ5" s="1101"/>
      <c r="AR5" s="1102"/>
      <c r="AS5" s="1100"/>
      <c r="AT5" s="1101"/>
      <c r="AU5" s="1101"/>
      <c r="AV5" s="1101"/>
      <c r="AW5" s="1101"/>
      <c r="AX5" s="1101"/>
      <c r="AY5" s="1102"/>
      <c r="AZ5" s="1103"/>
      <c r="BA5" s="1970"/>
      <c r="BI5" s="1104"/>
      <c r="BJ5" s="1104"/>
      <c r="BK5" s="1104"/>
      <c r="BL5" s="1104"/>
      <c r="BM5" s="1104"/>
      <c r="BN5" s="1104"/>
      <c r="BO5" s="1104"/>
      <c r="BP5" s="1104"/>
      <c r="BQ5" s="1104"/>
      <c r="BR5" s="1104"/>
      <c r="BS5" s="1104"/>
      <c r="BT5" s="1104"/>
      <c r="BU5" s="1104"/>
      <c r="BV5" s="1104"/>
      <c r="BW5" s="1104"/>
      <c r="BX5" s="1104"/>
      <c r="BY5" s="335"/>
      <c r="BZ5" s="344"/>
      <c r="CB5" s="1104"/>
      <c r="CC5" s="1104"/>
      <c r="CD5" s="1104"/>
      <c r="CE5" s="1104"/>
      <c r="CF5" s="1104"/>
      <c r="CG5" s="1104"/>
      <c r="CH5" s="1104"/>
      <c r="CI5" s="1104"/>
      <c r="CJ5" s="1104"/>
      <c r="CK5" s="1104"/>
      <c r="CL5" s="1104"/>
      <c r="CM5" s="1104"/>
      <c r="CN5" s="1104"/>
      <c r="CO5" s="1104"/>
      <c r="CP5" s="1104"/>
      <c r="CQ5" s="1104"/>
      <c r="CW5" s="1105"/>
      <c r="CX5" s="1106"/>
      <c r="CY5" s="1086"/>
      <c r="CZ5" s="1087"/>
      <c r="DA5" s="1105"/>
      <c r="DB5" s="1107"/>
      <c r="DC5" s="1107"/>
      <c r="DD5" s="1107"/>
      <c r="DE5" s="1107"/>
      <c r="DF5" s="1107"/>
      <c r="DG5" s="1107"/>
      <c r="DH5" s="1106"/>
      <c r="DI5" s="1108"/>
      <c r="DJ5" s="1109"/>
      <c r="DK5" s="1109"/>
      <c r="DL5" s="1109"/>
      <c r="DM5" s="1109"/>
      <c r="DN5" s="1109"/>
      <c r="DO5" s="1110"/>
      <c r="DV5" s="2036"/>
      <c r="DW5" s="2041"/>
      <c r="DX5" s="1088"/>
      <c r="DY5" s="1088"/>
      <c r="DZ5" s="1088"/>
      <c r="EA5" s="1088"/>
      <c r="EB5" s="1088"/>
      <c r="EC5" s="1088"/>
      <c r="ED5" s="1088"/>
      <c r="EE5" s="1088"/>
      <c r="EF5" s="1088"/>
      <c r="EG5" s="1088"/>
      <c r="EH5" s="1088"/>
      <c r="EI5" s="1111"/>
      <c r="EJ5" s="1112"/>
      <c r="EK5" s="1112"/>
      <c r="EL5" s="1112"/>
      <c r="EM5" s="1112"/>
      <c r="EN5" s="1112"/>
      <c r="EO5" s="1092"/>
      <c r="EP5" s="25"/>
      <c r="EQ5" s="1113"/>
      <c r="EZ5" s="2032"/>
      <c r="FA5" s="2034"/>
      <c r="FB5" s="2036"/>
      <c r="FC5" s="2037"/>
      <c r="FD5" s="2038"/>
      <c r="FE5" s="2036"/>
      <c r="FF5" s="2037"/>
      <c r="FG5" s="2037"/>
      <c r="FH5" s="2061"/>
      <c r="FI5" s="1092"/>
      <c r="FJ5" s="1090"/>
      <c r="FK5" s="1090"/>
      <c r="FL5" s="1090"/>
      <c r="FM5" s="1089"/>
      <c r="FN5" s="1091"/>
      <c r="FO5" s="1090"/>
      <c r="FP5" s="1090"/>
      <c r="FQ5" s="1090"/>
      <c r="FR5" s="1089"/>
      <c r="FS5" s="1091"/>
      <c r="FT5" s="1090"/>
      <c r="FU5" s="1090"/>
      <c r="FV5" s="1090"/>
      <c r="FW5" s="1090"/>
      <c r="FX5" s="1089"/>
      <c r="FY5" s="1091"/>
      <c r="FZ5" s="1090"/>
      <c r="GA5" s="1090"/>
      <c r="GB5" s="1090"/>
      <c r="GC5" s="1090"/>
      <c r="GD5" s="1090"/>
      <c r="GE5" s="1090"/>
      <c r="GF5" s="1089"/>
      <c r="GG5" s="1091"/>
      <c r="GH5" s="1090"/>
      <c r="GI5" s="1089"/>
      <c r="GJ5" s="1092"/>
      <c r="GK5" s="1090"/>
      <c r="GL5" s="1089"/>
      <c r="GT5" s="2032"/>
      <c r="GU5" s="2034"/>
      <c r="GV5" s="2036"/>
      <c r="GW5" s="2037"/>
      <c r="GX5" s="2038"/>
      <c r="GY5" s="2036"/>
      <c r="GZ5" s="2037"/>
      <c r="HA5" s="2037"/>
      <c r="HB5" s="2061"/>
      <c r="HC5" s="1092"/>
      <c r="HD5" s="1090"/>
      <c r="HE5" s="1090"/>
      <c r="HF5" s="1090"/>
      <c r="HG5" s="1089"/>
      <c r="HH5" s="1091"/>
      <c r="HI5" s="1090"/>
      <c r="HJ5" s="1090"/>
      <c r="HK5" s="1090"/>
      <c r="HL5" s="1089"/>
      <c r="HM5" s="1091"/>
      <c r="HN5" s="1090"/>
      <c r="HO5" s="1090"/>
      <c r="HP5" s="1090"/>
      <c r="HQ5" s="1090"/>
      <c r="HR5" s="1089"/>
      <c r="HS5" s="1091"/>
      <c r="HT5" s="1090"/>
      <c r="HU5" s="1090"/>
      <c r="HV5" s="1090"/>
      <c r="HW5" s="1090"/>
      <c r="HX5" s="1090"/>
      <c r="HY5" s="1090"/>
      <c r="HZ5" s="1089"/>
      <c r="IA5" s="1091"/>
      <c r="IB5" s="1090"/>
      <c r="IC5" s="1089"/>
      <c r="ID5" s="1092"/>
      <c r="IE5" s="1090"/>
      <c r="IF5" s="1089"/>
      <c r="IN5" s="1114"/>
      <c r="IO5" s="1115"/>
      <c r="IP5" s="1116"/>
      <c r="IQ5" s="1114"/>
      <c r="IR5" s="1115"/>
      <c r="IS5" s="1115"/>
      <c r="IT5" s="1115"/>
      <c r="IU5" s="1115"/>
      <c r="IV5" s="1115"/>
      <c r="IW5" s="1115"/>
      <c r="IX5" s="1117"/>
      <c r="IY5" s="1114"/>
      <c r="IZ5" s="1115"/>
      <c r="JA5" s="1115"/>
      <c r="JB5" s="1115"/>
      <c r="JC5" s="1117"/>
      <c r="JE5" s="1899"/>
      <c r="JM5" s="2419"/>
      <c r="JN5" s="2422"/>
      <c r="JO5" s="324"/>
      <c r="JP5" s="324"/>
      <c r="JQ5" s="324"/>
      <c r="JR5" s="324"/>
      <c r="JS5" s="324"/>
      <c r="JT5" s="324"/>
      <c r="JU5" s="324"/>
      <c r="JV5" s="324"/>
      <c r="JW5" s="1118"/>
      <c r="JX5" s="1118"/>
      <c r="JY5" s="1118"/>
      <c r="JZ5" s="1118"/>
      <c r="KA5" s="1118"/>
      <c r="KB5" s="1118"/>
      <c r="KC5" s="1118"/>
      <c r="KD5" s="1119"/>
      <c r="KJ5" s="1083"/>
      <c r="KK5" s="1084"/>
      <c r="KL5" s="1084"/>
      <c r="KM5" s="1084"/>
      <c r="KN5" s="1084"/>
      <c r="KO5" s="1084"/>
      <c r="KP5" s="1084"/>
      <c r="KQ5" s="1084"/>
      <c r="KR5" s="1084"/>
      <c r="KS5" s="1084"/>
      <c r="KT5" s="1084"/>
      <c r="KU5" s="1084"/>
      <c r="KV5" s="1085"/>
      <c r="KW5"/>
      <c r="KX5" s="1925"/>
      <c r="KY5" s="1925"/>
      <c r="KZ5" s="1926"/>
      <c r="LA5" s="1925"/>
      <c r="LB5" s="1925"/>
      <c r="LC5" s="1925"/>
      <c r="LD5" s="1925"/>
      <c r="LE5" s="1925"/>
      <c r="LF5" s="1925"/>
      <c r="LG5" s="1926"/>
      <c r="LH5"/>
      <c r="LI5"/>
      <c r="LJ5"/>
    </row>
    <row r="6" spans="1:322" ht="33.75" customHeight="1" thickBot="1">
      <c r="A6" s="2399"/>
      <c r="B6" s="2399"/>
      <c r="I6" s="345" t="s">
        <v>1176</v>
      </c>
      <c r="J6" s="346">
        <v>3</v>
      </c>
      <c r="K6" s="1934"/>
      <c r="L6" s="346" t="s">
        <v>1177</v>
      </c>
      <c r="M6" s="346">
        <v>250</v>
      </c>
      <c r="N6" s="346">
        <v>275</v>
      </c>
      <c r="O6" s="346">
        <v>330</v>
      </c>
      <c r="P6" s="1937"/>
      <c r="Q6" s="346" t="s">
        <v>1178</v>
      </c>
      <c r="R6" s="347">
        <f>M6/2.1191</f>
        <v>117.97461186352697</v>
      </c>
      <c r="S6" s="347">
        <f t="shared" ref="S6:T10" si="0">N6/2.1191</f>
        <v>129.77207304987968</v>
      </c>
      <c r="T6" s="347">
        <f t="shared" si="0"/>
        <v>155.72648765985559</v>
      </c>
      <c r="U6" s="346">
        <v>2</v>
      </c>
      <c r="V6" s="348">
        <v>16</v>
      </c>
      <c r="AB6" s="349" t="s">
        <v>983</v>
      </c>
      <c r="AC6" s="350">
        <v>2</v>
      </c>
      <c r="AD6" s="350">
        <v>16</v>
      </c>
      <c r="AE6" s="350" t="s">
        <v>791</v>
      </c>
      <c r="AF6" s="350">
        <v>77</v>
      </c>
      <c r="AG6" s="350">
        <v>6.6</v>
      </c>
      <c r="AH6" s="351">
        <v>604</v>
      </c>
      <c r="AN6" s="352" t="s">
        <v>692</v>
      </c>
      <c r="AO6" s="353" t="s">
        <v>693</v>
      </c>
      <c r="AP6" s="354" t="s">
        <v>428</v>
      </c>
      <c r="AQ6" s="355" t="s">
        <v>694</v>
      </c>
      <c r="AR6" s="353" t="s">
        <v>695</v>
      </c>
      <c r="AS6" s="354" t="s">
        <v>696</v>
      </c>
      <c r="AT6" s="355" t="s">
        <v>692</v>
      </c>
      <c r="AU6" s="355" t="s">
        <v>697</v>
      </c>
      <c r="AV6" s="355" t="s">
        <v>698</v>
      </c>
      <c r="AW6" s="355" t="s">
        <v>699</v>
      </c>
      <c r="AX6" s="355" t="s">
        <v>700</v>
      </c>
      <c r="AY6" s="353" t="s">
        <v>701</v>
      </c>
      <c r="AZ6" s="356" t="s">
        <v>428</v>
      </c>
      <c r="BA6" s="1971"/>
      <c r="BI6" s="357"/>
      <c r="BJ6" s="357"/>
      <c r="BK6" s="357"/>
      <c r="BL6" s="357"/>
      <c r="BM6" s="357"/>
      <c r="BN6" s="357"/>
      <c r="BO6" s="357"/>
      <c r="BP6" s="357"/>
      <c r="BQ6" s="357"/>
      <c r="BR6" s="357"/>
      <c r="BS6" s="357"/>
      <c r="BT6" s="357"/>
      <c r="BU6" s="357"/>
      <c r="BV6" s="357"/>
      <c r="BW6" s="357"/>
      <c r="BX6" s="357"/>
      <c r="BY6" s="335"/>
      <c r="BZ6" s="344"/>
      <c r="CB6" s="357"/>
      <c r="CC6" s="357"/>
      <c r="CD6" s="357"/>
      <c r="CE6" s="357"/>
      <c r="CF6" s="357"/>
      <c r="CG6" s="357"/>
      <c r="CH6" s="357"/>
      <c r="CI6" s="357"/>
      <c r="CJ6" s="357"/>
      <c r="CK6" s="357"/>
      <c r="CL6" s="357"/>
      <c r="CM6" s="357"/>
      <c r="CN6" s="357"/>
      <c r="CO6" s="357"/>
      <c r="CP6" s="357"/>
      <c r="CQ6" s="357"/>
      <c r="CW6" s="354" t="s">
        <v>692</v>
      </c>
      <c r="CX6" s="353" t="s">
        <v>887</v>
      </c>
      <c r="CY6" s="358" t="s">
        <v>428</v>
      </c>
      <c r="CZ6" s="359" t="s">
        <v>888</v>
      </c>
      <c r="DA6" s="354" t="s">
        <v>889</v>
      </c>
      <c r="DB6" s="355" t="s">
        <v>890</v>
      </c>
      <c r="DC6" s="355" t="s">
        <v>891</v>
      </c>
      <c r="DD6" s="355" t="s">
        <v>1192</v>
      </c>
      <c r="DE6" s="355" t="s">
        <v>698</v>
      </c>
      <c r="DF6" s="355" t="s">
        <v>699</v>
      </c>
      <c r="DG6" s="360" t="s">
        <v>700</v>
      </c>
      <c r="DH6" s="353" t="s">
        <v>892</v>
      </c>
      <c r="DI6" s="354" t="s">
        <v>893</v>
      </c>
      <c r="DJ6" s="355" t="s">
        <v>894</v>
      </c>
      <c r="DK6" s="355" t="s">
        <v>891</v>
      </c>
      <c r="DL6" s="355" t="s">
        <v>1192</v>
      </c>
      <c r="DM6" s="355" t="s">
        <v>698</v>
      </c>
      <c r="DN6" s="355" t="s">
        <v>699</v>
      </c>
      <c r="DO6" s="353" t="s">
        <v>426</v>
      </c>
      <c r="DV6" s="1987"/>
      <c r="DW6" s="2037"/>
      <c r="DX6" s="361" t="s">
        <v>428</v>
      </c>
      <c r="DY6" s="361" t="s">
        <v>5</v>
      </c>
      <c r="DZ6" s="361" t="s">
        <v>428</v>
      </c>
      <c r="EA6" s="361" t="s">
        <v>951</v>
      </c>
      <c r="EB6" s="361" t="s">
        <v>952</v>
      </c>
      <c r="EC6" s="361" t="s">
        <v>699</v>
      </c>
      <c r="ED6" s="361" t="s">
        <v>953</v>
      </c>
      <c r="EE6" s="361" t="s">
        <v>692</v>
      </c>
      <c r="EF6" s="361" t="s">
        <v>954</v>
      </c>
      <c r="EG6" s="361" t="s">
        <v>955</v>
      </c>
      <c r="EH6" s="361" t="s">
        <v>956</v>
      </c>
      <c r="EI6" s="361" t="s">
        <v>426</v>
      </c>
      <c r="EJ6" s="361" t="s">
        <v>699</v>
      </c>
      <c r="EK6" s="361" t="s">
        <v>953</v>
      </c>
      <c r="EL6" s="361" t="s">
        <v>692</v>
      </c>
      <c r="EM6" s="361" t="s">
        <v>954</v>
      </c>
      <c r="EN6" s="361" t="s">
        <v>955</v>
      </c>
      <c r="EO6" s="361" t="s">
        <v>956</v>
      </c>
      <c r="EP6" s="361" t="s">
        <v>957</v>
      </c>
      <c r="EQ6" s="362" t="s">
        <v>958</v>
      </c>
      <c r="EZ6" s="2032"/>
      <c r="FA6" s="2034"/>
      <c r="FB6" s="1987"/>
      <c r="FC6" s="1988"/>
      <c r="FD6" s="2039"/>
      <c r="FE6" s="1987"/>
      <c r="FF6" s="1988"/>
      <c r="FG6" s="1988"/>
      <c r="FH6" s="2062"/>
      <c r="FI6" s="2059" t="s">
        <v>428</v>
      </c>
      <c r="FJ6" s="2052" t="s">
        <v>997</v>
      </c>
      <c r="FK6" s="2052" t="s">
        <v>998</v>
      </c>
      <c r="FL6" s="2052" t="s">
        <v>999</v>
      </c>
      <c r="FM6" s="2050" t="s">
        <v>5</v>
      </c>
      <c r="FN6" s="2055" t="s">
        <v>1193</v>
      </c>
      <c r="FO6" s="2052" t="s">
        <v>630</v>
      </c>
      <c r="FP6" s="2052" t="s">
        <v>1000</v>
      </c>
      <c r="FQ6" s="2052" t="s">
        <v>951</v>
      </c>
      <c r="FR6" s="2050" t="s">
        <v>952</v>
      </c>
      <c r="FS6" s="2055" t="s">
        <v>699</v>
      </c>
      <c r="FT6" s="2052" t="s">
        <v>953</v>
      </c>
      <c r="FU6" s="2052" t="s">
        <v>692</v>
      </c>
      <c r="FV6" s="2052" t="s">
        <v>954</v>
      </c>
      <c r="FW6" s="2052" t="s">
        <v>955</v>
      </c>
      <c r="FX6" s="2053" t="s">
        <v>956</v>
      </c>
      <c r="FY6" s="2055" t="s">
        <v>1001</v>
      </c>
      <c r="FZ6" s="2052" t="s">
        <v>396</v>
      </c>
      <c r="GA6" s="2052" t="s">
        <v>1002</v>
      </c>
      <c r="GB6" s="2052" t="s">
        <v>953</v>
      </c>
      <c r="GC6" s="2052" t="s">
        <v>692</v>
      </c>
      <c r="GD6" s="2052" t="s">
        <v>954</v>
      </c>
      <c r="GE6" s="2052" t="s">
        <v>955</v>
      </c>
      <c r="GF6" s="2053" t="s">
        <v>956</v>
      </c>
      <c r="GG6" s="2055" t="s">
        <v>692</v>
      </c>
      <c r="GH6" s="2052" t="s">
        <v>630</v>
      </c>
      <c r="GI6" s="2050" t="s">
        <v>645</v>
      </c>
      <c r="GJ6" s="2059" t="s">
        <v>1003</v>
      </c>
      <c r="GK6" s="2052" t="s">
        <v>1004</v>
      </c>
      <c r="GL6" s="2050" t="s">
        <v>1005</v>
      </c>
      <c r="GT6" s="2032"/>
      <c r="GU6" s="2034"/>
      <c r="GV6" s="1987"/>
      <c r="GW6" s="1988"/>
      <c r="GX6" s="2039"/>
      <c r="GY6" s="1987"/>
      <c r="GZ6" s="1988"/>
      <c r="HA6" s="1988"/>
      <c r="HB6" s="2062"/>
      <c r="HC6" s="2059" t="s">
        <v>428</v>
      </c>
      <c r="HD6" s="2052" t="s">
        <v>1098</v>
      </c>
      <c r="HE6" s="2052" t="s">
        <v>998</v>
      </c>
      <c r="HF6" s="2052" t="s">
        <v>999</v>
      </c>
      <c r="HG6" s="2050" t="s">
        <v>5</v>
      </c>
      <c r="HH6" s="2055" t="s">
        <v>1193</v>
      </c>
      <c r="HI6" s="2052" t="s">
        <v>630</v>
      </c>
      <c r="HJ6" s="2052" t="s">
        <v>1000</v>
      </c>
      <c r="HK6" s="2052" t="s">
        <v>951</v>
      </c>
      <c r="HL6" s="2050" t="s">
        <v>952</v>
      </c>
      <c r="HM6" s="2055" t="s">
        <v>699</v>
      </c>
      <c r="HN6" s="2052" t="s">
        <v>953</v>
      </c>
      <c r="HO6" s="2052" t="s">
        <v>692</v>
      </c>
      <c r="HP6" s="2052" t="s">
        <v>954</v>
      </c>
      <c r="HQ6" s="2052" t="s">
        <v>955</v>
      </c>
      <c r="HR6" s="2053" t="s">
        <v>956</v>
      </c>
      <c r="HS6" s="2055" t="s">
        <v>1001</v>
      </c>
      <c r="HT6" s="2052" t="s">
        <v>396</v>
      </c>
      <c r="HU6" s="2052" t="s">
        <v>1002</v>
      </c>
      <c r="HV6" s="2052" t="s">
        <v>953</v>
      </c>
      <c r="HW6" s="2052" t="s">
        <v>692</v>
      </c>
      <c r="HX6" s="2052" t="s">
        <v>954</v>
      </c>
      <c r="HY6" s="2052" t="s">
        <v>955</v>
      </c>
      <c r="HZ6" s="2053" t="s">
        <v>956</v>
      </c>
      <c r="IA6" s="2055" t="s">
        <v>692</v>
      </c>
      <c r="IB6" s="2052" t="s">
        <v>630</v>
      </c>
      <c r="IC6" s="2050" t="s">
        <v>645</v>
      </c>
      <c r="ID6" s="2059" t="s">
        <v>1003</v>
      </c>
      <c r="IE6" s="2052" t="s">
        <v>1004</v>
      </c>
      <c r="IF6" s="2050" t="s">
        <v>1005</v>
      </c>
      <c r="IN6" s="301" t="s">
        <v>0</v>
      </c>
      <c r="IO6" s="302" t="s">
        <v>1105</v>
      </c>
      <c r="IP6" s="559" t="s">
        <v>1106</v>
      </c>
      <c r="IQ6" s="301" t="s">
        <v>1107</v>
      </c>
      <c r="IR6" s="302" t="s">
        <v>981</v>
      </c>
      <c r="IS6" s="302" t="s">
        <v>1110</v>
      </c>
      <c r="IT6" s="302" t="s">
        <v>1108</v>
      </c>
      <c r="IU6" s="302" t="s">
        <v>1109</v>
      </c>
      <c r="IV6" s="302" t="s">
        <v>731</v>
      </c>
      <c r="IW6" s="302" t="s">
        <v>1114</v>
      </c>
      <c r="IX6" s="303" t="s">
        <v>1115</v>
      </c>
      <c r="IY6" s="301" t="s">
        <v>1107</v>
      </c>
      <c r="IZ6" s="302" t="s">
        <v>981</v>
      </c>
      <c r="JA6" s="302" t="s">
        <v>1114</v>
      </c>
      <c r="JB6" s="302" t="s">
        <v>1115</v>
      </c>
      <c r="JC6" s="303" t="s">
        <v>426</v>
      </c>
      <c r="JE6" s="1152">
        <v>1</v>
      </c>
      <c r="JM6" s="2420"/>
      <c r="JN6" s="2423"/>
      <c r="JO6" s="321" t="s">
        <v>1123</v>
      </c>
      <c r="JP6" s="321" t="s">
        <v>1124</v>
      </c>
      <c r="JQ6" s="321" t="s">
        <v>1125</v>
      </c>
      <c r="JR6" s="321" t="s">
        <v>1126</v>
      </c>
      <c r="JS6" s="321" t="s">
        <v>1127</v>
      </c>
      <c r="JT6" s="321" t="s">
        <v>1128</v>
      </c>
      <c r="JU6" s="321" t="s">
        <v>1129</v>
      </c>
      <c r="JV6" s="321" t="s">
        <v>1130</v>
      </c>
      <c r="JW6" s="322" t="s">
        <v>1132</v>
      </c>
      <c r="JX6" s="322" t="s">
        <v>1133</v>
      </c>
      <c r="JY6" s="322" t="s">
        <v>1134</v>
      </c>
      <c r="JZ6" s="322" t="s">
        <v>1135</v>
      </c>
      <c r="KA6" s="322" t="s">
        <v>1136</v>
      </c>
      <c r="KB6" s="323" t="s">
        <v>1137</v>
      </c>
      <c r="KC6" s="322" t="s">
        <v>1138</v>
      </c>
      <c r="KD6" s="326" t="s">
        <v>1139</v>
      </c>
      <c r="KJ6" s="1907"/>
      <c r="KK6" s="1908"/>
      <c r="KL6" s="1909"/>
      <c r="KM6" s="1905" t="s">
        <v>1276</v>
      </c>
      <c r="KN6" s="1906"/>
      <c r="KO6" s="1905" t="s">
        <v>1277</v>
      </c>
      <c r="KP6" s="1906"/>
      <c r="KQ6" s="1905"/>
      <c r="KR6" s="1910"/>
      <c r="KS6" s="1910"/>
      <c r="KT6" s="1910"/>
      <c r="KU6" s="1910"/>
      <c r="KV6" s="1906"/>
      <c r="KW6"/>
      <c r="KX6" s="1925"/>
      <c r="KY6" s="1925"/>
      <c r="KZ6" s="1926"/>
      <c r="LA6" s="1925"/>
      <c r="LB6" s="1925"/>
      <c r="LC6" s="1925"/>
      <c r="LD6" s="1925"/>
      <c r="LE6" s="1925"/>
      <c r="LF6" s="1925"/>
      <c r="LG6" s="1926"/>
      <c r="LH6"/>
      <c r="LI6"/>
      <c r="LJ6"/>
    </row>
    <row r="7" spans="1:322" ht="66.75" thickBot="1">
      <c r="A7" s="2400"/>
      <c r="B7" s="2400"/>
      <c r="I7" s="345" t="s">
        <v>1179</v>
      </c>
      <c r="J7" s="346">
        <v>3</v>
      </c>
      <c r="K7" s="1934"/>
      <c r="L7" s="346" t="s">
        <v>1180</v>
      </c>
      <c r="M7" s="346">
        <v>400</v>
      </c>
      <c r="N7" s="346">
        <v>430</v>
      </c>
      <c r="O7" s="346">
        <v>480</v>
      </c>
      <c r="P7" s="1937"/>
      <c r="Q7" s="346" t="s">
        <v>1181</v>
      </c>
      <c r="R7" s="347">
        <f t="shared" ref="R7:R10" si="1">M7/2.1191</f>
        <v>188.75937898164315</v>
      </c>
      <c r="S7" s="347">
        <f t="shared" si="0"/>
        <v>202.91633240526639</v>
      </c>
      <c r="T7" s="347">
        <f t="shared" si="0"/>
        <v>226.51125477797177</v>
      </c>
      <c r="U7" s="346">
        <v>3</v>
      </c>
      <c r="V7" s="348">
        <v>16</v>
      </c>
      <c r="AB7" s="349" t="s">
        <v>984</v>
      </c>
      <c r="AC7" s="350">
        <v>2</v>
      </c>
      <c r="AD7" s="350">
        <v>16</v>
      </c>
      <c r="AE7" s="350" t="s">
        <v>793</v>
      </c>
      <c r="AF7" s="350">
        <v>77</v>
      </c>
      <c r="AG7" s="350">
        <v>6.6</v>
      </c>
      <c r="AH7" s="351">
        <v>754</v>
      </c>
      <c r="AN7" s="365">
        <v>1</v>
      </c>
      <c r="AO7" s="366">
        <v>50</v>
      </c>
      <c r="AP7" s="367" t="s">
        <v>702</v>
      </c>
      <c r="AQ7" s="368" t="s">
        <v>703</v>
      </c>
      <c r="AR7" s="366">
        <v>2</v>
      </c>
      <c r="AS7" s="369" t="s">
        <v>704</v>
      </c>
      <c r="AT7" s="368">
        <v>2</v>
      </c>
      <c r="AU7" s="370">
        <v>68.611000000000004</v>
      </c>
      <c r="AV7" s="368">
        <v>12</v>
      </c>
      <c r="AW7" s="368">
        <v>4</v>
      </c>
      <c r="AX7" s="371">
        <v>900</v>
      </c>
      <c r="AY7" s="372">
        <v>2</v>
      </c>
      <c r="AZ7" s="373" t="s">
        <v>705</v>
      </c>
      <c r="BA7" s="374">
        <v>52.4</v>
      </c>
      <c r="BI7" s="375" t="s">
        <v>0</v>
      </c>
      <c r="BJ7" s="376" t="s">
        <v>729</v>
      </c>
      <c r="BK7" s="376" t="s">
        <v>730</v>
      </c>
      <c r="BL7" s="376" t="s">
        <v>731</v>
      </c>
      <c r="BM7" s="376" t="s">
        <v>732</v>
      </c>
      <c r="BN7" s="376" t="s">
        <v>733</v>
      </c>
      <c r="BO7" s="1954" t="s">
        <v>734</v>
      </c>
      <c r="BP7" s="1954"/>
      <c r="BQ7" s="377" t="s">
        <v>0</v>
      </c>
      <c r="BR7" s="357"/>
      <c r="BS7" s="1955" t="s">
        <v>735</v>
      </c>
      <c r="BT7" s="1956"/>
      <c r="BU7" s="1956"/>
      <c r="BV7" s="1956"/>
      <c r="BW7" s="1956"/>
      <c r="BX7" s="1957"/>
      <c r="BY7" s="335"/>
      <c r="BZ7" s="344"/>
      <c r="CB7" s="375" t="s">
        <v>0</v>
      </c>
      <c r="CC7" s="376" t="s">
        <v>729</v>
      </c>
      <c r="CD7" s="376" t="s">
        <v>730</v>
      </c>
      <c r="CE7" s="376" t="s">
        <v>731</v>
      </c>
      <c r="CF7" s="376" t="s">
        <v>862</v>
      </c>
      <c r="CG7" s="376" t="s">
        <v>863</v>
      </c>
      <c r="CH7" s="1954" t="s">
        <v>734</v>
      </c>
      <c r="CI7" s="1954"/>
      <c r="CJ7" s="377" t="s">
        <v>0</v>
      </c>
      <c r="CK7" s="357"/>
      <c r="CL7" s="1955" t="s">
        <v>735</v>
      </c>
      <c r="CM7" s="1956"/>
      <c r="CN7" s="1956"/>
      <c r="CO7" s="1956"/>
      <c r="CP7" s="1956"/>
      <c r="CQ7" s="1957"/>
      <c r="CW7" s="380">
        <v>1</v>
      </c>
      <c r="CX7" s="381" t="s">
        <v>895</v>
      </c>
      <c r="CY7" s="382" t="s">
        <v>896</v>
      </c>
      <c r="CZ7" s="383">
        <v>1</v>
      </c>
      <c r="DA7" s="382">
        <v>42</v>
      </c>
      <c r="DB7" s="384">
        <v>36</v>
      </c>
      <c r="DC7" s="384">
        <v>1</v>
      </c>
      <c r="DD7" s="385">
        <v>10.5</v>
      </c>
      <c r="DE7" s="384">
        <v>12</v>
      </c>
      <c r="DF7" s="386">
        <v>3</v>
      </c>
      <c r="DG7" s="387">
        <v>450</v>
      </c>
      <c r="DH7" s="388">
        <v>2</v>
      </c>
      <c r="DI7" s="382">
        <v>37</v>
      </c>
      <c r="DJ7" s="384">
        <v>18</v>
      </c>
      <c r="DK7" s="384">
        <v>1</v>
      </c>
      <c r="DL7" s="389">
        <v>4.625</v>
      </c>
      <c r="DM7" s="386">
        <v>12</v>
      </c>
      <c r="DN7" s="384">
        <v>3</v>
      </c>
      <c r="DO7" s="381">
        <v>1400</v>
      </c>
      <c r="DV7" s="390" t="s">
        <v>959</v>
      </c>
      <c r="DW7" s="391" t="s">
        <v>960</v>
      </c>
      <c r="DX7" s="361">
        <v>1.33</v>
      </c>
      <c r="DY7" s="391">
        <v>1</v>
      </c>
      <c r="DZ7" s="391">
        <v>450</v>
      </c>
      <c r="EA7" s="391">
        <v>1400</v>
      </c>
      <c r="EB7" s="391">
        <v>1</v>
      </c>
      <c r="EC7" s="391">
        <v>3</v>
      </c>
      <c r="ED7" s="391">
        <v>12</v>
      </c>
      <c r="EE7" s="391">
        <v>1</v>
      </c>
      <c r="EF7" s="391">
        <v>26</v>
      </c>
      <c r="EG7" s="391">
        <v>24</v>
      </c>
      <c r="EH7" s="392">
        <v>4.3330001831054688</v>
      </c>
      <c r="EI7" s="391">
        <v>700</v>
      </c>
      <c r="EJ7" s="391">
        <v>3</v>
      </c>
      <c r="EK7" s="393">
        <v>12</v>
      </c>
      <c r="EL7" s="391">
        <v>1</v>
      </c>
      <c r="EM7" s="391">
        <v>18</v>
      </c>
      <c r="EN7" s="391">
        <v>15</v>
      </c>
      <c r="EO7" s="394">
        <v>1.875</v>
      </c>
      <c r="EP7" s="6" t="s">
        <v>961</v>
      </c>
      <c r="EQ7" s="315" t="s">
        <v>962</v>
      </c>
      <c r="EZ7" s="2032"/>
      <c r="FA7" s="2034"/>
      <c r="FB7" s="364" t="s">
        <v>1006</v>
      </c>
      <c r="FC7" s="363" t="s">
        <v>1007</v>
      </c>
      <c r="FD7" s="395" t="s">
        <v>659</v>
      </c>
      <c r="FE7" s="1989"/>
      <c r="FF7" s="1990"/>
      <c r="FG7" s="1990"/>
      <c r="FH7" s="2063"/>
      <c r="FI7" s="2060"/>
      <c r="FJ7" s="2041"/>
      <c r="FK7" s="2041"/>
      <c r="FL7" s="2041"/>
      <c r="FM7" s="2051"/>
      <c r="FN7" s="2056"/>
      <c r="FO7" s="2041"/>
      <c r="FP7" s="2041"/>
      <c r="FQ7" s="2041"/>
      <c r="FR7" s="2051"/>
      <c r="FS7" s="2056"/>
      <c r="FT7" s="2041"/>
      <c r="FU7" s="2041"/>
      <c r="FV7" s="2041"/>
      <c r="FW7" s="2041"/>
      <c r="FX7" s="2054"/>
      <c r="FY7" s="2056"/>
      <c r="FZ7" s="2041"/>
      <c r="GA7" s="2041"/>
      <c r="GB7" s="2041"/>
      <c r="GC7" s="2041"/>
      <c r="GD7" s="2041"/>
      <c r="GE7" s="2041"/>
      <c r="GF7" s="2054"/>
      <c r="GG7" s="2056"/>
      <c r="GH7" s="2041"/>
      <c r="GI7" s="2051"/>
      <c r="GJ7" s="2060"/>
      <c r="GK7" s="2041"/>
      <c r="GL7" s="2051"/>
      <c r="GT7" s="2032"/>
      <c r="GU7" s="2034"/>
      <c r="GV7" s="364" t="s">
        <v>1006</v>
      </c>
      <c r="GW7" s="363" t="s">
        <v>1007</v>
      </c>
      <c r="GX7" s="395" t="s">
        <v>659</v>
      </c>
      <c r="GY7" s="1989"/>
      <c r="GZ7" s="1990"/>
      <c r="HA7" s="1990"/>
      <c r="HB7" s="2063"/>
      <c r="HC7" s="2060"/>
      <c r="HD7" s="2041"/>
      <c r="HE7" s="2041"/>
      <c r="HF7" s="2041"/>
      <c r="HG7" s="2051"/>
      <c r="HH7" s="2056"/>
      <c r="HI7" s="2041"/>
      <c r="HJ7" s="2041"/>
      <c r="HK7" s="2041"/>
      <c r="HL7" s="2051"/>
      <c r="HM7" s="2056"/>
      <c r="HN7" s="2041"/>
      <c r="HO7" s="2041"/>
      <c r="HP7" s="2041"/>
      <c r="HQ7" s="2041"/>
      <c r="HR7" s="2054"/>
      <c r="HS7" s="2056"/>
      <c r="HT7" s="2041"/>
      <c r="HU7" s="2041"/>
      <c r="HV7" s="2041"/>
      <c r="HW7" s="2041"/>
      <c r="HX7" s="2041"/>
      <c r="HY7" s="2041"/>
      <c r="HZ7" s="2054"/>
      <c r="IA7" s="2056"/>
      <c r="IB7" s="2041"/>
      <c r="IC7" s="2051"/>
      <c r="ID7" s="2060"/>
      <c r="IE7" s="2041"/>
      <c r="IF7" s="2051"/>
      <c r="IN7" s="304" t="s">
        <v>1102</v>
      </c>
      <c r="IO7" s="307" t="s">
        <v>1101</v>
      </c>
      <c r="IP7" s="560">
        <v>1</v>
      </c>
      <c r="IQ7" s="563">
        <v>30</v>
      </c>
      <c r="IR7" s="307">
        <v>33</v>
      </c>
      <c r="IS7" s="307">
        <v>1</v>
      </c>
      <c r="IT7" s="307">
        <v>630</v>
      </c>
      <c r="IU7" s="307">
        <v>1</v>
      </c>
      <c r="IV7" s="308">
        <f>IQ7*IR7*IS7/144</f>
        <v>6.875</v>
      </c>
      <c r="IW7" s="307">
        <v>2</v>
      </c>
      <c r="IX7" s="314">
        <v>12</v>
      </c>
      <c r="IY7" s="563">
        <v>13</v>
      </c>
      <c r="IZ7" s="307">
        <v>38</v>
      </c>
      <c r="JA7" s="307">
        <v>4</v>
      </c>
      <c r="JB7" s="307">
        <v>12</v>
      </c>
      <c r="JC7" s="309">
        <v>1550</v>
      </c>
      <c r="JE7" s="1152">
        <v>1</v>
      </c>
      <c r="JM7" s="327" t="s">
        <v>1158</v>
      </c>
      <c r="JN7" s="300" t="s">
        <v>1121</v>
      </c>
      <c r="JO7" s="300">
        <v>1200</v>
      </c>
      <c r="JP7" s="300" t="s">
        <v>1141</v>
      </c>
      <c r="JQ7" s="300" t="s">
        <v>1143</v>
      </c>
      <c r="JR7" s="300" t="s">
        <v>1144</v>
      </c>
      <c r="JS7" s="300" t="s">
        <v>1145</v>
      </c>
      <c r="JT7" s="300" t="s">
        <v>1147</v>
      </c>
      <c r="JU7" s="300" t="s">
        <v>1148</v>
      </c>
      <c r="JV7" s="300" t="s">
        <v>1149</v>
      </c>
      <c r="JW7" s="300">
        <v>1600</v>
      </c>
      <c r="JX7" s="300" t="s">
        <v>1150</v>
      </c>
      <c r="JY7" s="300" t="s">
        <v>1151</v>
      </c>
      <c r="JZ7" s="300" t="s">
        <v>1147</v>
      </c>
      <c r="KA7" s="300" t="s">
        <v>1152</v>
      </c>
      <c r="KB7" s="300" t="s">
        <v>1153</v>
      </c>
      <c r="KC7" s="300">
        <v>1.7</v>
      </c>
      <c r="KD7" s="328">
        <v>1.7</v>
      </c>
      <c r="KJ7" s="538" t="s">
        <v>428</v>
      </c>
      <c r="KK7" s="538" t="s">
        <v>1112</v>
      </c>
      <c r="KL7" s="538" t="s">
        <v>1201</v>
      </c>
      <c r="KM7" s="538" t="s">
        <v>1202</v>
      </c>
      <c r="KN7" s="538" t="s">
        <v>1203</v>
      </c>
      <c r="KO7" s="538" t="s">
        <v>1202</v>
      </c>
      <c r="KP7" s="538" t="s">
        <v>1203</v>
      </c>
      <c r="KQ7" s="538" t="s">
        <v>980</v>
      </c>
      <c r="KR7" s="538" t="s">
        <v>953</v>
      </c>
      <c r="KS7" s="538" t="s">
        <v>701</v>
      </c>
      <c r="KT7" s="1924" t="s">
        <v>1207</v>
      </c>
      <c r="KU7" s="1924"/>
      <c r="KV7" s="1924"/>
      <c r="KW7"/>
      <c r="KX7" s="540" t="s">
        <v>1210</v>
      </c>
      <c r="KY7" s="540" t="s">
        <v>1211</v>
      </c>
      <c r="KZ7" s="541">
        <v>1</v>
      </c>
      <c r="LA7" s="542">
        <v>12.4</v>
      </c>
      <c r="LB7" s="542">
        <v>26.2</v>
      </c>
      <c r="LC7" s="543">
        <v>2.2999999999999998</v>
      </c>
      <c r="LD7" s="544">
        <v>16</v>
      </c>
      <c r="LE7" s="540">
        <v>2</v>
      </c>
      <c r="LF7" s="542">
        <v>412</v>
      </c>
      <c r="LG7" s="542">
        <v>1</v>
      </c>
      <c r="LH7"/>
      <c r="LI7"/>
      <c r="LJ7"/>
    </row>
    <row r="8" spans="1:322" ht="21" thickBot="1">
      <c r="A8" s="1120" t="s">
        <v>105</v>
      </c>
      <c r="B8" s="1120" t="s">
        <v>2696</v>
      </c>
      <c r="I8" s="345" t="s">
        <v>1182</v>
      </c>
      <c r="J8" s="346">
        <v>3</v>
      </c>
      <c r="K8" s="1934"/>
      <c r="L8" s="346" t="s">
        <v>1180</v>
      </c>
      <c r="M8" s="346">
        <v>480</v>
      </c>
      <c r="N8" s="346">
        <v>520</v>
      </c>
      <c r="O8" s="346">
        <v>600</v>
      </c>
      <c r="P8" s="1937"/>
      <c r="Q8" s="346" t="s">
        <v>1181</v>
      </c>
      <c r="R8" s="347">
        <f t="shared" si="1"/>
        <v>226.51125477797177</v>
      </c>
      <c r="S8" s="347">
        <f t="shared" si="0"/>
        <v>245.3871926761361</v>
      </c>
      <c r="T8" s="347">
        <f t="shared" si="0"/>
        <v>283.13906847246471</v>
      </c>
      <c r="U8" s="346">
        <v>3</v>
      </c>
      <c r="V8" s="348">
        <v>16</v>
      </c>
      <c r="AB8" s="349" t="s">
        <v>985</v>
      </c>
      <c r="AC8" s="350">
        <v>2</v>
      </c>
      <c r="AD8" s="350">
        <v>16</v>
      </c>
      <c r="AE8" s="350" t="s">
        <v>793</v>
      </c>
      <c r="AF8" s="350">
        <v>77</v>
      </c>
      <c r="AG8" s="350">
        <v>10</v>
      </c>
      <c r="AH8" s="351">
        <v>854</v>
      </c>
      <c r="AN8" s="396">
        <v>2</v>
      </c>
      <c r="AO8" s="397">
        <v>55</v>
      </c>
      <c r="AP8" s="398" t="s">
        <v>706</v>
      </c>
      <c r="AQ8" s="399">
        <v>2</v>
      </c>
      <c r="AR8" s="397">
        <v>2</v>
      </c>
      <c r="AS8" s="400" t="s">
        <v>704</v>
      </c>
      <c r="AT8" s="399">
        <v>2</v>
      </c>
      <c r="AU8" s="401">
        <v>68.611000000000004</v>
      </c>
      <c r="AV8" s="399">
        <v>12</v>
      </c>
      <c r="AW8" s="399">
        <v>4</v>
      </c>
      <c r="AX8" s="402">
        <v>900</v>
      </c>
      <c r="AY8" s="403">
        <v>2</v>
      </c>
      <c r="AZ8" s="404" t="s">
        <v>705</v>
      </c>
      <c r="BA8" s="405">
        <v>57.2</v>
      </c>
      <c r="BI8" s="406" t="s">
        <v>736</v>
      </c>
      <c r="BJ8" s="407" t="s">
        <v>737</v>
      </c>
      <c r="BK8" s="407" t="s">
        <v>737</v>
      </c>
      <c r="BL8" s="407" t="s">
        <v>738</v>
      </c>
      <c r="BM8" s="407" t="s">
        <v>739</v>
      </c>
      <c r="BN8" s="407" t="s">
        <v>739</v>
      </c>
      <c r="BO8" s="1958" t="s">
        <v>740</v>
      </c>
      <c r="BP8" s="1958"/>
      <c r="BQ8" s="408" t="s">
        <v>736</v>
      </c>
      <c r="BR8" s="357"/>
      <c r="BS8" s="1959" t="s">
        <v>741</v>
      </c>
      <c r="BT8" s="1960"/>
      <c r="BU8" s="1960"/>
      <c r="BV8" s="1960" t="s">
        <v>742</v>
      </c>
      <c r="BW8" s="1960"/>
      <c r="BX8" s="409" t="s">
        <v>0</v>
      </c>
      <c r="BY8" s="335"/>
      <c r="BZ8" s="344"/>
      <c r="CB8" s="406" t="s">
        <v>736</v>
      </c>
      <c r="CC8" s="407" t="s">
        <v>864</v>
      </c>
      <c r="CD8" s="407" t="s">
        <v>864</v>
      </c>
      <c r="CE8" s="407" t="s">
        <v>865</v>
      </c>
      <c r="CF8" s="407" t="s">
        <v>426</v>
      </c>
      <c r="CG8" s="407" t="s">
        <v>426</v>
      </c>
      <c r="CH8" s="1958" t="s">
        <v>740</v>
      </c>
      <c r="CI8" s="1958"/>
      <c r="CJ8" s="408" t="s">
        <v>736</v>
      </c>
      <c r="CK8" s="357"/>
      <c r="CL8" s="1959" t="s">
        <v>741</v>
      </c>
      <c r="CM8" s="1960"/>
      <c r="CN8" s="1960"/>
      <c r="CO8" s="1960" t="s">
        <v>742</v>
      </c>
      <c r="CP8" s="1960"/>
      <c r="CQ8" s="409" t="s">
        <v>0</v>
      </c>
      <c r="CW8" s="410">
        <v>2</v>
      </c>
      <c r="CX8" s="411" t="s">
        <v>897</v>
      </c>
      <c r="CY8" s="390" t="s">
        <v>898</v>
      </c>
      <c r="CZ8" s="412">
        <v>1</v>
      </c>
      <c r="DA8" s="390">
        <v>42</v>
      </c>
      <c r="DB8" s="391">
        <v>36</v>
      </c>
      <c r="DC8" s="391">
        <v>1</v>
      </c>
      <c r="DD8" s="392">
        <v>10.5</v>
      </c>
      <c r="DE8" s="391">
        <v>12</v>
      </c>
      <c r="DF8" s="413">
        <v>3</v>
      </c>
      <c r="DG8" s="414">
        <v>450</v>
      </c>
      <c r="DH8" s="411">
        <v>2</v>
      </c>
      <c r="DI8" s="390">
        <v>37</v>
      </c>
      <c r="DJ8" s="391">
        <v>18</v>
      </c>
      <c r="DK8" s="391">
        <v>1</v>
      </c>
      <c r="DL8" s="415">
        <v>4.625</v>
      </c>
      <c r="DM8" s="391">
        <v>12</v>
      </c>
      <c r="DN8" s="391">
        <v>3</v>
      </c>
      <c r="DO8" s="411">
        <v>1850</v>
      </c>
      <c r="DV8" s="390" t="s">
        <v>963</v>
      </c>
      <c r="DW8" s="391" t="s">
        <v>964</v>
      </c>
      <c r="DX8" s="391">
        <v>2</v>
      </c>
      <c r="DY8" s="391">
        <v>1</v>
      </c>
      <c r="DZ8" s="391">
        <v>450</v>
      </c>
      <c r="EA8" s="391">
        <v>1400</v>
      </c>
      <c r="EB8" s="391">
        <v>1</v>
      </c>
      <c r="EC8" s="391">
        <v>3</v>
      </c>
      <c r="ED8" s="391">
        <v>12</v>
      </c>
      <c r="EE8" s="391">
        <v>1</v>
      </c>
      <c r="EF8" s="391">
        <v>26</v>
      </c>
      <c r="EG8" s="391">
        <v>24</v>
      </c>
      <c r="EH8" s="392">
        <v>4.3330001831054688</v>
      </c>
      <c r="EI8" s="391">
        <v>750</v>
      </c>
      <c r="EJ8" s="391">
        <v>3</v>
      </c>
      <c r="EK8" s="391">
        <v>12</v>
      </c>
      <c r="EL8" s="391">
        <v>1</v>
      </c>
      <c r="EM8" s="391">
        <v>18</v>
      </c>
      <c r="EN8" s="391">
        <v>15</v>
      </c>
      <c r="EO8" s="394">
        <v>1.875</v>
      </c>
      <c r="EP8" s="6" t="s">
        <v>961</v>
      </c>
      <c r="EQ8" s="316" t="s">
        <v>962</v>
      </c>
      <c r="EZ8" s="2076">
        <v>1</v>
      </c>
      <c r="FA8" s="2079">
        <v>1</v>
      </c>
      <c r="FB8" s="416" t="s">
        <v>1008</v>
      </c>
      <c r="FC8" s="417"/>
      <c r="FD8" s="2081" t="s">
        <v>1009</v>
      </c>
      <c r="FE8" s="2082" t="s">
        <v>1010</v>
      </c>
      <c r="FF8" s="2084">
        <v>22.622826086956522</v>
      </c>
      <c r="FG8" s="2086">
        <v>30</v>
      </c>
      <c r="FH8" s="2072">
        <v>1</v>
      </c>
      <c r="FI8" s="2070" t="s">
        <v>1011</v>
      </c>
      <c r="FJ8" s="2064">
        <v>1.33</v>
      </c>
      <c r="FK8" s="2064">
        <v>7.9</v>
      </c>
      <c r="FL8" s="2064">
        <v>44</v>
      </c>
      <c r="FM8" s="2074">
        <v>1</v>
      </c>
      <c r="FN8" s="2070">
        <v>460</v>
      </c>
      <c r="FO8" s="2064">
        <v>0.55000000000000004</v>
      </c>
      <c r="FP8" s="2064">
        <v>4.2</v>
      </c>
      <c r="FQ8" s="2064">
        <v>1200</v>
      </c>
      <c r="FR8" s="2074">
        <v>1</v>
      </c>
      <c r="FS8" s="2070">
        <v>3</v>
      </c>
      <c r="FT8" s="2064">
        <v>12</v>
      </c>
      <c r="FU8" s="2064">
        <v>1</v>
      </c>
      <c r="FV8" s="2066">
        <v>26</v>
      </c>
      <c r="FW8" s="2066">
        <v>24</v>
      </c>
      <c r="FX8" s="2068">
        <v>4.333333333333333</v>
      </c>
      <c r="FY8" s="2070">
        <v>400</v>
      </c>
      <c r="FZ8" s="2102" t="s">
        <v>1012</v>
      </c>
      <c r="GA8" s="2064">
        <v>3</v>
      </c>
      <c r="GB8" s="2064">
        <v>12</v>
      </c>
      <c r="GC8" s="2064">
        <v>1</v>
      </c>
      <c r="GD8" s="2066">
        <v>18</v>
      </c>
      <c r="GE8" s="2066">
        <v>15</v>
      </c>
      <c r="GF8" s="2068">
        <v>1.875</v>
      </c>
      <c r="GG8" s="2070">
        <v>1</v>
      </c>
      <c r="GH8" s="2064">
        <v>0.55000000000000004</v>
      </c>
      <c r="GI8" s="2096">
        <v>4.2</v>
      </c>
      <c r="GJ8" s="2098">
        <v>1</v>
      </c>
      <c r="GK8" s="2100">
        <v>1</v>
      </c>
      <c r="GL8" s="2094">
        <f>GJ8*1000/230</f>
        <v>4.3478260869565215</v>
      </c>
      <c r="GT8" s="2076">
        <v>1</v>
      </c>
      <c r="GU8" s="2079">
        <v>1</v>
      </c>
      <c r="GV8" s="416" t="s">
        <v>1008</v>
      </c>
      <c r="GW8" s="417"/>
      <c r="GX8" s="2081" t="s">
        <v>1009</v>
      </c>
      <c r="GY8" s="2082" t="s">
        <v>1099</v>
      </c>
      <c r="GZ8" s="2084">
        <v>21.762826086956522</v>
      </c>
      <c r="HA8" s="2086">
        <v>25</v>
      </c>
      <c r="HB8" s="2072">
        <v>1</v>
      </c>
      <c r="HC8" s="2070" t="s">
        <v>1011</v>
      </c>
      <c r="HD8" s="2064">
        <v>1.33</v>
      </c>
      <c r="HE8" s="2064">
        <v>7.9</v>
      </c>
      <c r="HF8" s="2064">
        <v>44</v>
      </c>
      <c r="HG8" s="2074">
        <v>1</v>
      </c>
      <c r="HH8" s="2070">
        <v>460</v>
      </c>
      <c r="HI8" s="2064">
        <v>0.55000000000000004</v>
      </c>
      <c r="HJ8" s="2064">
        <v>3.77</v>
      </c>
      <c r="HK8" s="2064">
        <v>1200</v>
      </c>
      <c r="HL8" s="2074">
        <v>1</v>
      </c>
      <c r="HM8" s="2070">
        <v>3</v>
      </c>
      <c r="HN8" s="2064">
        <v>12</v>
      </c>
      <c r="HO8" s="2064">
        <v>1</v>
      </c>
      <c r="HP8" s="2066">
        <v>26</v>
      </c>
      <c r="HQ8" s="2066">
        <v>24</v>
      </c>
      <c r="HR8" s="2068">
        <v>4.333333333333333</v>
      </c>
      <c r="HS8" s="2070">
        <v>400</v>
      </c>
      <c r="HT8" s="2102" t="s">
        <v>1012</v>
      </c>
      <c r="HU8" s="2064">
        <v>3</v>
      </c>
      <c r="HV8" s="2064">
        <v>12</v>
      </c>
      <c r="HW8" s="2064">
        <v>1</v>
      </c>
      <c r="HX8" s="2066">
        <v>18</v>
      </c>
      <c r="HY8" s="2066">
        <v>15</v>
      </c>
      <c r="HZ8" s="2068">
        <v>1.875</v>
      </c>
      <c r="IA8" s="2070">
        <v>1</v>
      </c>
      <c r="IB8" s="2064">
        <v>0.55000000000000004</v>
      </c>
      <c r="IC8" s="2096">
        <v>3.77</v>
      </c>
      <c r="ID8" s="2098">
        <v>1</v>
      </c>
      <c r="IE8" s="2100">
        <v>1</v>
      </c>
      <c r="IF8" s="2094">
        <v>4.3478260869565215</v>
      </c>
      <c r="IN8" s="305" t="s">
        <v>2814</v>
      </c>
      <c r="IO8" s="6" t="s">
        <v>2815</v>
      </c>
      <c r="IP8" s="561">
        <v>1</v>
      </c>
      <c r="IQ8" s="564">
        <v>36</v>
      </c>
      <c r="IR8" s="6">
        <v>33</v>
      </c>
      <c r="IS8" s="6">
        <v>1</v>
      </c>
      <c r="IT8" s="6">
        <v>630</v>
      </c>
      <c r="IU8" s="6">
        <v>1</v>
      </c>
      <c r="IV8" s="310">
        <f t="shared" ref="IV8:IV17" si="2">IQ8*IR8*IS8/144</f>
        <v>8.25</v>
      </c>
      <c r="IW8" s="6">
        <v>2</v>
      </c>
      <c r="IX8" s="566">
        <v>12</v>
      </c>
      <c r="IY8" s="564">
        <v>17</v>
      </c>
      <c r="IZ8" s="6">
        <v>38</v>
      </c>
      <c r="JA8" s="6">
        <v>4</v>
      </c>
      <c r="JB8" s="6">
        <v>12</v>
      </c>
      <c r="JC8" s="311">
        <v>2000</v>
      </c>
      <c r="JE8" s="1152">
        <v>1</v>
      </c>
      <c r="JM8" s="327" t="s">
        <v>1157</v>
      </c>
      <c r="JN8" s="300" t="s">
        <v>1121</v>
      </c>
      <c r="JO8" s="300">
        <v>1200</v>
      </c>
      <c r="JP8" s="300" t="s">
        <v>1141</v>
      </c>
      <c r="JQ8" s="300" t="s">
        <v>1143</v>
      </c>
      <c r="JR8" s="300" t="s">
        <v>1144</v>
      </c>
      <c r="JS8" s="300" t="s">
        <v>1145</v>
      </c>
      <c r="JT8" s="300" t="s">
        <v>1147</v>
      </c>
      <c r="JU8" s="300" t="s">
        <v>1148</v>
      </c>
      <c r="JV8" s="300" t="s">
        <v>1149</v>
      </c>
      <c r="JW8" s="300">
        <v>5000</v>
      </c>
      <c r="JX8" s="300" t="s">
        <v>1150</v>
      </c>
      <c r="JY8" s="300" t="s">
        <v>1151</v>
      </c>
      <c r="JZ8" s="300" t="s">
        <v>1147</v>
      </c>
      <c r="KA8" s="300" t="s">
        <v>1152</v>
      </c>
      <c r="KB8" s="300" t="s">
        <v>1154</v>
      </c>
      <c r="KC8" s="300">
        <v>2.6</v>
      </c>
      <c r="KD8" s="328">
        <v>2.6</v>
      </c>
      <c r="KJ8" s="540" t="s">
        <v>1015</v>
      </c>
      <c r="KK8" s="541" t="s">
        <v>1208</v>
      </c>
      <c r="KL8" s="541">
        <v>1</v>
      </c>
      <c r="KM8" s="542">
        <v>19.8</v>
      </c>
      <c r="KN8" s="542">
        <v>29.3</v>
      </c>
      <c r="KO8" s="542">
        <v>35</v>
      </c>
      <c r="KP8" s="542">
        <v>24</v>
      </c>
      <c r="KQ8" s="540">
        <v>3</v>
      </c>
      <c r="KR8" s="539">
        <v>16</v>
      </c>
      <c r="KS8" s="542">
        <v>1</v>
      </c>
      <c r="KT8" s="1923" t="s">
        <v>1209</v>
      </c>
      <c r="KU8" s="1923"/>
      <c r="KV8" s="1923"/>
      <c r="KW8"/>
      <c r="KX8" s="540" t="s">
        <v>1213</v>
      </c>
      <c r="KY8" s="540" t="s">
        <v>1211</v>
      </c>
      <c r="KZ8" s="541">
        <v>1</v>
      </c>
      <c r="LA8" s="542">
        <v>12.4</v>
      </c>
      <c r="LB8" s="542">
        <v>30</v>
      </c>
      <c r="LC8" s="543">
        <v>2.6</v>
      </c>
      <c r="LD8" s="544">
        <v>16</v>
      </c>
      <c r="LE8" s="540">
        <v>2</v>
      </c>
      <c r="LF8" s="542">
        <v>618</v>
      </c>
      <c r="LG8" s="542">
        <v>1</v>
      </c>
      <c r="LH8"/>
      <c r="LI8"/>
      <c r="LJ8"/>
    </row>
    <row r="9" spans="1:322" ht="17.25" thickBot="1">
      <c r="A9" s="2401"/>
      <c r="B9" s="2401"/>
      <c r="I9" s="345" t="s">
        <v>1183</v>
      </c>
      <c r="J9" s="346">
        <v>4</v>
      </c>
      <c r="K9" s="1934"/>
      <c r="L9" s="346" t="s">
        <v>1184</v>
      </c>
      <c r="M9" s="346">
        <v>650</v>
      </c>
      <c r="N9" s="346">
        <v>700</v>
      </c>
      <c r="O9" s="346">
        <v>800</v>
      </c>
      <c r="P9" s="1937"/>
      <c r="Q9" s="346" t="s">
        <v>1185</v>
      </c>
      <c r="R9" s="347">
        <f t="shared" si="1"/>
        <v>306.73399084517013</v>
      </c>
      <c r="S9" s="347">
        <f t="shared" si="0"/>
        <v>330.32891321787554</v>
      </c>
      <c r="T9" s="347">
        <f t="shared" si="0"/>
        <v>377.5187579632863</v>
      </c>
      <c r="U9" s="346">
        <v>3</v>
      </c>
      <c r="V9" s="348">
        <v>16</v>
      </c>
      <c r="AB9" s="349" t="s">
        <v>986</v>
      </c>
      <c r="AC9" s="350">
        <v>2</v>
      </c>
      <c r="AD9" s="350">
        <v>16</v>
      </c>
      <c r="AE9" s="350" t="s">
        <v>793</v>
      </c>
      <c r="AF9" s="350">
        <v>77</v>
      </c>
      <c r="AG9" s="350">
        <v>10</v>
      </c>
      <c r="AH9" s="351">
        <v>1206</v>
      </c>
      <c r="AN9" s="396">
        <v>3</v>
      </c>
      <c r="AO9" s="397">
        <v>65</v>
      </c>
      <c r="AP9" s="398" t="s">
        <v>707</v>
      </c>
      <c r="AQ9" s="399" t="s">
        <v>708</v>
      </c>
      <c r="AR9" s="397">
        <v>3</v>
      </c>
      <c r="AS9" s="400" t="s">
        <v>704</v>
      </c>
      <c r="AT9" s="399">
        <v>4</v>
      </c>
      <c r="AU9" s="401">
        <v>137.22200000000001</v>
      </c>
      <c r="AV9" s="399">
        <v>12</v>
      </c>
      <c r="AW9" s="399">
        <v>3</v>
      </c>
      <c r="AX9" s="402">
        <v>900</v>
      </c>
      <c r="AY9" s="403">
        <v>4</v>
      </c>
      <c r="AZ9" s="404" t="s">
        <v>709</v>
      </c>
      <c r="BA9" s="405">
        <v>67.099999999999994</v>
      </c>
      <c r="BI9" s="418" t="s">
        <v>408</v>
      </c>
      <c r="BJ9" s="384">
        <v>482.6</v>
      </c>
      <c r="BK9" s="384">
        <v>482.6</v>
      </c>
      <c r="BL9" s="419">
        <f t="shared" ref="BL9:BL18" si="3">BJ9*BK9/1000000</f>
        <v>0.23290276000000001</v>
      </c>
      <c r="BM9" s="387">
        <f>2*BL9*1000</f>
        <v>465.80552</v>
      </c>
      <c r="BN9" s="387">
        <f>2.5*BL9*1000</f>
        <v>582.25690000000009</v>
      </c>
      <c r="BO9" s="1944" t="s">
        <v>743</v>
      </c>
      <c r="BP9" s="1945"/>
      <c r="BQ9" s="420" t="s">
        <v>408</v>
      </c>
      <c r="BR9" s="357"/>
      <c r="BS9" s="1929" t="s">
        <v>744</v>
      </c>
      <c r="BT9" s="1928"/>
      <c r="BU9" s="1928"/>
      <c r="BV9" s="1928">
        <v>0.55000000000000004</v>
      </c>
      <c r="BW9" s="1928"/>
      <c r="BX9" s="411">
        <v>40</v>
      </c>
      <c r="BY9" s="335"/>
      <c r="BZ9" s="344"/>
      <c r="CB9" s="418" t="s">
        <v>408</v>
      </c>
      <c r="CC9" s="384">
        <v>19</v>
      </c>
      <c r="CD9" s="384">
        <v>19</v>
      </c>
      <c r="CE9" s="419">
        <f>CC9*CD9/144</f>
        <v>2.5069444444444446</v>
      </c>
      <c r="CF9" s="387">
        <f>CE9*500</f>
        <v>1253.4722222222224</v>
      </c>
      <c r="CG9" s="387">
        <f>CE9*530</f>
        <v>1328.6805555555557</v>
      </c>
      <c r="CH9" s="1944" t="s">
        <v>743</v>
      </c>
      <c r="CI9" s="1945"/>
      <c r="CJ9" s="420" t="s">
        <v>408</v>
      </c>
      <c r="CK9" s="357"/>
      <c r="CL9" s="1929" t="s">
        <v>747</v>
      </c>
      <c r="CM9" s="1928"/>
      <c r="CN9" s="1928"/>
      <c r="CO9" s="1928">
        <v>0.55000000000000004</v>
      </c>
      <c r="CP9" s="1928"/>
      <c r="CQ9" s="411">
        <v>40</v>
      </c>
      <c r="CW9" s="410">
        <v>3</v>
      </c>
      <c r="CX9" s="411" t="s">
        <v>899</v>
      </c>
      <c r="CY9" s="390" t="s">
        <v>900</v>
      </c>
      <c r="CZ9" s="412">
        <v>1</v>
      </c>
      <c r="DA9" s="390">
        <v>54</v>
      </c>
      <c r="DB9" s="391">
        <v>36</v>
      </c>
      <c r="DC9" s="391">
        <v>1</v>
      </c>
      <c r="DD9" s="392">
        <v>13.5</v>
      </c>
      <c r="DE9" s="391">
        <v>12</v>
      </c>
      <c r="DF9" s="413">
        <v>3</v>
      </c>
      <c r="DG9" s="414">
        <v>450</v>
      </c>
      <c r="DH9" s="421">
        <v>2</v>
      </c>
      <c r="DI9" s="390">
        <v>37</v>
      </c>
      <c r="DJ9" s="391">
        <v>18</v>
      </c>
      <c r="DK9" s="391">
        <v>1</v>
      </c>
      <c r="DL9" s="415">
        <v>4.625</v>
      </c>
      <c r="DM9" s="391">
        <v>12</v>
      </c>
      <c r="DN9" s="391">
        <v>4</v>
      </c>
      <c r="DO9" s="411">
        <v>2250</v>
      </c>
      <c r="DV9" s="390" t="s">
        <v>965</v>
      </c>
      <c r="DW9" s="2005" t="s">
        <v>966</v>
      </c>
      <c r="DX9" s="393">
        <v>2.5</v>
      </c>
      <c r="DY9" s="391">
        <v>1</v>
      </c>
      <c r="DZ9" s="391">
        <v>450</v>
      </c>
      <c r="EA9" s="391">
        <v>1400</v>
      </c>
      <c r="EB9" s="391">
        <v>1</v>
      </c>
      <c r="EC9" s="391">
        <v>4</v>
      </c>
      <c r="ED9" s="391">
        <v>12</v>
      </c>
      <c r="EE9" s="391">
        <v>1</v>
      </c>
      <c r="EF9" s="391">
        <v>26</v>
      </c>
      <c r="EG9" s="391">
        <v>24</v>
      </c>
      <c r="EH9" s="392">
        <v>4.3330001831054688</v>
      </c>
      <c r="EI9" s="393">
        <v>1100</v>
      </c>
      <c r="EJ9" s="391">
        <v>4</v>
      </c>
      <c r="EK9" s="391">
        <v>12</v>
      </c>
      <c r="EL9" s="391">
        <v>1</v>
      </c>
      <c r="EM9" s="391">
        <v>18</v>
      </c>
      <c r="EN9" s="391">
        <v>15</v>
      </c>
      <c r="EO9" s="394">
        <v>1.875</v>
      </c>
      <c r="EP9" s="6" t="s">
        <v>967</v>
      </c>
      <c r="EQ9" s="316" t="s">
        <v>968</v>
      </c>
      <c r="EZ9" s="2077"/>
      <c r="FA9" s="2080"/>
      <c r="FB9" s="422" t="s">
        <v>1013</v>
      </c>
      <c r="FC9" s="423"/>
      <c r="FD9" s="2073"/>
      <c r="FE9" s="2083"/>
      <c r="FF9" s="2085"/>
      <c r="FG9" s="2087"/>
      <c r="FH9" s="2073"/>
      <c r="FI9" s="2071"/>
      <c r="FJ9" s="2065"/>
      <c r="FK9" s="2065"/>
      <c r="FL9" s="2065"/>
      <c r="FM9" s="2075"/>
      <c r="FN9" s="2071"/>
      <c r="FO9" s="2065"/>
      <c r="FP9" s="2065"/>
      <c r="FQ9" s="2065"/>
      <c r="FR9" s="2075"/>
      <c r="FS9" s="2071"/>
      <c r="FT9" s="2065"/>
      <c r="FU9" s="2065"/>
      <c r="FV9" s="2067"/>
      <c r="FW9" s="2067"/>
      <c r="FX9" s="2069"/>
      <c r="FY9" s="2071"/>
      <c r="FZ9" s="2103"/>
      <c r="GA9" s="2065"/>
      <c r="GB9" s="2065"/>
      <c r="GC9" s="2065"/>
      <c r="GD9" s="2067"/>
      <c r="GE9" s="2067"/>
      <c r="GF9" s="2069"/>
      <c r="GG9" s="2071"/>
      <c r="GH9" s="2065"/>
      <c r="GI9" s="2097"/>
      <c r="GJ9" s="2099"/>
      <c r="GK9" s="2101"/>
      <c r="GL9" s="2095"/>
      <c r="GT9" s="2077"/>
      <c r="GU9" s="2080"/>
      <c r="GV9" s="422" t="s">
        <v>1013</v>
      </c>
      <c r="GW9" s="423"/>
      <c r="GX9" s="2073"/>
      <c r="GY9" s="2083"/>
      <c r="GZ9" s="2085"/>
      <c r="HA9" s="2087"/>
      <c r="HB9" s="2073"/>
      <c r="HC9" s="2071"/>
      <c r="HD9" s="2065"/>
      <c r="HE9" s="2065"/>
      <c r="HF9" s="2065"/>
      <c r="HG9" s="2075"/>
      <c r="HH9" s="2071"/>
      <c r="HI9" s="2065"/>
      <c r="HJ9" s="2065"/>
      <c r="HK9" s="2065"/>
      <c r="HL9" s="2075"/>
      <c r="HM9" s="2071"/>
      <c r="HN9" s="2065"/>
      <c r="HO9" s="2065"/>
      <c r="HP9" s="2067"/>
      <c r="HQ9" s="2067"/>
      <c r="HR9" s="2069"/>
      <c r="HS9" s="2071"/>
      <c r="HT9" s="2103"/>
      <c r="HU9" s="2065"/>
      <c r="HV9" s="2065"/>
      <c r="HW9" s="2065"/>
      <c r="HX9" s="2067"/>
      <c r="HY9" s="2067"/>
      <c r="HZ9" s="2069"/>
      <c r="IA9" s="2071"/>
      <c r="IB9" s="2065"/>
      <c r="IC9" s="2097"/>
      <c r="ID9" s="2099"/>
      <c r="IE9" s="2101"/>
      <c r="IF9" s="2095"/>
      <c r="IN9" s="305" t="s">
        <v>2816</v>
      </c>
      <c r="IO9" s="6" t="s">
        <v>2817</v>
      </c>
      <c r="IP9" s="561">
        <v>1</v>
      </c>
      <c r="IQ9" s="564">
        <v>38</v>
      </c>
      <c r="IR9" s="6">
        <v>40</v>
      </c>
      <c r="IS9" s="6">
        <v>1</v>
      </c>
      <c r="IT9" s="6">
        <v>630</v>
      </c>
      <c r="IU9" s="6">
        <v>1</v>
      </c>
      <c r="IV9" s="310">
        <f t="shared" si="2"/>
        <v>10.555555555555555</v>
      </c>
      <c r="IW9" s="6">
        <v>2</v>
      </c>
      <c r="IX9" s="566">
        <v>12</v>
      </c>
      <c r="IY9" s="564">
        <v>21</v>
      </c>
      <c r="IZ9" s="6">
        <v>38</v>
      </c>
      <c r="JA9" s="6">
        <v>4</v>
      </c>
      <c r="JB9" s="6">
        <v>12</v>
      </c>
      <c r="JC9" s="311">
        <v>2500</v>
      </c>
      <c r="JE9" s="1152">
        <v>1</v>
      </c>
      <c r="JM9" s="327" t="s">
        <v>1156</v>
      </c>
      <c r="JN9" s="300" t="s">
        <v>1121</v>
      </c>
      <c r="JO9" s="300">
        <v>1400</v>
      </c>
      <c r="JP9" s="300" t="s">
        <v>1142</v>
      </c>
      <c r="JQ9" s="300" t="s">
        <v>1143</v>
      </c>
      <c r="JR9" s="300" t="s">
        <v>1144</v>
      </c>
      <c r="JS9" s="300" t="s">
        <v>1146</v>
      </c>
      <c r="JT9" s="300" t="s">
        <v>1147</v>
      </c>
      <c r="JU9" s="300" t="s">
        <v>1148</v>
      </c>
      <c r="JV9" s="300" t="s">
        <v>1149</v>
      </c>
      <c r="JW9" s="300">
        <v>5000</v>
      </c>
      <c r="JX9" s="300" t="s">
        <v>1150</v>
      </c>
      <c r="JY9" s="300" t="s">
        <v>1151</v>
      </c>
      <c r="JZ9" s="300" t="s">
        <v>565</v>
      </c>
      <c r="KA9" s="300" t="s">
        <v>1152</v>
      </c>
      <c r="KB9" s="300" t="s">
        <v>1154</v>
      </c>
      <c r="KC9" s="300">
        <v>3</v>
      </c>
      <c r="KD9" s="328">
        <v>3.5</v>
      </c>
      <c r="KJ9" s="540" t="s">
        <v>1019</v>
      </c>
      <c r="KK9" s="541" t="s">
        <v>1208</v>
      </c>
      <c r="KL9" s="541">
        <v>1</v>
      </c>
      <c r="KM9" s="542">
        <v>30</v>
      </c>
      <c r="KN9" s="542">
        <v>31.4</v>
      </c>
      <c r="KO9" s="542">
        <v>35</v>
      </c>
      <c r="KP9" s="542">
        <v>30</v>
      </c>
      <c r="KQ9" s="540">
        <v>2</v>
      </c>
      <c r="KR9" s="539">
        <v>16</v>
      </c>
      <c r="KS9" s="542">
        <v>1</v>
      </c>
      <c r="KT9" s="1923" t="s">
        <v>1212</v>
      </c>
      <c r="KU9" s="1923"/>
      <c r="KV9" s="1923"/>
      <c r="KW9"/>
      <c r="KX9" s="540" t="s">
        <v>1215</v>
      </c>
      <c r="KY9" s="540" t="s">
        <v>1211</v>
      </c>
      <c r="KZ9" s="541">
        <v>1</v>
      </c>
      <c r="LA9" s="542">
        <v>12.4</v>
      </c>
      <c r="LB9" s="542">
        <v>35.6</v>
      </c>
      <c r="LC9" s="543">
        <v>3.1</v>
      </c>
      <c r="LD9" s="544">
        <v>16</v>
      </c>
      <c r="LE9" s="540">
        <v>3</v>
      </c>
      <c r="LF9" s="542">
        <v>765</v>
      </c>
      <c r="LG9" s="542">
        <v>1</v>
      </c>
      <c r="LH9"/>
      <c r="LI9"/>
      <c r="LJ9"/>
    </row>
    <row r="10" spans="1:322" ht="17.25" thickBot="1">
      <c r="A10" s="2402"/>
      <c r="B10" s="2402"/>
      <c r="I10" s="424" t="s">
        <v>1186</v>
      </c>
      <c r="J10" s="425">
        <v>4</v>
      </c>
      <c r="K10" s="1935"/>
      <c r="L10" s="425" t="s">
        <v>1184</v>
      </c>
      <c r="M10" s="425">
        <v>700</v>
      </c>
      <c r="N10" s="425">
        <v>750</v>
      </c>
      <c r="O10" s="425">
        <v>850</v>
      </c>
      <c r="P10" s="1938"/>
      <c r="Q10" s="425" t="s">
        <v>1185</v>
      </c>
      <c r="R10" s="426">
        <f t="shared" si="1"/>
        <v>330.32891321787554</v>
      </c>
      <c r="S10" s="426">
        <f t="shared" si="0"/>
        <v>353.92383559058089</v>
      </c>
      <c r="T10" s="426">
        <f t="shared" si="0"/>
        <v>401.11368033599172</v>
      </c>
      <c r="U10" s="425">
        <v>3</v>
      </c>
      <c r="V10" s="427">
        <v>16</v>
      </c>
      <c r="AB10" s="349" t="s">
        <v>987</v>
      </c>
      <c r="AC10" s="350">
        <v>2</v>
      </c>
      <c r="AD10" s="350">
        <v>16</v>
      </c>
      <c r="AE10" s="350" t="s">
        <v>793</v>
      </c>
      <c r="AF10" s="350">
        <v>77</v>
      </c>
      <c r="AG10" s="350">
        <v>10</v>
      </c>
      <c r="AH10" s="351">
        <v>1505</v>
      </c>
      <c r="AN10" s="396">
        <v>4</v>
      </c>
      <c r="AO10" s="397">
        <v>75</v>
      </c>
      <c r="AP10" s="428" t="s">
        <v>710</v>
      </c>
      <c r="AQ10" s="399">
        <v>4</v>
      </c>
      <c r="AR10" s="397">
        <v>4</v>
      </c>
      <c r="AS10" s="400" t="s">
        <v>704</v>
      </c>
      <c r="AT10" s="399">
        <v>4</v>
      </c>
      <c r="AU10" s="401">
        <v>137.22200000000001</v>
      </c>
      <c r="AV10" s="399">
        <v>12</v>
      </c>
      <c r="AW10" s="399">
        <v>3</v>
      </c>
      <c r="AX10" s="402">
        <v>900</v>
      </c>
      <c r="AY10" s="403">
        <v>4</v>
      </c>
      <c r="AZ10" s="404" t="s">
        <v>709</v>
      </c>
      <c r="BA10" s="405">
        <v>74.7</v>
      </c>
      <c r="BI10" s="429" t="s">
        <v>411</v>
      </c>
      <c r="BJ10" s="391">
        <v>482.59999999999997</v>
      </c>
      <c r="BK10" s="391">
        <v>584.19999999999993</v>
      </c>
      <c r="BL10" s="394">
        <f t="shared" si="3"/>
        <v>0.28193491999999992</v>
      </c>
      <c r="BM10" s="414">
        <f>BL10*2*1000</f>
        <v>563.86983999999984</v>
      </c>
      <c r="BN10" s="414">
        <f>BL10*2.5*1000</f>
        <v>704.8372999999998</v>
      </c>
      <c r="BO10" s="1946" t="s">
        <v>743</v>
      </c>
      <c r="BP10" s="1947"/>
      <c r="BQ10" s="430" t="s">
        <v>411</v>
      </c>
      <c r="BR10" s="357"/>
      <c r="BS10" s="1929" t="s">
        <v>744</v>
      </c>
      <c r="BT10" s="1928"/>
      <c r="BU10" s="1928"/>
      <c r="BV10" s="1928">
        <v>0.55000000000000004</v>
      </c>
      <c r="BW10" s="1928"/>
      <c r="BX10" s="411">
        <v>50</v>
      </c>
      <c r="BY10" s="335"/>
      <c r="BZ10" s="344"/>
      <c r="CB10" s="429" t="s">
        <v>411</v>
      </c>
      <c r="CC10" s="391">
        <v>19</v>
      </c>
      <c r="CD10" s="391">
        <v>23</v>
      </c>
      <c r="CE10" s="394">
        <f t="shared" ref="CE10:CE19" si="4">CC10*CD10/144</f>
        <v>3.0347222222222223</v>
      </c>
      <c r="CF10" s="414">
        <f t="shared" ref="CF10:CF24" si="5">CE10*500</f>
        <v>1517.3611111111111</v>
      </c>
      <c r="CG10" s="414">
        <f t="shared" ref="CG10:CG24" si="6">CE10*530</f>
        <v>1608.4027777777778</v>
      </c>
      <c r="CH10" s="1946" t="s">
        <v>743</v>
      </c>
      <c r="CI10" s="1947"/>
      <c r="CJ10" s="430" t="s">
        <v>411</v>
      </c>
      <c r="CK10" s="357"/>
      <c r="CL10" s="1929" t="s">
        <v>747</v>
      </c>
      <c r="CM10" s="1928"/>
      <c r="CN10" s="1928"/>
      <c r="CO10" s="1928">
        <v>0.55000000000000004</v>
      </c>
      <c r="CP10" s="1928"/>
      <c r="CQ10" s="411">
        <v>50</v>
      </c>
      <c r="CW10" s="410">
        <v>4</v>
      </c>
      <c r="CX10" s="411" t="s">
        <v>901</v>
      </c>
      <c r="CY10" s="390" t="s">
        <v>902</v>
      </c>
      <c r="CZ10" s="412">
        <v>1</v>
      </c>
      <c r="DA10" s="390">
        <v>54</v>
      </c>
      <c r="DB10" s="391">
        <v>36</v>
      </c>
      <c r="DC10" s="391">
        <v>1</v>
      </c>
      <c r="DD10" s="392">
        <v>13.5</v>
      </c>
      <c r="DE10" s="391">
        <v>12</v>
      </c>
      <c r="DF10" s="391">
        <v>3</v>
      </c>
      <c r="DG10" s="414">
        <v>450</v>
      </c>
      <c r="DH10" s="421">
        <v>2</v>
      </c>
      <c r="DI10" s="390">
        <v>37</v>
      </c>
      <c r="DJ10" s="391">
        <v>18</v>
      </c>
      <c r="DK10" s="391">
        <v>1</v>
      </c>
      <c r="DL10" s="415">
        <v>4.625</v>
      </c>
      <c r="DM10" s="391">
        <v>12</v>
      </c>
      <c r="DN10" s="391">
        <v>4</v>
      </c>
      <c r="DO10" s="411">
        <v>2500</v>
      </c>
      <c r="DV10" s="390" t="s">
        <v>969</v>
      </c>
      <c r="DW10" s="2003"/>
      <c r="DX10" s="393">
        <v>3</v>
      </c>
      <c r="DY10" s="391">
        <v>1</v>
      </c>
      <c r="DZ10" s="391">
        <v>450</v>
      </c>
      <c r="EA10" s="391">
        <v>1400</v>
      </c>
      <c r="EB10" s="391">
        <v>1</v>
      </c>
      <c r="EC10" s="391">
        <v>4</v>
      </c>
      <c r="ED10" s="391">
        <v>12</v>
      </c>
      <c r="EE10" s="391">
        <v>1</v>
      </c>
      <c r="EF10" s="391">
        <v>36</v>
      </c>
      <c r="EG10" s="391">
        <v>26</v>
      </c>
      <c r="EH10" s="392">
        <v>6.5</v>
      </c>
      <c r="EI10" s="391">
        <v>1200</v>
      </c>
      <c r="EJ10" s="391">
        <v>3</v>
      </c>
      <c r="EK10" s="391">
        <v>12</v>
      </c>
      <c r="EL10" s="391">
        <v>1</v>
      </c>
      <c r="EM10" s="391">
        <v>31</v>
      </c>
      <c r="EN10" s="391">
        <v>17</v>
      </c>
      <c r="EO10" s="394">
        <v>3.6600000858306885</v>
      </c>
      <c r="EP10" s="6" t="s">
        <v>970</v>
      </c>
      <c r="EQ10" s="316" t="s">
        <v>971</v>
      </c>
      <c r="EZ10" s="2077"/>
      <c r="FA10" s="2080"/>
      <c r="FB10" s="422" t="s">
        <v>1014</v>
      </c>
      <c r="FC10" s="423"/>
      <c r="FD10" s="2073"/>
      <c r="FE10" s="2083"/>
      <c r="FF10" s="2085"/>
      <c r="FG10" s="2087"/>
      <c r="FH10" s="2073"/>
      <c r="FI10" s="2071"/>
      <c r="FJ10" s="2065"/>
      <c r="FK10" s="2065"/>
      <c r="FL10" s="2065"/>
      <c r="FM10" s="2075"/>
      <c r="FN10" s="2071"/>
      <c r="FO10" s="2065"/>
      <c r="FP10" s="2065"/>
      <c r="FQ10" s="2065"/>
      <c r="FR10" s="2075"/>
      <c r="FS10" s="2071"/>
      <c r="FT10" s="2065"/>
      <c r="FU10" s="2065"/>
      <c r="FV10" s="2067"/>
      <c r="FW10" s="2067"/>
      <c r="FX10" s="2069"/>
      <c r="FY10" s="2071"/>
      <c r="FZ10" s="2103"/>
      <c r="GA10" s="2065"/>
      <c r="GB10" s="2065"/>
      <c r="GC10" s="2065"/>
      <c r="GD10" s="2067"/>
      <c r="GE10" s="2067"/>
      <c r="GF10" s="2069"/>
      <c r="GG10" s="2071"/>
      <c r="GH10" s="2065"/>
      <c r="GI10" s="2097"/>
      <c r="GJ10" s="2099"/>
      <c r="GK10" s="2101"/>
      <c r="GL10" s="2095"/>
      <c r="GT10" s="2077"/>
      <c r="GU10" s="2080"/>
      <c r="GV10" s="422" t="s">
        <v>1014</v>
      </c>
      <c r="GW10" s="423"/>
      <c r="GX10" s="2073"/>
      <c r="GY10" s="2083"/>
      <c r="GZ10" s="2085"/>
      <c r="HA10" s="2087"/>
      <c r="HB10" s="2073"/>
      <c r="HC10" s="2071"/>
      <c r="HD10" s="2065"/>
      <c r="HE10" s="2065"/>
      <c r="HF10" s="2065"/>
      <c r="HG10" s="2075"/>
      <c r="HH10" s="2071"/>
      <c r="HI10" s="2065"/>
      <c r="HJ10" s="2065"/>
      <c r="HK10" s="2065"/>
      <c r="HL10" s="2075"/>
      <c r="HM10" s="2071"/>
      <c r="HN10" s="2065"/>
      <c r="HO10" s="2065"/>
      <c r="HP10" s="2067"/>
      <c r="HQ10" s="2067"/>
      <c r="HR10" s="2069"/>
      <c r="HS10" s="2071"/>
      <c r="HT10" s="2103"/>
      <c r="HU10" s="2065"/>
      <c r="HV10" s="2065"/>
      <c r="HW10" s="2065"/>
      <c r="HX10" s="2067"/>
      <c r="HY10" s="2067"/>
      <c r="HZ10" s="2069"/>
      <c r="IA10" s="2071"/>
      <c r="IB10" s="2065"/>
      <c r="IC10" s="2097"/>
      <c r="ID10" s="2099"/>
      <c r="IE10" s="2101"/>
      <c r="IF10" s="2095"/>
      <c r="IN10" s="305" t="s">
        <v>2818</v>
      </c>
      <c r="IO10" s="6" t="s">
        <v>2815</v>
      </c>
      <c r="IP10" s="561">
        <v>2</v>
      </c>
      <c r="IQ10" s="564">
        <v>48</v>
      </c>
      <c r="IR10" s="6">
        <v>44</v>
      </c>
      <c r="IS10" s="6">
        <v>1</v>
      </c>
      <c r="IT10" s="6">
        <v>900</v>
      </c>
      <c r="IU10" s="6">
        <v>1</v>
      </c>
      <c r="IV10" s="310">
        <f t="shared" si="2"/>
        <v>14.666666666666666</v>
      </c>
      <c r="IW10" s="6">
        <v>4</v>
      </c>
      <c r="IX10" s="566">
        <v>12</v>
      </c>
      <c r="IY10" s="564">
        <v>32</v>
      </c>
      <c r="IZ10" s="6">
        <v>38</v>
      </c>
      <c r="JA10" s="6">
        <v>4</v>
      </c>
      <c r="JB10" s="6">
        <v>12</v>
      </c>
      <c r="JC10" s="311">
        <v>3750</v>
      </c>
      <c r="JE10" s="1152">
        <v>2</v>
      </c>
      <c r="JM10" s="327" t="s">
        <v>1155</v>
      </c>
      <c r="JN10" s="300" t="s">
        <v>1121</v>
      </c>
      <c r="JO10" s="300">
        <v>2000</v>
      </c>
      <c r="JP10" s="300" t="s">
        <v>1160</v>
      </c>
      <c r="JQ10" s="300" t="s">
        <v>1143</v>
      </c>
      <c r="JR10" s="300" t="s">
        <v>1159</v>
      </c>
      <c r="JS10" s="300" t="s">
        <v>1167</v>
      </c>
      <c r="JT10" s="300" t="s">
        <v>1159</v>
      </c>
      <c r="JU10" s="300" t="s">
        <v>1159</v>
      </c>
      <c r="JV10" s="300" t="s">
        <v>1159</v>
      </c>
      <c r="JW10" s="300">
        <v>5000</v>
      </c>
      <c r="JX10" s="300" t="s">
        <v>1150</v>
      </c>
      <c r="JY10" s="300" t="s">
        <v>1151</v>
      </c>
      <c r="JZ10" s="300" t="s">
        <v>565</v>
      </c>
      <c r="KA10" s="300" t="s">
        <v>1168</v>
      </c>
      <c r="KB10" s="300" t="s">
        <v>1154</v>
      </c>
      <c r="KC10" s="325" t="s">
        <v>1161</v>
      </c>
      <c r="KD10" s="329" t="s">
        <v>1161</v>
      </c>
      <c r="KJ10" s="540" t="s">
        <v>1025</v>
      </c>
      <c r="KK10" s="541" t="s">
        <v>1208</v>
      </c>
      <c r="KL10" s="541">
        <v>1</v>
      </c>
      <c r="KM10" s="542">
        <v>30.5</v>
      </c>
      <c r="KN10" s="542">
        <v>31.4</v>
      </c>
      <c r="KO10" s="542">
        <v>35</v>
      </c>
      <c r="KP10" s="542">
        <v>30</v>
      </c>
      <c r="KQ10" s="540">
        <v>3</v>
      </c>
      <c r="KR10" s="539">
        <v>16</v>
      </c>
      <c r="KS10" s="542">
        <v>1</v>
      </c>
      <c r="KT10" s="1923" t="s">
        <v>1214</v>
      </c>
      <c r="KU10" s="1923"/>
      <c r="KV10" s="1923"/>
      <c r="KW10"/>
      <c r="KX10" s="540" t="s">
        <v>1218</v>
      </c>
      <c r="KY10" s="540" t="s">
        <v>1211</v>
      </c>
      <c r="KZ10" s="541">
        <v>1</v>
      </c>
      <c r="LA10" s="542">
        <v>14.9</v>
      </c>
      <c r="LB10" s="542">
        <v>35.6</v>
      </c>
      <c r="LC10" s="543">
        <v>3.7</v>
      </c>
      <c r="LD10" s="544">
        <v>16</v>
      </c>
      <c r="LE10" s="540">
        <v>3</v>
      </c>
      <c r="LF10" s="542">
        <v>765</v>
      </c>
      <c r="LG10" s="542">
        <v>1</v>
      </c>
      <c r="LH10"/>
      <c r="LI10"/>
      <c r="LJ10"/>
    </row>
    <row r="11" spans="1:322" ht="33.75" thickBot="1">
      <c r="A11" s="2402"/>
      <c r="B11" s="2402"/>
      <c r="AN11" s="396">
        <v>5</v>
      </c>
      <c r="AO11" s="397">
        <v>85</v>
      </c>
      <c r="AP11" s="398" t="s">
        <v>711</v>
      </c>
      <c r="AQ11" s="399" t="s">
        <v>712</v>
      </c>
      <c r="AR11" s="397">
        <v>4</v>
      </c>
      <c r="AS11" s="396" t="s">
        <v>704</v>
      </c>
      <c r="AT11" s="399">
        <v>4</v>
      </c>
      <c r="AU11" s="401">
        <v>137.22200000000001</v>
      </c>
      <c r="AV11" s="399">
        <v>12</v>
      </c>
      <c r="AW11" s="399">
        <v>4</v>
      </c>
      <c r="AX11" s="402">
        <v>900</v>
      </c>
      <c r="AY11" s="403">
        <v>4</v>
      </c>
      <c r="AZ11" s="404" t="s">
        <v>709</v>
      </c>
      <c r="BA11" s="431">
        <v>83.5</v>
      </c>
      <c r="BI11" s="429" t="s">
        <v>409</v>
      </c>
      <c r="BJ11" s="391">
        <v>635</v>
      </c>
      <c r="BK11" s="391">
        <v>711.19999999999993</v>
      </c>
      <c r="BL11" s="394">
        <f t="shared" si="3"/>
        <v>0.45161199999999996</v>
      </c>
      <c r="BM11" s="414">
        <f t="shared" ref="BM11:BM24" si="7">BL11*2*1000</f>
        <v>903.22399999999993</v>
      </c>
      <c r="BN11" s="414">
        <f t="shared" ref="BN11:BN24" si="8">BL11*2.5*1000</f>
        <v>1129.03</v>
      </c>
      <c r="BO11" s="1946" t="s">
        <v>745</v>
      </c>
      <c r="BP11" s="1947"/>
      <c r="BQ11" s="430" t="s">
        <v>409</v>
      </c>
      <c r="BR11" s="357"/>
      <c r="BS11" s="1929" t="s">
        <v>744</v>
      </c>
      <c r="BT11" s="1928"/>
      <c r="BU11" s="1928"/>
      <c r="BV11" s="1928">
        <v>0.55000000000000004</v>
      </c>
      <c r="BW11" s="1928"/>
      <c r="BX11" s="411">
        <v>60</v>
      </c>
      <c r="BY11" s="335"/>
      <c r="BZ11" s="344"/>
      <c r="CB11" s="429" t="s">
        <v>409</v>
      </c>
      <c r="CC11" s="391">
        <v>25</v>
      </c>
      <c r="CD11" s="391">
        <v>28</v>
      </c>
      <c r="CE11" s="394">
        <f t="shared" si="4"/>
        <v>4.8611111111111107</v>
      </c>
      <c r="CF11" s="414">
        <f t="shared" si="5"/>
        <v>2430.5555555555552</v>
      </c>
      <c r="CG11" s="414">
        <f t="shared" si="6"/>
        <v>2576.3888888888887</v>
      </c>
      <c r="CH11" s="1946" t="s">
        <v>745</v>
      </c>
      <c r="CI11" s="1947"/>
      <c r="CJ11" s="430" t="s">
        <v>409</v>
      </c>
      <c r="CK11" s="357"/>
      <c r="CL11" s="1929" t="s">
        <v>747</v>
      </c>
      <c r="CM11" s="1928"/>
      <c r="CN11" s="1928"/>
      <c r="CO11" s="1928">
        <v>0.55000000000000004</v>
      </c>
      <c r="CP11" s="1928"/>
      <c r="CQ11" s="411">
        <v>60</v>
      </c>
      <c r="CW11" s="410">
        <v>5</v>
      </c>
      <c r="CX11" s="411" t="s">
        <v>903</v>
      </c>
      <c r="CY11" s="390" t="s">
        <v>902</v>
      </c>
      <c r="CZ11" s="412">
        <v>1</v>
      </c>
      <c r="DA11" s="390">
        <v>54</v>
      </c>
      <c r="DB11" s="391">
        <v>48</v>
      </c>
      <c r="DC11" s="391">
        <v>1</v>
      </c>
      <c r="DD11" s="392">
        <v>18</v>
      </c>
      <c r="DE11" s="391">
        <v>12</v>
      </c>
      <c r="DF11" s="391">
        <v>3</v>
      </c>
      <c r="DG11" s="414">
        <v>450</v>
      </c>
      <c r="DH11" s="411">
        <v>2</v>
      </c>
      <c r="DI11" s="390">
        <v>54</v>
      </c>
      <c r="DJ11" s="391">
        <v>24</v>
      </c>
      <c r="DK11" s="391">
        <v>1</v>
      </c>
      <c r="DL11" s="415">
        <v>9</v>
      </c>
      <c r="DM11" s="391">
        <v>12</v>
      </c>
      <c r="DN11" s="391">
        <v>3</v>
      </c>
      <c r="DO11" s="411">
        <v>3250</v>
      </c>
      <c r="DV11" s="390" t="s">
        <v>972</v>
      </c>
      <c r="DW11" s="391" t="s">
        <v>973</v>
      </c>
      <c r="DX11" s="393">
        <v>3.5</v>
      </c>
      <c r="DY11" s="391">
        <v>1</v>
      </c>
      <c r="DZ11" s="391">
        <v>450</v>
      </c>
      <c r="EA11" s="391">
        <v>1400</v>
      </c>
      <c r="EB11" s="391">
        <v>1</v>
      </c>
      <c r="EC11" s="391">
        <v>4</v>
      </c>
      <c r="ED11" s="391">
        <v>12</v>
      </c>
      <c r="EE11" s="391">
        <v>1</v>
      </c>
      <c r="EF11" s="391">
        <v>36</v>
      </c>
      <c r="EG11" s="391">
        <v>26</v>
      </c>
      <c r="EH11" s="392">
        <v>6.5</v>
      </c>
      <c r="EI11" s="391">
        <v>1250</v>
      </c>
      <c r="EJ11" s="393">
        <v>4</v>
      </c>
      <c r="EK11" s="393">
        <v>14</v>
      </c>
      <c r="EL11" s="391">
        <v>1</v>
      </c>
      <c r="EM11" s="391">
        <v>31</v>
      </c>
      <c r="EN11" s="391">
        <v>17</v>
      </c>
      <c r="EO11" s="394">
        <v>3.66</v>
      </c>
      <c r="EP11" s="6" t="s">
        <v>970</v>
      </c>
      <c r="EQ11" s="316" t="s">
        <v>971</v>
      </c>
      <c r="EZ11" s="2077"/>
      <c r="FA11" s="2080"/>
      <c r="FB11" s="422" t="s">
        <v>1015</v>
      </c>
      <c r="FC11" s="423" t="s">
        <v>1016</v>
      </c>
      <c r="FD11" s="2073"/>
      <c r="FE11" s="2083"/>
      <c r="FF11" s="2085"/>
      <c r="FG11" s="2087"/>
      <c r="FH11" s="2073"/>
      <c r="FI11" s="2071"/>
      <c r="FJ11" s="2065"/>
      <c r="FK11" s="2065"/>
      <c r="FL11" s="2065"/>
      <c r="FM11" s="2075"/>
      <c r="FN11" s="2071"/>
      <c r="FO11" s="2065"/>
      <c r="FP11" s="2065"/>
      <c r="FQ11" s="2065"/>
      <c r="FR11" s="2075"/>
      <c r="FS11" s="2071"/>
      <c r="FT11" s="2065"/>
      <c r="FU11" s="2065"/>
      <c r="FV11" s="2067"/>
      <c r="FW11" s="2067"/>
      <c r="FX11" s="2069"/>
      <c r="FY11" s="2071"/>
      <c r="FZ11" s="2103"/>
      <c r="GA11" s="2065"/>
      <c r="GB11" s="2065"/>
      <c r="GC11" s="2065"/>
      <c r="GD11" s="2067"/>
      <c r="GE11" s="2067"/>
      <c r="GF11" s="2069"/>
      <c r="GG11" s="2071"/>
      <c r="GH11" s="2065"/>
      <c r="GI11" s="2097"/>
      <c r="GJ11" s="2099"/>
      <c r="GK11" s="2101"/>
      <c r="GL11" s="2095"/>
      <c r="GT11" s="2077"/>
      <c r="GU11" s="2080"/>
      <c r="GV11" s="422" t="s">
        <v>1015</v>
      </c>
      <c r="GW11" s="423" t="s">
        <v>1016</v>
      </c>
      <c r="GX11" s="2073"/>
      <c r="GY11" s="2083"/>
      <c r="GZ11" s="2085"/>
      <c r="HA11" s="2087"/>
      <c r="HB11" s="2073"/>
      <c r="HC11" s="2071"/>
      <c r="HD11" s="2065"/>
      <c r="HE11" s="2065"/>
      <c r="HF11" s="2065"/>
      <c r="HG11" s="2075"/>
      <c r="HH11" s="2071"/>
      <c r="HI11" s="2065"/>
      <c r="HJ11" s="2065"/>
      <c r="HK11" s="2065"/>
      <c r="HL11" s="2075"/>
      <c r="HM11" s="2071"/>
      <c r="HN11" s="2065"/>
      <c r="HO11" s="2065"/>
      <c r="HP11" s="2067"/>
      <c r="HQ11" s="2067"/>
      <c r="HR11" s="2069"/>
      <c r="HS11" s="2071"/>
      <c r="HT11" s="2103"/>
      <c r="HU11" s="2065"/>
      <c r="HV11" s="2065"/>
      <c r="HW11" s="2065"/>
      <c r="HX11" s="2067"/>
      <c r="HY11" s="2067"/>
      <c r="HZ11" s="2069"/>
      <c r="IA11" s="2071"/>
      <c r="IB11" s="2065"/>
      <c r="IC11" s="2097"/>
      <c r="ID11" s="2099"/>
      <c r="IE11" s="2101"/>
      <c r="IF11" s="2095"/>
      <c r="IN11" s="305" t="s">
        <v>2819</v>
      </c>
      <c r="IO11" s="6" t="s">
        <v>2817</v>
      </c>
      <c r="IP11" s="561">
        <v>2</v>
      </c>
      <c r="IQ11" s="564">
        <v>48</v>
      </c>
      <c r="IR11" s="6">
        <v>44</v>
      </c>
      <c r="IS11" s="6">
        <v>1</v>
      </c>
      <c r="IT11" s="6">
        <v>900</v>
      </c>
      <c r="IU11" s="6">
        <v>1</v>
      </c>
      <c r="IV11" s="310">
        <f t="shared" si="2"/>
        <v>14.666666666666666</v>
      </c>
      <c r="IW11" s="6">
        <v>3</v>
      </c>
      <c r="IX11" s="566">
        <v>12</v>
      </c>
      <c r="IY11" s="564">
        <v>42</v>
      </c>
      <c r="IZ11" s="6">
        <v>38</v>
      </c>
      <c r="JA11" s="6">
        <v>4</v>
      </c>
      <c r="JB11" s="6">
        <v>12</v>
      </c>
      <c r="JC11" s="311">
        <v>5000</v>
      </c>
      <c r="JE11" s="1152">
        <v>2</v>
      </c>
      <c r="JM11" s="330" t="s">
        <v>1162</v>
      </c>
      <c r="JN11" s="331" t="s">
        <v>1121</v>
      </c>
      <c r="JO11" s="331">
        <v>2600</v>
      </c>
      <c r="JP11" s="331" t="s">
        <v>1163</v>
      </c>
      <c r="JQ11" s="331" t="s">
        <v>1143</v>
      </c>
      <c r="JR11" s="331" t="s">
        <v>1159</v>
      </c>
      <c r="JS11" s="331" t="s">
        <v>1166</v>
      </c>
      <c r="JT11" s="331" t="s">
        <v>1159</v>
      </c>
      <c r="JU11" s="331" t="s">
        <v>1159</v>
      </c>
      <c r="JV11" s="331" t="s">
        <v>1159</v>
      </c>
      <c r="JW11" s="331">
        <v>5000</v>
      </c>
      <c r="JX11" s="331" t="s">
        <v>1164</v>
      </c>
      <c r="JY11" s="331" t="s">
        <v>1151</v>
      </c>
      <c r="JZ11" s="331" t="s">
        <v>565</v>
      </c>
      <c r="KA11" s="331" t="s">
        <v>1165</v>
      </c>
      <c r="KB11" s="331" t="s">
        <v>1154</v>
      </c>
      <c r="KC11" s="331">
        <v>8</v>
      </c>
      <c r="KD11" s="332">
        <v>8</v>
      </c>
      <c r="KJ11" s="540" t="s">
        <v>1216</v>
      </c>
      <c r="KK11" s="541" t="s">
        <v>1208</v>
      </c>
      <c r="KL11" s="541">
        <v>1</v>
      </c>
      <c r="KM11" s="542">
        <v>29.8</v>
      </c>
      <c r="KN11" s="542">
        <v>39.200000000000003</v>
      </c>
      <c r="KO11" s="542">
        <v>35</v>
      </c>
      <c r="KP11" s="542">
        <v>36</v>
      </c>
      <c r="KQ11" s="540">
        <v>3</v>
      </c>
      <c r="KR11" s="539">
        <v>16</v>
      </c>
      <c r="KS11" s="542">
        <v>1</v>
      </c>
      <c r="KT11" s="1923" t="s">
        <v>1217</v>
      </c>
      <c r="KU11" s="1923"/>
      <c r="KV11" s="1923"/>
      <c r="KW11"/>
      <c r="KX11" s="540" t="s">
        <v>1221</v>
      </c>
      <c r="KY11" s="540" t="s">
        <v>1211</v>
      </c>
      <c r="KZ11" s="541">
        <v>1</v>
      </c>
      <c r="LA11" s="542">
        <v>14.9</v>
      </c>
      <c r="LB11" s="542">
        <v>45.3</v>
      </c>
      <c r="LC11" s="543">
        <v>4.7</v>
      </c>
      <c r="LD11" s="544">
        <v>16</v>
      </c>
      <c r="LE11" s="540">
        <v>3</v>
      </c>
      <c r="LF11" s="543">
        <v>883</v>
      </c>
      <c r="LG11" s="542">
        <v>1</v>
      </c>
      <c r="LH11"/>
      <c r="LI11"/>
      <c r="LJ11"/>
    </row>
    <row r="12" spans="1:322" ht="17.25" thickBot="1">
      <c r="A12" s="2403"/>
      <c r="B12" s="2403"/>
      <c r="AN12" s="396">
        <v>6</v>
      </c>
      <c r="AO12" s="397">
        <v>95</v>
      </c>
      <c r="AP12" s="428" t="s">
        <v>713</v>
      </c>
      <c r="AQ12" s="399">
        <v>4</v>
      </c>
      <c r="AR12" s="397">
        <v>4</v>
      </c>
      <c r="AS12" s="396" t="s">
        <v>714</v>
      </c>
      <c r="AT12" s="399">
        <v>4</v>
      </c>
      <c r="AU12" s="401">
        <v>120.3</v>
      </c>
      <c r="AV12" s="399">
        <v>12</v>
      </c>
      <c r="AW12" s="399">
        <v>4</v>
      </c>
      <c r="AX12" s="402">
        <v>900</v>
      </c>
      <c r="AY12" s="403">
        <v>4</v>
      </c>
      <c r="AZ12" s="404" t="s">
        <v>715</v>
      </c>
      <c r="BA12" s="431">
        <v>92.9</v>
      </c>
      <c r="BI12" s="429" t="s">
        <v>410</v>
      </c>
      <c r="BJ12" s="391">
        <v>1016</v>
      </c>
      <c r="BK12" s="391">
        <v>609.59999999999991</v>
      </c>
      <c r="BL12" s="394">
        <f t="shared" si="3"/>
        <v>0.61935359999999984</v>
      </c>
      <c r="BM12" s="414">
        <f t="shared" si="7"/>
        <v>1238.7071999999996</v>
      </c>
      <c r="BN12" s="414">
        <f t="shared" si="8"/>
        <v>1548.3839999999996</v>
      </c>
      <c r="BO12" s="1946" t="s">
        <v>746</v>
      </c>
      <c r="BP12" s="1947"/>
      <c r="BQ12" s="430" t="s">
        <v>410</v>
      </c>
      <c r="BR12" s="357"/>
      <c r="BS12" s="1929" t="s">
        <v>747</v>
      </c>
      <c r="BT12" s="1928"/>
      <c r="BU12" s="1928"/>
      <c r="BV12" s="1928">
        <v>0.55000000000000004</v>
      </c>
      <c r="BW12" s="1928"/>
      <c r="BX12" s="411">
        <v>85</v>
      </c>
      <c r="BY12" s="335"/>
      <c r="BZ12" s="344"/>
      <c r="CB12" s="429" t="s">
        <v>410</v>
      </c>
      <c r="CC12" s="391">
        <v>40</v>
      </c>
      <c r="CD12" s="391">
        <v>24</v>
      </c>
      <c r="CE12" s="394">
        <f t="shared" si="4"/>
        <v>6.666666666666667</v>
      </c>
      <c r="CF12" s="414">
        <f t="shared" si="5"/>
        <v>3333.3333333333335</v>
      </c>
      <c r="CG12" s="414">
        <f t="shared" si="6"/>
        <v>3533.3333333333335</v>
      </c>
      <c r="CH12" s="1946" t="s">
        <v>746</v>
      </c>
      <c r="CI12" s="1947"/>
      <c r="CJ12" s="430" t="s">
        <v>410</v>
      </c>
      <c r="CK12" s="357"/>
      <c r="CL12" s="1929" t="s">
        <v>747</v>
      </c>
      <c r="CM12" s="1928"/>
      <c r="CN12" s="1928"/>
      <c r="CO12" s="1928">
        <v>0.55000000000000004</v>
      </c>
      <c r="CP12" s="1928"/>
      <c r="CQ12" s="411">
        <v>85</v>
      </c>
      <c r="CW12" s="410">
        <v>6</v>
      </c>
      <c r="CX12" s="432" t="s">
        <v>904</v>
      </c>
      <c r="CY12" s="433" t="s">
        <v>905</v>
      </c>
      <c r="CZ12" s="434" t="s">
        <v>703</v>
      </c>
      <c r="DA12" s="390">
        <v>54</v>
      </c>
      <c r="DB12" s="391">
        <v>48</v>
      </c>
      <c r="DC12" s="391">
        <v>1</v>
      </c>
      <c r="DD12" s="392">
        <v>18</v>
      </c>
      <c r="DE12" s="391">
        <v>12</v>
      </c>
      <c r="DF12" s="197">
        <v>3</v>
      </c>
      <c r="DG12" s="414">
        <v>450</v>
      </c>
      <c r="DH12" s="411">
        <v>2</v>
      </c>
      <c r="DI12" s="390">
        <v>54</v>
      </c>
      <c r="DJ12" s="391">
        <v>24</v>
      </c>
      <c r="DK12" s="391">
        <v>1</v>
      </c>
      <c r="DL12" s="415">
        <v>9</v>
      </c>
      <c r="DM12" s="391">
        <v>12</v>
      </c>
      <c r="DN12" s="197">
        <v>4</v>
      </c>
      <c r="DO12" s="432">
        <v>3250</v>
      </c>
      <c r="DV12" s="390" t="s">
        <v>974</v>
      </c>
      <c r="DW12" s="391" t="s">
        <v>975</v>
      </c>
      <c r="DX12" s="391">
        <v>5</v>
      </c>
      <c r="DY12" s="391">
        <v>1</v>
      </c>
      <c r="DZ12" s="391">
        <v>450</v>
      </c>
      <c r="EA12" s="391">
        <v>1400</v>
      </c>
      <c r="EB12" s="391">
        <v>1</v>
      </c>
      <c r="EC12" s="391">
        <v>4</v>
      </c>
      <c r="ED12" s="393">
        <v>14</v>
      </c>
      <c r="EE12" s="391">
        <v>1</v>
      </c>
      <c r="EF12" s="391">
        <v>36</v>
      </c>
      <c r="EG12" s="391">
        <v>26</v>
      </c>
      <c r="EH12" s="392">
        <v>6.5</v>
      </c>
      <c r="EI12" s="393">
        <v>1600</v>
      </c>
      <c r="EJ12" s="391">
        <v>4</v>
      </c>
      <c r="EK12" s="393">
        <v>14</v>
      </c>
      <c r="EL12" s="391">
        <v>1</v>
      </c>
      <c r="EM12" s="391">
        <v>31</v>
      </c>
      <c r="EN12" s="391">
        <v>17</v>
      </c>
      <c r="EO12" s="394">
        <v>3.6600000858306885</v>
      </c>
      <c r="EP12" s="6" t="s">
        <v>970</v>
      </c>
      <c r="EQ12" s="316" t="s">
        <v>971</v>
      </c>
      <c r="EZ12" s="2077"/>
      <c r="FA12" s="2080">
        <v>2</v>
      </c>
      <c r="FB12" s="422" t="s">
        <v>1017</v>
      </c>
      <c r="FC12" s="423"/>
      <c r="FD12" s="2073" t="s">
        <v>1009</v>
      </c>
      <c r="FE12" s="2083" t="s">
        <v>1010</v>
      </c>
      <c r="FF12" s="2085">
        <v>22.622826086956522</v>
      </c>
      <c r="FG12" s="2087">
        <v>30</v>
      </c>
      <c r="FH12" s="2073">
        <v>1</v>
      </c>
      <c r="FI12" s="2071" t="s">
        <v>1011</v>
      </c>
      <c r="FJ12" s="2065">
        <v>1.33</v>
      </c>
      <c r="FK12" s="2065">
        <v>7.9</v>
      </c>
      <c r="FL12" s="2065">
        <v>44</v>
      </c>
      <c r="FM12" s="2075">
        <v>1</v>
      </c>
      <c r="FN12" s="2071">
        <v>460</v>
      </c>
      <c r="FO12" s="2065">
        <v>0.55000000000000004</v>
      </c>
      <c r="FP12" s="2065">
        <v>4.2</v>
      </c>
      <c r="FQ12" s="2065">
        <v>1200</v>
      </c>
      <c r="FR12" s="2075">
        <v>1</v>
      </c>
      <c r="FS12" s="2071">
        <v>3</v>
      </c>
      <c r="FT12" s="2065">
        <v>12</v>
      </c>
      <c r="FU12" s="2065">
        <v>1</v>
      </c>
      <c r="FV12" s="2067">
        <v>26</v>
      </c>
      <c r="FW12" s="2067">
        <v>24</v>
      </c>
      <c r="FX12" s="2069">
        <v>4.3333000000000004</v>
      </c>
      <c r="FY12" s="2071">
        <v>700</v>
      </c>
      <c r="FZ12" s="2103" t="s">
        <v>1012</v>
      </c>
      <c r="GA12" s="2065">
        <v>3</v>
      </c>
      <c r="GB12" s="2065">
        <v>12</v>
      </c>
      <c r="GC12" s="2065">
        <v>1</v>
      </c>
      <c r="GD12" s="2067">
        <v>18</v>
      </c>
      <c r="GE12" s="2067">
        <v>15</v>
      </c>
      <c r="GF12" s="2069">
        <v>1.875</v>
      </c>
      <c r="GG12" s="2071">
        <v>1</v>
      </c>
      <c r="GH12" s="2065">
        <v>0.55000000000000004</v>
      </c>
      <c r="GI12" s="2097">
        <v>4.2</v>
      </c>
      <c r="GJ12" s="2099">
        <v>1</v>
      </c>
      <c r="GK12" s="2101">
        <v>1</v>
      </c>
      <c r="GL12" s="2095">
        <f>GJ12*1000/230</f>
        <v>4.3478260869565215</v>
      </c>
      <c r="GT12" s="2077"/>
      <c r="GU12" s="2080">
        <v>2</v>
      </c>
      <c r="GV12" s="422" t="s">
        <v>1017</v>
      </c>
      <c r="GW12" s="423"/>
      <c r="GX12" s="2073" t="s">
        <v>1009</v>
      </c>
      <c r="GY12" s="2083" t="s">
        <v>1099</v>
      </c>
      <c r="GZ12" s="2085">
        <v>21.762826086956522</v>
      </c>
      <c r="HA12" s="2087">
        <v>25</v>
      </c>
      <c r="HB12" s="2073">
        <v>1</v>
      </c>
      <c r="HC12" s="2071" t="s">
        <v>1011</v>
      </c>
      <c r="HD12" s="2065">
        <v>1.33</v>
      </c>
      <c r="HE12" s="2065">
        <v>7.9</v>
      </c>
      <c r="HF12" s="2065">
        <v>44</v>
      </c>
      <c r="HG12" s="2075">
        <v>1</v>
      </c>
      <c r="HH12" s="2071">
        <v>460</v>
      </c>
      <c r="HI12" s="2065">
        <v>0.55000000000000004</v>
      </c>
      <c r="HJ12" s="2065">
        <v>3.77</v>
      </c>
      <c r="HK12" s="2065">
        <v>1200</v>
      </c>
      <c r="HL12" s="2075">
        <v>1</v>
      </c>
      <c r="HM12" s="2071">
        <v>3</v>
      </c>
      <c r="HN12" s="2065">
        <v>12</v>
      </c>
      <c r="HO12" s="2065">
        <v>1</v>
      </c>
      <c r="HP12" s="2067">
        <v>26</v>
      </c>
      <c r="HQ12" s="2067">
        <v>24</v>
      </c>
      <c r="HR12" s="2069">
        <v>4.3333000000000004</v>
      </c>
      <c r="HS12" s="2071">
        <v>700</v>
      </c>
      <c r="HT12" s="2103" t="s">
        <v>1012</v>
      </c>
      <c r="HU12" s="2065">
        <v>3</v>
      </c>
      <c r="HV12" s="2065">
        <v>12</v>
      </c>
      <c r="HW12" s="2065">
        <v>1</v>
      </c>
      <c r="HX12" s="2067">
        <v>18</v>
      </c>
      <c r="HY12" s="2067">
        <v>15</v>
      </c>
      <c r="HZ12" s="2069">
        <v>1.875</v>
      </c>
      <c r="IA12" s="2071">
        <v>1</v>
      </c>
      <c r="IB12" s="2065">
        <v>0.55000000000000004</v>
      </c>
      <c r="IC12" s="2097">
        <v>3.77</v>
      </c>
      <c r="ID12" s="2099">
        <v>1</v>
      </c>
      <c r="IE12" s="2101">
        <v>1</v>
      </c>
      <c r="IF12" s="2095">
        <v>4.3478260869565215</v>
      </c>
      <c r="IN12" s="305" t="s">
        <v>2820</v>
      </c>
      <c r="IO12" s="6" t="s">
        <v>2821</v>
      </c>
      <c r="IP12" s="561">
        <v>2</v>
      </c>
      <c r="IQ12" s="564">
        <v>58</v>
      </c>
      <c r="IR12" s="6">
        <v>44</v>
      </c>
      <c r="IS12" s="6">
        <v>1</v>
      </c>
      <c r="IT12" s="6">
        <v>900</v>
      </c>
      <c r="IU12" s="6">
        <v>1</v>
      </c>
      <c r="IV12" s="310">
        <f t="shared" si="2"/>
        <v>17.722222222222221</v>
      </c>
      <c r="IW12" s="6">
        <v>4</v>
      </c>
      <c r="IX12" s="566">
        <v>12</v>
      </c>
      <c r="IY12" s="564">
        <v>52</v>
      </c>
      <c r="IZ12" s="6">
        <v>38</v>
      </c>
      <c r="JA12" s="6">
        <v>4</v>
      </c>
      <c r="JB12" s="6">
        <v>12</v>
      </c>
      <c r="JC12" s="311">
        <v>6200</v>
      </c>
      <c r="JE12" s="1152">
        <v>2</v>
      </c>
      <c r="KJ12" s="540" t="s">
        <v>1032</v>
      </c>
      <c r="KK12" s="541" t="s">
        <v>1219</v>
      </c>
      <c r="KL12" s="541">
        <v>1</v>
      </c>
      <c r="KM12" s="542">
        <v>35.25</v>
      </c>
      <c r="KN12" s="542">
        <v>46</v>
      </c>
      <c r="KO12" s="542">
        <v>35</v>
      </c>
      <c r="KP12" s="542">
        <v>46</v>
      </c>
      <c r="KQ12" s="540">
        <v>3</v>
      </c>
      <c r="KR12" s="539">
        <v>14</v>
      </c>
      <c r="KS12" s="545">
        <v>2</v>
      </c>
      <c r="KT12" s="1924" t="s">
        <v>1220</v>
      </c>
      <c r="KU12" s="1924"/>
      <c r="KV12" s="1924"/>
      <c r="KW12"/>
      <c r="KX12" s="546"/>
      <c r="KY12" s="546"/>
      <c r="KZ12" s="546"/>
      <c r="LA12" s="546"/>
      <c r="LB12" s="546"/>
      <c r="LC12" s="546"/>
      <c r="LD12" s="546"/>
      <c r="LE12" s="546"/>
      <c r="LF12" s="546"/>
      <c r="LG12" s="546"/>
      <c r="LH12"/>
      <c r="LI12"/>
      <c r="LJ12"/>
    </row>
    <row r="13" spans="1:322" ht="21" thickBot="1">
      <c r="A13" s="1120" t="s">
        <v>659</v>
      </c>
      <c r="B13" s="1120"/>
      <c r="AN13" s="396">
        <v>7</v>
      </c>
      <c r="AO13" s="397">
        <v>105</v>
      </c>
      <c r="AP13" s="398" t="s">
        <v>702</v>
      </c>
      <c r="AQ13" s="399" t="s">
        <v>712</v>
      </c>
      <c r="AR13" s="397">
        <v>4</v>
      </c>
      <c r="AS13" s="396" t="s">
        <v>714</v>
      </c>
      <c r="AT13" s="399">
        <v>4</v>
      </c>
      <c r="AU13" s="401">
        <v>120.3</v>
      </c>
      <c r="AV13" s="399">
        <v>12</v>
      </c>
      <c r="AW13" s="399">
        <v>4</v>
      </c>
      <c r="AX13" s="402">
        <v>900</v>
      </c>
      <c r="AY13" s="403">
        <v>4</v>
      </c>
      <c r="AZ13" s="404" t="s">
        <v>715</v>
      </c>
      <c r="BA13" s="405">
        <v>103</v>
      </c>
      <c r="BI13" s="429" t="s">
        <v>412</v>
      </c>
      <c r="BJ13" s="391">
        <v>1016</v>
      </c>
      <c r="BK13" s="391">
        <v>762</v>
      </c>
      <c r="BL13" s="394">
        <f t="shared" si="3"/>
        <v>0.77419199999999999</v>
      </c>
      <c r="BM13" s="414">
        <f t="shared" si="7"/>
        <v>1548.384</v>
      </c>
      <c r="BN13" s="414">
        <f t="shared" si="8"/>
        <v>1935.48</v>
      </c>
      <c r="BO13" s="1946" t="s">
        <v>748</v>
      </c>
      <c r="BP13" s="1947"/>
      <c r="BQ13" s="430" t="s">
        <v>412</v>
      </c>
      <c r="BR13" s="357"/>
      <c r="BS13" s="1929" t="s">
        <v>749</v>
      </c>
      <c r="BT13" s="1928"/>
      <c r="BU13" s="1928"/>
      <c r="BV13" s="1928">
        <v>1.1000000000000001</v>
      </c>
      <c r="BW13" s="1928"/>
      <c r="BX13" s="411">
        <v>95</v>
      </c>
      <c r="BY13" s="335"/>
      <c r="BZ13" s="344"/>
      <c r="CB13" s="429" t="s">
        <v>412</v>
      </c>
      <c r="CC13" s="391">
        <v>40</v>
      </c>
      <c r="CD13" s="391">
        <v>30</v>
      </c>
      <c r="CE13" s="394">
        <f t="shared" si="4"/>
        <v>8.3333333333333339</v>
      </c>
      <c r="CF13" s="414">
        <f t="shared" si="5"/>
        <v>4166.666666666667</v>
      </c>
      <c r="CG13" s="414">
        <f t="shared" si="6"/>
        <v>4416.666666666667</v>
      </c>
      <c r="CH13" s="1946" t="s">
        <v>748</v>
      </c>
      <c r="CI13" s="1947"/>
      <c r="CJ13" s="430" t="s">
        <v>412</v>
      </c>
      <c r="CK13" s="357"/>
      <c r="CL13" s="1929" t="s">
        <v>749</v>
      </c>
      <c r="CM13" s="1928"/>
      <c r="CN13" s="1928"/>
      <c r="CO13" s="1928">
        <v>1.1000000000000001</v>
      </c>
      <c r="CP13" s="1928"/>
      <c r="CQ13" s="411">
        <v>95</v>
      </c>
      <c r="CW13" s="410">
        <v>7</v>
      </c>
      <c r="CX13" s="411" t="s">
        <v>906</v>
      </c>
      <c r="CY13" s="390" t="s">
        <v>907</v>
      </c>
      <c r="CZ13" s="412">
        <v>1</v>
      </c>
      <c r="DA13" s="390">
        <v>54</v>
      </c>
      <c r="DB13" s="391">
        <v>48</v>
      </c>
      <c r="DC13" s="391">
        <v>1</v>
      </c>
      <c r="DD13" s="392">
        <v>18</v>
      </c>
      <c r="DE13" s="391">
        <v>12</v>
      </c>
      <c r="DF13" s="391">
        <v>3</v>
      </c>
      <c r="DG13" s="414">
        <v>450</v>
      </c>
      <c r="DH13" s="411">
        <v>2</v>
      </c>
      <c r="DI13" s="390">
        <v>54</v>
      </c>
      <c r="DJ13" s="391">
        <v>24</v>
      </c>
      <c r="DK13" s="391">
        <v>1</v>
      </c>
      <c r="DL13" s="415">
        <v>9</v>
      </c>
      <c r="DM13" s="391">
        <v>12</v>
      </c>
      <c r="DN13" s="391">
        <v>3</v>
      </c>
      <c r="DO13" s="411">
        <v>3700</v>
      </c>
      <c r="DV13" s="390" t="s">
        <v>977</v>
      </c>
      <c r="DW13" s="391" t="s">
        <v>979</v>
      </c>
      <c r="DX13" s="391">
        <v>7.5</v>
      </c>
      <c r="DY13" s="391">
        <v>1</v>
      </c>
      <c r="DZ13" s="391">
        <v>450</v>
      </c>
      <c r="EA13" s="391">
        <v>1400</v>
      </c>
      <c r="EB13" s="391">
        <v>2</v>
      </c>
      <c r="EC13" s="391">
        <v>4</v>
      </c>
      <c r="ED13" s="391">
        <v>12</v>
      </c>
      <c r="EE13" s="391">
        <v>1</v>
      </c>
      <c r="EF13" s="391">
        <v>52</v>
      </c>
      <c r="EG13" s="391">
        <v>38</v>
      </c>
      <c r="EH13" s="392">
        <f t="shared" ref="EH13" si="9">EE13*EF13*EG13/144</f>
        <v>13.722222222222221</v>
      </c>
      <c r="EI13" s="393">
        <v>2400</v>
      </c>
      <c r="EJ13" s="391">
        <v>4</v>
      </c>
      <c r="EK13" s="391">
        <v>12</v>
      </c>
      <c r="EL13" s="391">
        <v>1</v>
      </c>
      <c r="EM13" s="391">
        <v>40</v>
      </c>
      <c r="EN13" s="391">
        <v>28</v>
      </c>
      <c r="EO13" s="394">
        <f t="shared" ref="EO13:EO14" si="10">EL13*EM13*EN13/144</f>
        <v>7.7777777777777777</v>
      </c>
      <c r="EP13" s="6"/>
      <c r="EQ13" s="316"/>
      <c r="EZ13" s="2077"/>
      <c r="FA13" s="2080"/>
      <c r="FB13" s="422" t="s">
        <v>959</v>
      </c>
      <c r="FC13" s="423"/>
      <c r="FD13" s="2073"/>
      <c r="FE13" s="2083"/>
      <c r="FF13" s="2085"/>
      <c r="FG13" s="2087"/>
      <c r="FH13" s="2073"/>
      <c r="FI13" s="2071"/>
      <c r="FJ13" s="2065"/>
      <c r="FK13" s="2065"/>
      <c r="FL13" s="2065"/>
      <c r="FM13" s="2075"/>
      <c r="FN13" s="2071"/>
      <c r="FO13" s="2065"/>
      <c r="FP13" s="2065"/>
      <c r="FQ13" s="2065"/>
      <c r="FR13" s="2075"/>
      <c r="FS13" s="2071"/>
      <c r="FT13" s="2065"/>
      <c r="FU13" s="2065"/>
      <c r="FV13" s="2067"/>
      <c r="FW13" s="2067"/>
      <c r="FX13" s="2069"/>
      <c r="FY13" s="2071"/>
      <c r="FZ13" s="2103"/>
      <c r="GA13" s="2065"/>
      <c r="GB13" s="2065"/>
      <c r="GC13" s="2065"/>
      <c r="GD13" s="2067"/>
      <c r="GE13" s="2067"/>
      <c r="GF13" s="2069"/>
      <c r="GG13" s="2071"/>
      <c r="GH13" s="2065"/>
      <c r="GI13" s="2097"/>
      <c r="GJ13" s="2099"/>
      <c r="GK13" s="2101"/>
      <c r="GL13" s="2095"/>
      <c r="GT13" s="2077"/>
      <c r="GU13" s="2080"/>
      <c r="GV13" s="422" t="s">
        <v>959</v>
      </c>
      <c r="GW13" s="423"/>
      <c r="GX13" s="2073"/>
      <c r="GY13" s="2083"/>
      <c r="GZ13" s="2085"/>
      <c r="HA13" s="2087"/>
      <c r="HB13" s="2073"/>
      <c r="HC13" s="2071"/>
      <c r="HD13" s="2065"/>
      <c r="HE13" s="2065"/>
      <c r="HF13" s="2065"/>
      <c r="HG13" s="2075"/>
      <c r="HH13" s="2071"/>
      <c r="HI13" s="2065"/>
      <c r="HJ13" s="2065"/>
      <c r="HK13" s="2065"/>
      <c r="HL13" s="2075"/>
      <c r="HM13" s="2071"/>
      <c r="HN13" s="2065"/>
      <c r="HO13" s="2065"/>
      <c r="HP13" s="2067"/>
      <c r="HQ13" s="2067"/>
      <c r="HR13" s="2069"/>
      <c r="HS13" s="2071"/>
      <c r="HT13" s="2103"/>
      <c r="HU13" s="2065"/>
      <c r="HV13" s="2065"/>
      <c r="HW13" s="2065"/>
      <c r="HX13" s="2067"/>
      <c r="HY13" s="2067"/>
      <c r="HZ13" s="2069"/>
      <c r="IA13" s="2071"/>
      <c r="IB13" s="2065"/>
      <c r="IC13" s="2097"/>
      <c r="ID13" s="2099"/>
      <c r="IE13" s="2101"/>
      <c r="IF13" s="2095"/>
      <c r="IN13" s="305" t="s">
        <v>2822</v>
      </c>
      <c r="IO13" s="6" t="s">
        <v>2823</v>
      </c>
      <c r="IP13" s="561">
        <v>2</v>
      </c>
      <c r="IQ13" s="564">
        <v>88</v>
      </c>
      <c r="IR13" s="6">
        <v>48</v>
      </c>
      <c r="IS13" s="6">
        <v>1</v>
      </c>
      <c r="IT13" s="6">
        <v>900</v>
      </c>
      <c r="IU13" s="6">
        <v>1</v>
      </c>
      <c r="IV13" s="310">
        <f t="shared" si="2"/>
        <v>29.333333333333332</v>
      </c>
      <c r="IW13" s="6">
        <v>4</v>
      </c>
      <c r="IX13" s="566">
        <v>12</v>
      </c>
      <c r="IY13" s="564">
        <v>64</v>
      </c>
      <c r="IZ13" s="6">
        <v>38</v>
      </c>
      <c r="JA13" s="6">
        <v>4</v>
      </c>
      <c r="JB13" s="6">
        <v>12</v>
      </c>
      <c r="JC13" s="311">
        <v>7700</v>
      </c>
      <c r="JE13" s="1153">
        <v>2</v>
      </c>
      <c r="KJ13" s="540" t="s">
        <v>1040</v>
      </c>
      <c r="KK13" s="541" t="s">
        <v>1222</v>
      </c>
      <c r="KL13" s="541">
        <v>1</v>
      </c>
      <c r="KM13" s="542">
        <v>35.25</v>
      </c>
      <c r="KN13" s="542">
        <v>46</v>
      </c>
      <c r="KO13" s="542">
        <v>35</v>
      </c>
      <c r="KP13" s="542">
        <v>46</v>
      </c>
      <c r="KQ13" s="540">
        <v>3</v>
      </c>
      <c r="KR13" s="539">
        <v>14</v>
      </c>
      <c r="KS13" s="545">
        <v>2</v>
      </c>
      <c r="KT13" s="1924" t="s">
        <v>1220</v>
      </c>
      <c r="KU13" s="1924"/>
      <c r="KV13" s="1924"/>
      <c r="KW13"/>
      <c r="KX13" s="546"/>
      <c r="KY13" s="546"/>
      <c r="KZ13" s="546"/>
      <c r="LA13" s="546"/>
      <c r="LB13" s="546"/>
      <c r="LC13" s="546"/>
      <c r="LD13" s="546"/>
      <c r="LE13" s="546"/>
      <c r="LF13" s="546"/>
      <c r="LG13" s="546"/>
      <c r="LH13"/>
      <c r="LI13"/>
      <c r="LJ13"/>
    </row>
    <row r="14" spans="1:322" ht="17.25" thickBot="1">
      <c r="A14" s="2401"/>
      <c r="B14" s="249"/>
      <c r="AN14" s="396">
        <v>8</v>
      </c>
      <c r="AO14" s="397">
        <v>110</v>
      </c>
      <c r="AP14" s="398" t="s">
        <v>702</v>
      </c>
      <c r="AQ14" s="399" t="s">
        <v>716</v>
      </c>
      <c r="AR14" s="397">
        <v>4</v>
      </c>
      <c r="AS14" s="396" t="s">
        <v>714</v>
      </c>
      <c r="AT14" s="399">
        <v>4</v>
      </c>
      <c r="AU14" s="401">
        <v>120.3</v>
      </c>
      <c r="AV14" s="399">
        <v>12</v>
      </c>
      <c r="AW14" s="399">
        <v>4</v>
      </c>
      <c r="AX14" s="402">
        <v>900</v>
      </c>
      <c r="AY14" s="403">
        <v>4</v>
      </c>
      <c r="AZ14" s="404" t="s">
        <v>715</v>
      </c>
      <c r="BA14" s="405">
        <v>107.8</v>
      </c>
      <c r="BI14" s="429" t="s">
        <v>413</v>
      </c>
      <c r="BJ14" s="391">
        <v>1016</v>
      </c>
      <c r="BK14" s="391">
        <v>914.4</v>
      </c>
      <c r="BL14" s="394">
        <f t="shared" si="3"/>
        <v>0.92903040000000003</v>
      </c>
      <c r="BM14" s="414">
        <f t="shared" si="7"/>
        <v>1858.0608</v>
      </c>
      <c r="BN14" s="414">
        <f t="shared" si="8"/>
        <v>2322.576</v>
      </c>
      <c r="BO14" s="1946" t="s">
        <v>750</v>
      </c>
      <c r="BP14" s="1947"/>
      <c r="BQ14" s="430" t="s">
        <v>413</v>
      </c>
      <c r="BR14" s="357"/>
      <c r="BS14" s="1929" t="s">
        <v>749</v>
      </c>
      <c r="BT14" s="1928"/>
      <c r="BU14" s="1928"/>
      <c r="BV14" s="1928">
        <v>1.1000000000000001</v>
      </c>
      <c r="BW14" s="1928"/>
      <c r="BX14" s="411">
        <v>105</v>
      </c>
      <c r="BY14" s="335"/>
      <c r="BZ14" s="344"/>
      <c r="CB14" s="429" t="s">
        <v>413</v>
      </c>
      <c r="CC14" s="391">
        <v>40</v>
      </c>
      <c r="CD14" s="391">
        <v>36</v>
      </c>
      <c r="CE14" s="394">
        <f t="shared" si="4"/>
        <v>10</v>
      </c>
      <c r="CF14" s="414">
        <f t="shared" si="5"/>
        <v>5000</v>
      </c>
      <c r="CG14" s="414">
        <f t="shared" si="6"/>
        <v>5300</v>
      </c>
      <c r="CH14" s="1946" t="s">
        <v>750</v>
      </c>
      <c r="CI14" s="1947"/>
      <c r="CJ14" s="430" t="s">
        <v>413</v>
      </c>
      <c r="CK14" s="357"/>
      <c r="CL14" s="1929" t="s">
        <v>749</v>
      </c>
      <c r="CM14" s="1928"/>
      <c r="CN14" s="1928"/>
      <c r="CO14" s="1928">
        <v>1.1000000000000001</v>
      </c>
      <c r="CP14" s="1928"/>
      <c r="CQ14" s="411">
        <v>105</v>
      </c>
      <c r="CW14" s="410">
        <v>8</v>
      </c>
      <c r="CX14" s="432" t="s">
        <v>908</v>
      </c>
      <c r="CY14" s="390" t="s">
        <v>909</v>
      </c>
      <c r="CZ14" s="434" t="s">
        <v>703</v>
      </c>
      <c r="DA14" s="390">
        <v>54</v>
      </c>
      <c r="DB14" s="391">
        <v>48</v>
      </c>
      <c r="DC14" s="391">
        <v>1</v>
      </c>
      <c r="DD14" s="392">
        <v>18</v>
      </c>
      <c r="DE14" s="391">
        <v>12</v>
      </c>
      <c r="DF14" s="197">
        <v>3</v>
      </c>
      <c r="DG14" s="414">
        <v>450</v>
      </c>
      <c r="DH14" s="411">
        <v>2</v>
      </c>
      <c r="DI14" s="390">
        <v>54</v>
      </c>
      <c r="DJ14" s="391">
        <v>24</v>
      </c>
      <c r="DK14" s="391">
        <v>1</v>
      </c>
      <c r="DL14" s="415">
        <v>9</v>
      </c>
      <c r="DM14" s="391">
        <v>12</v>
      </c>
      <c r="DN14" s="197">
        <v>4</v>
      </c>
      <c r="DO14" s="432">
        <v>3700</v>
      </c>
      <c r="DV14" s="435" t="s">
        <v>978</v>
      </c>
      <c r="DW14" s="436" t="s">
        <v>521</v>
      </c>
      <c r="DX14" s="436">
        <v>10</v>
      </c>
      <c r="DY14" s="436">
        <v>1</v>
      </c>
      <c r="DZ14" s="436">
        <v>450</v>
      </c>
      <c r="EA14" s="436">
        <v>1400</v>
      </c>
      <c r="EB14" s="436">
        <v>2</v>
      </c>
      <c r="EC14" s="436">
        <v>4</v>
      </c>
      <c r="ED14" s="436">
        <v>12</v>
      </c>
      <c r="EE14" s="436">
        <v>1</v>
      </c>
      <c r="EF14" s="436">
        <v>52</v>
      </c>
      <c r="EG14" s="436">
        <v>38</v>
      </c>
      <c r="EH14" s="437">
        <v>13.722</v>
      </c>
      <c r="EI14" s="438">
        <v>3000</v>
      </c>
      <c r="EJ14" s="436">
        <v>4</v>
      </c>
      <c r="EK14" s="436">
        <v>12</v>
      </c>
      <c r="EL14" s="436">
        <v>1</v>
      </c>
      <c r="EM14" s="436">
        <v>40</v>
      </c>
      <c r="EN14" s="436">
        <v>28</v>
      </c>
      <c r="EO14" s="439">
        <f t="shared" si="10"/>
        <v>7.7777777777777777</v>
      </c>
      <c r="EP14" s="17"/>
      <c r="EQ14" s="317"/>
      <c r="EZ14" s="2077"/>
      <c r="FA14" s="2080"/>
      <c r="FB14" s="422" t="s">
        <v>1018</v>
      </c>
      <c r="FC14" s="423"/>
      <c r="FD14" s="2073"/>
      <c r="FE14" s="2083"/>
      <c r="FF14" s="2085"/>
      <c r="FG14" s="2087"/>
      <c r="FH14" s="2073"/>
      <c r="FI14" s="2071"/>
      <c r="FJ14" s="2065"/>
      <c r="FK14" s="2065"/>
      <c r="FL14" s="2065"/>
      <c r="FM14" s="2075"/>
      <c r="FN14" s="2071"/>
      <c r="FO14" s="2065"/>
      <c r="FP14" s="2065"/>
      <c r="FQ14" s="2065"/>
      <c r="FR14" s="2075"/>
      <c r="FS14" s="2071"/>
      <c r="FT14" s="2065"/>
      <c r="FU14" s="2065"/>
      <c r="FV14" s="2067"/>
      <c r="FW14" s="2067"/>
      <c r="FX14" s="2069"/>
      <c r="FY14" s="2071"/>
      <c r="FZ14" s="2103"/>
      <c r="GA14" s="2065"/>
      <c r="GB14" s="2065"/>
      <c r="GC14" s="2065"/>
      <c r="GD14" s="2067"/>
      <c r="GE14" s="2067"/>
      <c r="GF14" s="2069"/>
      <c r="GG14" s="2071"/>
      <c r="GH14" s="2065"/>
      <c r="GI14" s="2097"/>
      <c r="GJ14" s="2099"/>
      <c r="GK14" s="2101"/>
      <c r="GL14" s="2095"/>
      <c r="GT14" s="2077"/>
      <c r="GU14" s="2080"/>
      <c r="GV14" s="422" t="s">
        <v>1018</v>
      </c>
      <c r="GW14" s="423"/>
      <c r="GX14" s="2073"/>
      <c r="GY14" s="2083"/>
      <c r="GZ14" s="2085"/>
      <c r="HA14" s="2087"/>
      <c r="HB14" s="2073"/>
      <c r="HC14" s="2071"/>
      <c r="HD14" s="2065"/>
      <c r="HE14" s="2065"/>
      <c r="HF14" s="2065"/>
      <c r="HG14" s="2075"/>
      <c r="HH14" s="2071"/>
      <c r="HI14" s="2065"/>
      <c r="HJ14" s="2065"/>
      <c r="HK14" s="2065"/>
      <c r="HL14" s="2075"/>
      <c r="HM14" s="2071"/>
      <c r="HN14" s="2065"/>
      <c r="HO14" s="2065"/>
      <c r="HP14" s="2067"/>
      <c r="HQ14" s="2067"/>
      <c r="HR14" s="2069"/>
      <c r="HS14" s="2071"/>
      <c r="HT14" s="2103"/>
      <c r="HU14" s="2065"/>
      <c r="HV14" s="2065"/>
      <c r="HW14" s="2065"/>
      <c r="HX14" s="2067"/>
      <c r="HY14" s="2067"/>
      <c r="HZ14" s="2069"/>
      <c r="IA14" s="2071"/>
      <c r="IB14" s="2065"/>
      <c r="IC14" s="2097"/>
      <c r="ID14" s="2099"/>
      <c r="IE14" s="2101"/>
      <c r="IF14" s="2095"/>
      <c r="IN14" s="305" t="s">
        <v>2824</v>
      </c>
      <c r="IO14" s="6" t="s">
        <v>2825</v>
      </c>
      <c r="IP14" s="561">
        <v>2</v>
      </c>
      <c r="IQ14" s="564">
        <v>88</v>
      </c>
      <c r="IR14" s="6">
        <v>48</v>
      </c>
      <c r="IS14" s="6">
        <v>1</v>
      </c>
      <c r="IT14" s="6">
        <v>900</v>
      </c>
      <c r="IU14" s="6">
        <v>1</v>
      </c>
      <c r="IV14" s="310">
        <f t="shared" si="2"/>
        <v>29.333333333333332</v>
      </c>
      <c r="IW14" s="6">
        <v>4</v>
      </c>
      <c r="IX14" s="566">
        <v>12</v>
      </c>
      <c r="IY14" s="564">
        <v>64</v>
      </c>
      <c r="IZ14" s="6">
        <v>38</v>
      </c>
      <c r="JA14" s="6">
        <v>6</v>
      </c>
      <c r="JB14" s="6">
        <v>12</v>
      </c>
      <c r="JC14" s="311">
        <v>9500</v>
      </c>
      <c r="JE14" s="1154">
        <v>2</v>
      </c>
      <c r="KJ14" s="540" t="s">
        <v>1045</v>
      </c>
      <c r="KK14" s="541" t="s">
        <v>1223</v>
      </c>
      <c r="KL14" s="541">
        <v>1</v>
      </c>
      <c r="KM14" s="542">
        <v>36</v>
      </c>
      <c r="KN14" s="540">
        <v>54</v>
      </c>
      <c r="KO14" s="540">
        <v>54</v>
      </c>
      <c r="KP14" s="540">
        <v>36</v>
      </c>
      <c r="KQ14" s="540">
        <v>3</v>
      </c>
      <c r="KR14" s="539">
        <v>14</v>
      </c>
      <c r="KS14" s="545">
        <v>2</v>
      </c>
      <c r="KT14" s="1924" t="s">
        <v>1220</v>
      </c>
      <c r="KU14" s="1924"/>
      <c r="KV14" s="1924"/>
      <c r="KW14"/>
      <c r="LH14"/>
      <c r="LI14"/>
      <c r="LJ14"/>
    </row>
    <row r="15" spans="1:322" ht="33.75" thickBot="1">
      <c r="A15" s="2402"/>
      <c r="B15" s="249"/>
      <c r="AN15" s="396">
        <v>9</v>
      </c>
      <c r="AO15" s="397">
        <v>120</v>
      </c>
      <c r="AP15" s="398" t="s">
        <v>706</v>
      </c>
      <c r="AQ15" s="399">
        <v>4</v>
      </c>
      <c r="AR15" s="397">
        <v>4</v>
      </c>
      <c r="AS15" s="396" t="s">
        <v>714</v>
      </c>
      <c r="AT15" s="399">
        <v>4</v>
      </c>
      <c r="AU15" s="401">
        <v>120.3</v>
      </c>
      <c r="AV15" s="399">
        <v>12</v>
      </c>
      <c r="AW15" s="399">
        <v>4</v>
      </c>
      <c r="AX15" s="402">
        <v>900</v>
      </c>
      <c r="AY15" s="403">
        <v>4</v>
      </c>
      <c r="AZ15" s="404" t="s">
        <v>717</v>
      </c>
      <c r="BA15" s="405">
        <v>115.3</v>
      </c>
      <c r="BI15" s="429" t="s">
        <v>414</v>
      </c>
      <c r="BJ15" s="391">
        <v>1016</v>
      </c>
      <c r="BK15" s="391">
        <v>1143</v>
      </c>
      <c r="BL15" s="394">
        <f t="shared" si="3"/>
        <v>1.1612880000000001</v>
      </c>
      <c r="BM15" s="414">
        <f t="shared" si="7"/>
        <v>2322.576</v>
      </c>
      <c r="BN15" s="414">
        <f t="shared" si="8"/>
        <v>2903.2200000000003</v>
      </c>
      <c r="BO15" s="1946" t="s">
        <v>751</v>
      </c>
      <c r="BP15" s="1947"/>
      <c r="BQ15" s="430" t="s">
        <v>414</v>
      </c>
      <c r="BR15" s="357"/>
      <c r="BS15" s="1929" t="s">
        <v>752</v>
      </c>
      <c r="BT15" s="1928"/>
      <c r="BU15" s="1928"/>
      <c r="BV15" s="1928">
        <v>1.1000000000000001</v>
      </c>
      <c r="BW15" s="1928"/>
      <c r="BX15" s="411">
        <v>115</v>
      </c>
      <c r="BY15" s="335"/>
      <c r="BZ15" s="344"/>
      <c r="CB15" s="429" t="s">
        <v>414</v>
      </c>
      <c r="CC15" s="391">
        <v>40</v>
      </c>
      <c r="CD15" s="391">
        <v>45</v>
      </c>
      <c r="CE15" s="394">
        <f t="shared" si="4"/>
        <v>12.5</v>
      </c>
      <c r="CF15" s="414">
        <f t="shared" si="5"/>
        <v>6250</v>
      </c>
      <c r="CG15" s="414">
        <f t="shared" si="6"/>
        <v>6625</v>
      </c>
      <c r="CH15" s="1946" t="s">
        <v>751</v>
      </c>
      <c r="CI15" s="1947"/>
      <c r="CJ15" s="430" t="s">
        <v>414</v>
      </c>
      <c r="CK15" s="357"/>
      <c r="CL15" s="1929" t="s">
        <v>752</v>
      </c>
      <c r="CM15" s="1928"/>
      <c r="CN15" s="1928"/>
      <c r="CO15" s="1928">
        <v>1.1000000000000001</v>
      </c>
      <c r="CP15" s="1928"/>
      <c r="CQ15" s="411">
        <v>115</v>
      </c>
      <c r="CW15" s="410">
        <v>9</v>
      </c>
      <c r="CX15" s="411" t="s">
        <v>910</v>
      </c>
      <c r="CY15" s="390" t="s">
        <v>911</v>
      </c>
      <c r="CZ15" s="412">
        <v>1</v>
      </c>
      <c r="DA15" s="390">
        <v>54</v>
      </c>
      <c r="DB15" s="391">
        <v>48</v>
      </c>
      <c r="DC15" s="391">
        <v>1</v>
      </c>
      <c r="DD15" s="392">
        <v>18</v>
      </c>
      <c r="DE15" s="391">
        <v>12</v>
      </c>
      <c r="DF15" s="391">
        <v>3</v>
      </c>
      <c r="DG15" s="414">
        <v>630</v>
      </c>
      <c r="DH15" s="411">
        <v>2</v>
      </c>
      <c r="DI15" s="390">
        <v>54</v>
      </c>
      <c r="DJ15" s="391">
        <v>24</v>
      </c>
      <c r="DK15" s="391">
        <v>1</v>
      </c>
      <c r="DL15" s="415">
        <v>9</v>
      </c>
      <c r="DM15" s="391">
        <v>12</v>
      </c>
      <c r="DN15" s="391">
        <v>3</v>
      </c>
      <c r="DO15" s="411">
        <v>4000</v>
      </c>
      <c r="EZ15" s="2077"/>
      <c r="FA15" s="2080"/>
      <c r="FB15" s="422" t="s">
        <v>1019</v>
      </c>
      <c r="FC15" s="423" t="s">
        <v>1020</v>
      </c>
      <c r="FD15" s="2073"/>
      <c r="FE15" s="2083"/>
      <c r="FF15" s="2085"/>
      <c r="FG15" s="2087"/>
      <c r="FH15" s="2073"/>
      <c r="FI15" s="2071"/>
      <c r="FJ15" s="2065"/>
      <c r="FK15" s="2065"/>
      <c r="FL15" s="2065"/>
      <c r="FM15" s="2075"/>
      <c r="FN15" s="2071"/>
      <c r="FO15" s="2065"/>
      <c r="FP15" s="2065"/>
      <c r="FQ15" s="2065"/>
      <c r="FR15" s="2075"/>
      <c r="FS15" s="2071"/>
      <c r="FT15" s="2065"/>
      <c r="FU15" s="2065"/>
      <c r="FV15" s="2067"/>
      <c r="FW15" s="2067"/>
      <c r="FX15" s="2069"/>
      <c r="FY15" s="2071"/>
      <c r="FZ15" s="2103"/>
      <c r="GA15" s="2065"/>
      <c r="GB15" s="2065"/>
      <c r="GC15" s="2065"/>
      <c r="GD15" s="2067"/>
      <c r="GE15" s="2067"/>
      <c r="GF15" s="2069"/>
      <c r="GG15" s="2071"/>
      <c r="GH15" s="2065"/>
      <c r="GI15" s="2097"/>
      <c r="GJ15" s="2099"/>
      <c r="GK15" s="2101"/>
      <c r="GL15" s="2095"/>
      <c r="GT15" s="2077"/>
      <c r="GU15" s="2080"/>
      <c r="GV15" s="422" t="s">
        <v>1019</v>
      </c>
      <c r="GW15" s="423" t="s">
        <v>1020</v>
      </c>
      <c r="GX15" s="2073"/>
      <c r="GY15" s="2083"/>
      <c r="GZ15" s="2085"/>
      <c r="HA15" s="2087"/>
      <c r="HB15" s="2073"/>
      <c r="HC15" s="2071"/>
      <c r="HD15" s="2065"/>
      <c r="HE15" s="2065"/>
      <c r="HF15" s="2065"/>
      <c r="HG15" s="2075"/>
      <c r="HH15" s="2071"/>
      <c r="HI15" s="2065"/>
      <c r="HJ15" s="2065"/>
      <c r="HK15" s="2065"/>
      <c r="HL15" s="2075"/>
      <c r="HM15" s="2071"/>
      <c r="HN15" s="2065"/>
      <c r="HO15" s="2065"/>
      <c r="HP15" s="2067"/>
      <c r="HQ15" s="2067"/>
      <c r="HR15" s="2069"/>
      <c r="HS15" s="2071"/>
      <c r="HT15" s="2103"/>
      <c r="HU15" s="2065"/>
      <c r="HV15" s="2065"/>
      <c r="HW15" s="2065"/>
      <c r="HX15" s="2067"/>
      <c r="HY15" s="2067"/>
      <c r="HZ15" s="2069"/>
      <c r="IA15" s="2071"/>
      <c r="IB15" s="2065"/>
      <c r="IC15" s="2097"/>
      <c r="ID15" s="2099"/>
      <c r="IE15" s="2101"/>
      <c r="IF15" s="2095"/>
      <c r="IN15" s="305" t="s">
        <v>2826</v>
      </c>
      <c r="IO15" s="6" t="s">
        <v>2827</v>
      </c>
      <c r="IP15" s="561">
        <v>2</v>
      </c>
      <c r="IQ15" s="564">
        <v>88</v>
      </c>
      <c r="IR15" s="6">
        <v>48</v>
      </c>
      <c r="IS15" s="6">
        <v>1</v>
      </c>
      <c r="IT15" s="6">
        <v>900</v>
      </c>
      <c r="IU15" s="6">
        <v>1</v>
      </c>
      <c r="IV15" s="310">
        <f t="shared" si="2"/>
        <v>29.333333333333332</v>
      </c>
      <c r="IW15" s="6">
        <v>4</v>
      </c>
      <c r="IX15" s="566">
        <v>12</v>
      </c>
      <c r="IY15" s="564">
        <v>64</v>
      </c>
      <c r="IZ15" s="6">
        <v>38</v>
      </c>
      <c r="JA15" s="6">
        <v>6</v>
      </c>
      <c r="JB15" s="6">
        <v>12</v>
      </c>
      <c r="JC15" s="311">
        <v>9500</v>
      </c>
      <c r="JE15" s="1155">
        <v>2</v>
      </c>
      <c r="KJ15"/>
      <c r="KK15"/>
      <c r="KL15"/>
      <c r="KM15"/>
      <c r="KN15"/>
      <c r="KO15"/>
      <c r="KP15"/>
      <c r="KQ15"/>
      <c r="KR15"/>
      <c r="KS15"/>
      <c r="KT15"/>
      <c r="KU15"/>
      <c r="KV15"/>
      <c r="KW15"/>
      <c r="LH15"/>
      <c r="LI15"/>
      <c r="LJ15"/>
    </row>
    <row r="16" spans="1:322">
      <c r="A16" s="2402"/>
      <c r="B16" s="249"/>
      <c r="AN16" s="396">
        <v>10</v>
      </c>
      <c r="AO16" s="397">
        <v>135</v>
      </c>
      <c r="AP16" s="398" t="s">
        <v>718</v>
      </c>
      <c r="AQ16" s="399" t="s">
        <v>719</v>
      </c>
      <c r="AR16" s="397">
        <v>4</v>
      </c>
      <c r="AS16" s="396" t="s">
        <v>714</v>
      </c>
      <c r="AT16" s="399">
        <v>6</v>
      </c>
      <c r="AU16" s="401">
        <v>180.5</v>
      </c>
      <c r="AV16" s="399">
        <v>12</v>
      </c>
      <c r="AW16" s="399">
        <v>4</v>
      </c>
      <c r="AX16" s="402">
        <v>900</v>
      </c>
      <c r="AY16" s="403">
        <v>6</v>
      </c>
      <c r="AZ16" s="404" t="s">
        <v>717</v>
      </c>
      <c r="BA16" s="405">
        <v>132.30000000000001</v>
      </c>
      <c r="BI16" s="429" t="s">
        <v>415</v>
      </c>
      <c r="BJ16" s="391">
        <v>1371.6</v>
      </c>
      <c r="BK16" s="391">
        <v>1117.5999999999999</v>
      </c>
      <c r="BL16" s="394">
        <f t="shared" si="3"/>
        <v>1.5329001599999996</v>
      </c>
      <c r="BM16" s="414">
        <f t="shared" si="7"/>
        <v>3065.8003199999994</v>
      </c>
      <c r="BN16" s="414">
        <f t="shared" si="8"/>
        <v>3832.250399999999</v>
      </c>
      <c r="BO16" s="1946" t="s">
        <v>751</v>
      </c>
      <c r="BP16" s="1947"/>
      <c r="BQ16" s="430" t="s">
        <v>415</v>
      </c>
      <c r="BR16" s="357"/>
      <c r="BS16" s="1929" t="s">
        <v>752</v>
      </c>
      <c r="BT16" s="1928"/>
      <c r="BU16" s="1928"/>
      <c r="BV16" s="1928">
        <v>2.2000000000000002</v>
      </c>
      <c r="BW16" s="1928"/>
      <c r="BX16" s="411">
        <v>135</v>
      </c>
      <c r="BY16" s="335"/>
      <c r="BZ16" s="344"/>
      <c r="CB16" s="429" t="s">
        <v>415</v>
      </c>
      <c r="CC16" s="391">
        <v>54</v>
      </c>
      <c r="CD16" s="391">
        <v>44</v>
      </c>
      <c r="CE16" s="394">
        <f t="shared" si="4"/>
        <v>16.5</v>
      </c>
      <c r="CF16" s="414">
        <f t="shared" si="5"/>
        <v>8250</v>
      </c>
      <c r="CG16" s="414">
        <f t="shared" si="6"/>
        <v>8745</v>
      </c>
      <c r="CH16" s="1946" t="s">
        <v>751</v>
      </c>
      <c r="CI16" s="1947"/>
      <c r="CJ16" s="430" t="s">
        <v>415</v>
      </c>
      <c r="CK16" s="357"/>
      <c r="CL16" s="1929" t="s">
        <v>752</v>
      </c>
      <c r="CM16" s="1928"/>
      <c r="CN16" s="1928"/>
      <c r="CO16" s="1928">
        <v>2.2000000000000002</v>
      </c>
      <c r="CP16" s="1928"/>
      <c r="CQ16" s="411">
        <v>135</v>
      </c>
      <c r="CW16" s="410">
        <v>10</v>
      </c>
      <c r="CX16" s="432" t="s">
        <v>912</v>
      </c>
      <c r="CY16" s="390" t="s">
        <v>900</v>
      </c>
      <c r="CZ16" s="434">
        <v>2</v>
      </c>
      <c r="DA16" s="390">
        <v>54</v>
      </c>
      <c r="DB16" s="391">
        <v>48</v>
      </c>
      <c r="DC16" s="391">
        <v>1</v>
      </c>
      <c r="DD16" s="392">
        <v>18</v>
      </c>
      <c r="DE16" s="391">
        <v>12</v>
      </c>
      <c r="DF16" s="197">
        <v>3</v>
      </c>
      <c r="DG16" s="414">
        <v>630</v>
      </c>
      <c r="DH16" s="411">
        <v>2</v>
      </c>
      <c r="DI16" s="390">
        <v>54</v>
      </c>
      <c r="DJ16" s="391">
        <v>24</v>
      </c>
      <c r="DK16" s="391">
        <v>1</v>
      </c>
      <c r="DL16" s="415">
        <v>9</v>
      </c>
      <c r="DM16" s="391">
        <v>12</v>
      </c>
      <c r="DN16" s="197">
        <v>4</v>
      </c>
      <c r="DO16" s="432">
        <v>4000</v>
      </c>
      <c r="EZ16" s="2077"/>
      <c r="FA16" s="2080">
        <v>3</v>
      </c>
      <c r="FB16" s="422" t="s">
        <v>1021</v>
      </c>
      <c r="FC16" s="423"/>
      <c r="FD16" s="2073" t="s">
        <v>1009</v>
      </c>
      <c r="FE16" s="2083" t="s">
        <v>1010</v>
      </c>
      <c r="FF16" s="2085">
        <v>28.372826086956522</v>
      </c>
      <c r="FG16" s="2087">
        <v>40</v>
      </c>
      <c r="FH16" s="2109">
        <v>1</v>
      </c>
      <c r="FI16" s="2071" t="s">
        <v>1022</v>
      </c>
      <c r="FJ16" s="2067">
        <v>2</v>
      </c>
      <c r="FK16" s="2065">
        <v>12.5</v>
      </c>
      <c r="FL16" s="2065">
        <v>60</v>
      </c>
      <c r="FM16" s="2090">
        <v>1</v>
      </c>
      <c r="FN16" s="2092">
        <v>460</v>
      </c>
      <c r="FO16" s="2067">
        <v>0.55000000000000004</v>
      </c>
      <c r="FP16" s="2065">
        <v>4.2</v>
      </c>
      <c r="FQ16" s="2067">
        <v>1200</v>
      </c>
      <c r="FR16" s="2090">
        <v>1</v>
      </c>
      <c r="FS16" s="2092">
        <v>3</v>
      </c>
      <c r="FT16" s="2067">
        <v>12</v>
      </c>
      <c r="FU16" s="2067">
        <v>1</v>
      </c>
      <c r="FV16" s="2067">
        <v>26</v>
      </c>
      <c r="FW16" s="2067">
        <v>24</v>
      </c>
      <c r="FX16" s="2069">
        <f>FU16*FV16*FW16/144</f>
        <v>4.333333333333333</v>
      </c>
      <c r="FY16" s="2092">
        <v>900</v>
      </c>
      <c r="FZ16" s="2103" t="s">
        <v>1012</v>
      </c>
      <c r="GA16" s="2067">
        <v>4</v>
      </c>
      <c r="GB16" s="2067">
        <v>12</v>
      </c>
      <c r="GC16" s="2067">
        <v>1</v>
      </c>
      <c r="GD16" s="2067">
        <v>18</v>
      </c>
      <c r="GE16" s="2067">
        <v>15</v>
      </c>
      <c r="GF16" s="2069">
        <f>GC16*GD16*GE16/144</f>
        <v>1.875</v>
      </c>
      <c r="GG16" s="2092">
        <v>1</v>
      </c>
      <c r="GH16" s="2067">
        <v>0.55000000000000004</v>
      </c>
      <c r="GI16" s="2097">
        <v>4.2</v>
      </c>
      <c r="GJ16" s="2125">
        <v>1</v>
      </c>
      <c r="GK16" s="2127">
        <v>1</v>
      </c>
      <c r="GL16" s="2095">
        <f>GJ16*1000/230</f>
        <v>4.3478260869565215</v>
      </c>
      <c r="GT16" s="2077"/>
      <c r="GU16" s="2080">
        <v>3</v>
      </c>
      <c r="GV16" s="422" t="s">
        <v>1021</v>
      </c>
      <c r="GW16" s="423"/>
      <c r="GX16" s="2073" t="s">
        <v>1009</v>
      </c>
      <c r="GY16" s="2083" t="s">
        <v>1099</v>
      </c>
      <c r="GZ16" s="2085">
        <v>27.512826086956522</v>
      </c>
      <c r="HA16" s="2087">
        <v>40</v>
      </c>
      <c r="HB16" s="2109">
        <v>1</v>
      </c>
      <c r="HC16" s="2071" t="s">
        <v>1022</v>
      </c>
      <c r="HD16" s="2067">
        <v>2</v>
      </c>
      <c r="HE16" s="2065">
        <v>12.5</v>
      </c>
      <c r="HF16" s="2065">
        <v>60</v>
      </c>
      <c r="HG16" s="2090">
        <v>1</v>
      </c>
      <c r="HH16" s="2092">
        <v>460</v>
      </c>
      <c r="HI16" s="2067">
        <v>0.55000000000000004</v>
      </c>
      <c r="HJ16" s="2065">
        <v>3.77</v>
      </c>
      <c r="HK16" s="2067">
        <v>1200</v>
      </c>
      <c r="HL16" s="2090">
        <v>1</v>
      </c>
      <c r="HM16" s="2092">
        <v>3</v>
      </c>
      <c r="HN16" s="2067">
        <v>12</v>
      </c>
      <c r="HO16" s="2067">
        <v>1</v>
      </c>
      <c r="HP16" s="2067">
        <v>26</v>
      </c>
      <c r="HQ16" s="2067">
        <v>24</v>
      </c>
      <c r="HR16" s="2069">
        <f>HO16*HP16*HQ16/144</f>
        <v>4.333333333333333</v>
      </c>
      <c r="HS16" s="2092">
        <v>900</v>
      </c>
      <c r="HT16" s="2103" t="s">
        <v>1012</v>
      </c>
      <c r="HU16" s="2067">
        <v>4</v>
      </c>
      <c r="HV16" s="2067">
        <v>12</v>
      </c>
      <c r="HW16" s="2067">
        <v>1</v>
      </c>
      <c r="HX16" s="2067">
        <v>18</v>
      </c>
      <c r="HY16" s="2067">
        <v>15</v>
      </c>
      <c r="HZ16" s="2069">
        <f>HW16*HX16*HY16/144</f>
        <v>1.875</v>
      </c>
      <c r="IA16" s="2092">
        <v>1</v>
      </c>
      <c r="IB16" s="2067">
        <v>0.55000000000000004</v>
      </c>
      <c r="IC16" s="2097">
        <v>3.77</v>
      </c>
      <c r="ID16" s="2125">
        <v>1</v>
      </c>
      <c r="IE16" s="2127">
        <v>1</v>
      </c>
      <c r="IF16" s="2095">
        <v>4.3478260869565215</v>
      </c>
      <c r="IN16" s="305" t="s">
        <v>2828</v>
      </c>
      <c r="IO16" s="6" t="s">
        <v>2829</v>
      </c>
      <c r="IP16" s="561">
        <v>2</v>
      </c>
      <c r="IQ16" s="564">
        <v>88</v>
      </c>
      <c r="IR16" s="6">
        <v>48</v>
      </c>
      <c r="IS16" s="6">
        <v>1</v>
      </c>
      <c r="IT16" s="6">
        <v>900</v>
      </c>
      <c r="IU16" s="6">
        <v>2</v>
      </c>
      <c r="IV16" s="310">
        <f t="shared" si="2"/>
        <v>29.333333333333332</v>
      </c>
      <c r="IW16" s="6">
        <v>4</v>
      </c>
      <c r="IX16" s="566">
        <v>12</v>
      </c>
      <c r="IY16" s="564">
        <v>84</v>
      </c>
      <c r="IZ16" s="6">
        <v>38</v>
      </c>
      <c r="JA16" s="6">
        <v>6</v>
      </c>
      <c r="JB16" s="6">
        <v>12</v>
      </c>
      <c r="JC16" s="311">
        <v>8900</v>
      </c>
      <c r="KJ16"/>
      <c r="KK16"/>
      <c r="KL16"/>
      <c r="KM16"/>
      <c r="KN16"/>
      <c r="KO16"/>
      <c r="KP16"/>
      <c r="KQ16"/>
      <c r="KR16"/>
      <c r="KS16"/>
      <c r="KT16"/>
      <c r="KU16"/>
      <c r="KV16"/>
      <c r="KW16"/>
      <c r="LH16"/>
      <c r="LI16"/>
      <c r="LJ16"/>
    </row>
    <row r="17" spans="1:323" ht="17.25" thickBot="1">
      <c r="A17" s="2402"/>
      <c r="B17" s="249"/>
      <c r="AN17" s="396">
        <v>11</v>
      </c>
      <c r="AO17" s="397">
        <v>145</v>
      </c>
      <c r="AP17" s="398" t="s">
        <v>718</v>
      </c>
      <c r="AQ17" s="399" t="s">
        <v>716</v>
      </c>
      <c r="AR17" s="397">
        <v>4</v>
      </c>
      <c r="AS17" s="396" t="s">
        <v>714</v>
      </c>
      <c r="AT17" s="399">
        <v>6</v>
      </c>
      <c r="AU17" s="401">
        <v>180.5</v>
      </c>
      <c r="AV17" s="399">
        <v>12</v>
      </c>
      <c r="AW17" s="399">
        <v>4</v>
      </c>
      <c r="AX17" s="402">
        <v>900</v>
      </c>
      <c r="AY17" s="403">
        <v>6</v>
      </c>
      <c r="AZ17" s="404" t="s">
        <v>717</v>
      </c>
      <c r="BA17" s="431">
        <v>142.5</v>
      </c>
      <c r="BI17" s="429" t="s">
        <v>416</v>
      </c>
      <c r="BJ17" s="391">
        <v>1752.6</v>
      </c>
      <c r="BK17" s="391">
        <v>1066.8</v>
      </c>
      <c r="BL17" s="394">
        <f t="shared" si="3"/>
        <v>1.86967368</v>
      </c>
      <c r="BM17" s="414">
        <f t="shared" si="7"/>
        <v>3739.3473600000002</v>
      </c>
      <c r="BN17" s="414">
        <f t="shared" si="8"/>
        <v>4674.1841999999997</v>
      </c>
      <c r="BO17" s="1972" t="s">
        <v>753</v>
      </c>
      <c r="BP17" s="1972"/>
      <c r="BQ17" s="430" t="s">
        <v>416</v>
      </c>
      <c r="BR17" s="357"/>
      <c r="BS17" s="1929" t="s">
        <v>752</v>
      </c>
      <c r="BT17" s="1928"/>
      <c r="BU17" s="1928"/>
      <c r="BV17" s="1928">
        <v>2.2000000000000002</v>
      </c>
      <c r="BW17" s="1928"/>
      <c r="BX17" s="411">
        <v>160</v>
      </c>
      <c r="BY17" s="335"/>
      <c r="BZ17" s="344"/>
      <c r="CB17" s="429" t="s">
        <v>416</v>
      </c>
      <c r="CC17" s="391">
        <v>69</v>
      </c>
      <c r="CD17" s="391">
        <v>42</v>
      </c>
      <c r="CE17" s="394">
        <f t="shared" si="4"/>
        <v>20.125</v>
      </c>
      <c r="CF17" s="414">
        <f t="shared" si="5"/>
        <v>10062.5</v>
      </c>
      <c r="CG17" s="414">
        <f t="shared" si="6"/>
        <v>10666.25</v>
      </c>
      <c r="CH17" s="1972" t="s">
        <v>753</v>
      </c>
      <c r="CI17" s="1972"/>
      <c r="CJ17" s="430" t="s">
        <v>416</v>
      </c>
      <c r="CK17" s="357"/>
      <c r="CL17" s="1929" t="s">
        <v>752</v>
      </c>
      <c r="CM17" s="1928"/>
      <c r="CN17" s="1928"/>
      <c r="CO17" s="1928">
        <v>2.2000000000000002</v>
      </c>
      <c r="CP17" s="1928"/>
      <c r="CQ17" s="411">
        <v>160</v>
      </c>
      <c r="CW17" s="410">
        <v>11</v>
      </c>
      <c r="CX17" s="411" t="s">
        <v>913</v>
      </c>
      <c r="CY17" s="390" t="s">
        <v>914</v>
      </c>
      <c r="CZ17" s="412">
        <v>1</v>
      </c>
      <c r="DA17" s="390">
        <v>54</v>
      </c>
      <c r="DB17" s="391">
        <v>48</v>
      </c>
      <c r="DC17" s="391">
        <v>1</v>
      </c>
      <c r="DD17" s="392">
        <v>18</v>
      </c>
      <c r="DE17" s="391">
        <v>12</v>
      </c>
      <c r="DF17" s="391">
        <v>3</v>
      </c>
      <c r="DG17" s="414">
        <v>630</v>
      </c>
      <c r="DH17" s="411">
        <v>2</v>
      </c>
      <c r="DI17" s="390">
        <v>54</v>
      </c>
      <c r="DJ17" s="391">
        <v>24</v>
      </c>
      <c r="DK17" s="391">
        <v>1</v>
      </c>
      <c r="DL17" s="415">
        <v>9</v>
      </c>
      <c r="DM17" s="391">
        <v>12</v>
      </c>
      <c r="DN17" s="391">
        <v>4</v>
      </c>
      <c r="DO17" s="411">
        <v>4500</v>
      </c>
      <c r="EZ17" s="2077"/>
      <c r="FA17" s="2080"/>
      <c r="FB17" s="422" t="s">
        <v>1023</v>
      </c>
      <c r="FC17" s="423"/>
      <c r="FD17" s="2073"/>
      <c r="FE17" s="2083"/>
      <c r="FF17" s="2085"/>
      <c r="FG17" s="2087"/>
      <c r="FH17" s="2109"/>
      <c r="FI17" s="2071"/>
      <c r="FJ17" s="2067"/>
      <c r="FK17" s="2065"/>
      <c r="FL17" s="2065"/>
      <c r="FM17" s="2090"/>
      <c r="FN17" s="2092"/>
      <c r="FO17" s="2067"/>
      <c r="FP17" s="2065"/>
      <c r="FQ17" s="2067"/>
      <c r="FR17" s="2090"/>
      <c r="FS17" s="2092"/>
      <c r="FT17" s="2067"/>
      <c r="FU17" s="2067"/>
      <c r="FV17" s="2067"/>
      <c r="FW17" s="2067"/>
      <c r="FX17" s="2069"/>
      <c r="FY17" s="2092"/>
      <c r="FZ17" s="2103"/>
      <c r="GA17" s="2067"/>
      <c r="GB17" s="2067"/>
      <c r="GC17" s="2067"/>
      <c r="GD17" s="2067"/>
      <c r="GE17" s="2067"/>
      <c r="GF17" s="2069"/>
      <c r="GG17" s="2092"/>
      <c r="GH17" s="2067"/>
      <c r="GI17" s="2097"/>
      <c r="GJ17" s="2125"/>
      <c r="GK17" s="2127"/>
      <c r="GL17" s="2095"/>
      <c r="GT17" s="2077"/>
      <c r="GU17" s="2080"/>
      <c r="GV17" s="422" t="s">
        <v>1023</v>
      </c>
      <c r="GW17" s="423"/>
      <c r="GX17" s="2073"/>
      <c r="GY17" s="2083"/>
      <c r="GZ17" s="2085"/>
      <c r="HA17" s="2087"/>
      <c r="HB17" s="2109"/>
      <c r="HC17" s="2071"/>
      <c r="HD17" s="2067"/>
      <c r="HE17" s="2065"/>
      <c r="HF17" s="2065"/>
      <c r="HG17" s="2090"/>
      <c r="HH17" s="2092"/>
      <c r="HI17" s="2067"/>
      <c r="HJ17" s="2065"/>
      <c r="HK17" s="2067"/>
      <c r="HL17" s="2090"/>
      <c r="HM17" s="2092"/>
      <c r="HN17" s="2067"/>
      <c r="HO17" s="2067"/>
      <c r="HP17" s="2067"/>
      <c r="HQ17" s="2067"/>
      <c r="HR17" s="2069"/>
      <c r="HS17" s="2092"/>
      <c r="HT17" s="2103"/>
      <c r="HU17" s="2067"/>
      <c r="HV17" s="2067"/>
      <c r="HW17" s="2067"/>
      <c r="HX17" s="2067"/>
      <c r="HY17" s="2067"/>
      <c r="HZ17" s="2069"/>
      <c r="IA17" s="2092"/>
      <c r="IB17" s="2067"/>
      <c r="IC17" s="2097"/>
      <c r="ID17" s="2125"/>
      <c r="IE17" s="2127"/>
      <c r="IF17" s="2095"/>
      <c r="IN17" s="306" t="s">
        <v>2830</v>
      </c>
      <c r="IO17" s="17" t="s">
        <v>2831</v>
      </c>
      <c r="IP17" s="562">
        <v>2</v>
      </c>
      <c r="IQ17" s="565">
        <v>88</v>
      </c>
      <c r="IR17" s="17">
        <v>69</v>
      </c>
      <c r="IS17" s="17">
        <v>1</v>
      </c>
      <c r="IT17" s="17">
        <v>900</v>
      </c>
      <c r="IU17" s="17">
        <v>2</v>
      </c>
      <c r="IV17" s="312">
        <f t="shared" si="2"/>
        <v>42.166666666666664</v>
      </c>
      <c r="IW17" s="17">
        <v>3</v>
      </c>
      <c r="IX17" s="567">
        <v>12</v>
      </c>
      <c r="IY17" s="565">
        <v>120</v>
      </c>
      <c r="IZ17" s="17">
        <v>38</v>
      </c>
      <c r="JA17" s="17">
        <v>6</v>
      </c>
      <c r="JB17" s="17">
        <v>12</v>
      </c>
      <c r="JC17" s="313">
        <v>13000</v>
      </c>
      <c r="KJ17"/>
      <c r="KK17"/>
      <c r="KL17"/>
      <c r="KM17"/>
      <c r="KN17"/>
      <c r="KO17"/>
      <c r="KP17"/>
      <c r="KQ17"/>
      <c r="KR17"/>
      <c r="KS17"/>
      <c r="KT17"/>
      <c r="KU17"/>
      <c r="KV17"/>
      <c r="KW17"/>
      <c r="LH17"/>
      <c r="LI17"/>
      <c r="LJ17"/>
    </row>
    <row r="18" spans="1:323" ht="17.25" thickBot="1">
      <c r="A18" s="2403"/>
      <c r="B18" s="249"/>
      <c r="AN18" s="440">
        <v>12</v>
      </c>
      <c r="AO18" s="441">
        <v>155</v>
      </c>
      <c r="AP18" s="442" t="s">
        <v>720</v>
      </c>
      <c r="AQ18" s="443">
        <v>4</v>
      </c>
      <c r="AR18" s="441">
        <v>4</v>
      </c>
      <c r="AS18" s="440" t="s">
        <v>714</v>
      </c>
      <c r="AT18" s="443">
        <v>6</v>
      </c>
      <c r="AU18" s="444">
        <v>180.5</v>
      </c>
      <c r="AV18" s="443">
        <v>12</v>
      </c>
      <c r="AW18" s="443">
        <v>4</v>
      </c>
      <c r="AX18" s="445">
        <v>900</v>
      </c>
      <c r="AY18" s="446">
        <v>6</v>
      </c>
      <c r="AZ18" s="447" t="s">
        <v>721</v>
      </c>
      <c r="BA18" s="448">
        <v>150</v>
      </c>
      <c r="BI18" s="429" t="s">
        <v>417</v>
      </c>
      <c r="BJ18" s="391">
        <v>1752.6</v>
      </c>
      <c r="BK18" s="391">
        <v>1295.3999999999999</v>
      </c>
      <c r="BL18" s="394">
        <f t="shared" si="3"/>
        <v>2.2703180399999994</v>
      </c>
      <c r="BM18" s="414">
        <f t="shared" si="7"/>
        <v>4540.6360799999984</v>
      </c>
      <c r="BN18" s="414">
        <f t="shared" si="8"/>
        <v>5675.7950999999985</v>
      </c>
      <c r="BO18" s="1972" t="s">
        <v>754</v>
      </c>
      <c r="BP18" s="1972"/>
      <c r="BQ18" s="430" t="s">
        <v>417</v>
      </c>
      <c r="BR18" s="357"/>
      <c r="BS18" s="1929" t="s">
        <v>755</v>
      </c>
      <c r="BT18" s="1928"/>
      <c r="BU18" s="1928"/>
      <c r="BV18" s="1928">
        <v>2.2000000000000002</v>
      </c>
      <c r="BW18" s="1928"/>
      <c r="BX18" s="411">
        <v>175</v>
      </c>
      <c r="BY18" s="335"/>
      <c r="BZ18" s="344"/>
      <c r="CB18" s="429" t="s">
        <v>417</v>
      </c>
      <c r="CC18" s="391">
        <v>69</v>
      </c>
      <c r="CD18" s="391">
        <v>51</v>
      </c>
      <c r="CE18" s="394">
        <f t="shared" si="4"/>
        <v>24.4375</v>
      </c>
      <c r="CF18" s="414">
        <f t="shared" si="5"/>
        <v>12218.75</v>
      </c>
      <c r="CG18" s="414">
        <f t="shared" si="6"/>
        <v>12951.875</v>
      </c>
      <c r="CH18" s="1972" t="s">
        <v>754</v>
      </c>
      <c r="CI18" s="1972"/>
      <c r="CJ18" s="430" t="s">
        <v>417</v>
      </c>
      <c r="CK18" s="357"/>
      <c r="CL18" s="1929" t="s">
        <v>755</v>
      </c>
      <c r="CM18" s="1928"/>
      <c r="CN18" s="1928"/>
      <c r="CO18" s="1928">
        <v>2.2000000000000002</v>
      </c>
      <c r="CP18" s="1928"/>
      <c r="CQ18" s="411">
        <v>175</v>
      </c>
      <c r="CW18" s="410">
        <v>12</v>
      </c>
      <c r="CX18" s="432" t="s">
        <v>915</v>
      </c>
      <c r="CY18" s="390" t="s">
        <v>916</v>
      </c>
      <c r="CZ18" s="434" t="s">
        <v>703</v>
      </c>
      <c r="DA18" s="390">
        <v>54</v>
      </c>
      <c r="DB18" s="391">
        <v>48</v>
      </c>
      <c r="DC18" s="391">
        <v>1</v>
      </c>
      <c r="DD18" s="392">
        <v>18</v>
      </c>
      <c r="DE18" s="391">
        <v>12</v>
      </c>
      <c r="DF18" s="197">
        <v>3</v>
      </c>
      <c r="DG18" s="414">
        <v>630</v>
      </c>
      <c r="DH18" s="411">
        <v>2</v>
      </c>
      <c r="DI18" s="390">
        <v>54</v>
      </c>
      <c r="DJ18" s="391">
        <v>24</v>
      </c>
      <c r="DK18" s="391">
        <v>1</v>
      </c>
      <c r="DL18" s="415">
        <v>9</v>
      </c>
      <c r="DM18" s="391">
        <v>12</v>
      </c>
      <c r="DN18" s="197">
        <v>4</v>
      </c>
      <c r="DO18" s="432">
        <v>4500</v>
      </c>
      <c r="EZ18" s="2077"/>
      <c r="FA18" s="2080"/>
      <c r="FB18" s="422" t="s">
        <v>1024</v>
      </c>
      <c r="FC18" s="423"/>
      <c r="FD18" s="2073"/>
      <c r="FE18" s="2083"/>
      <c r="FF18" s="2085"/>
      <c r="FG18" s="2087"/>
      <c r="FH18" s="2109"/>
      <c r="FI18" s="2071"/>
      <c r="FJ18" s="2067"/>
      <c r="FK18" s="2065"/>
      <c r="FL18" s="2065"/>
      <c r="FM18" s="2090"/>
      <c r="FN18" s="2092"/>
      <c r="FO18" s="2067"/>
      <c r="FP18" s="2065"/>
      <c r="FQ18" s="2067"/>
      <c r="FR18" s="2090"/>
      <c r="FS18" s="2092"/>
      <c r="FT18" s="2067"/>
      <c r="FU18" s="2067"/>
      <c r="FV18" s="2067"/>
      <c r="FW18" s="2067"/>
      <c r="FX18" s="2069"/>
      <c r="FY18" s="2092"/>
      <c r="FZ18" s="2103"/>
      <c r="GA18" s="2067"/>
      <c r="GB18" s="2067"/>
      <c r="GC18" s="2067"/>
      <c r="GD18" s="2067"/>
      <c r="GE18" s="2067"/>
      <c r="GF18" s="2069"/>
      <c r="GG18" s="2092"/>
      <c r="GH18" s="2067"/>
      <c r="GI18" s="2097"/>
      <c r="GJ18" s="2125"/>
      <c r="GK18" s="2127"/>
      <c r="GL18" s="2095"/>
      <c r="GT18" s="2077"/>
      <c r="GU18" s="2080"/>
      <c r="GV18" s="422" t="s">
        <v>1024</v>
      </c>
      <c r="GW18" s="423"/>
      <c r="GX18" s="2073"/>
      <c r="GY18" s="2083"/>
      <c r="GZ18" s="2085"/>
      <c r="HA18" s="2087"/>
      <c r="HB18" s="2109"/>
      <c r="HC18" s="2071"/>
      <c r="HD18" s="2067"/>
      <c r="HE18" s="2065"/>
      <c r="HF18" s="2065"/>
      <c r="HG18" s="2090"/>
      <c r="HH18" s="2092"/>
      <c r="HI18" s="2067"/>
      <c r="HJ18" s="2065"/>
      <c r="HK18" s="2067"/>
      <c r="HL18" s="2090"/>
      <c r="HM18" s="2092"/>
      <c r="HN18" s="2067"/>
      <c r="HO18" s="2067"/>
      <c r="HP18" s="2067"/>
      <c r="HQ18" s="2067"/>
      <c r="HR18" s="2069"/>
      <c r="HS18" s="2092"/>
      <c r="HT18" s="2103"/>
      <c r="HU18" s="2067"/>
      <c r="HV18" s="2067"/>
      <c r="HW18" s="2067"/>
      <c r="HX18" s="2067"/>
      <c r="HY18" s="2067"/>
      <c r="HZ18" s="2069"/>
      <c r="IA18" s="2092"/>
      <c r="IB18" s="2067"/>
      <c r="IC18" s="2097"/>
      <c r="ID18" s="2125"/>
      <c r="IE18" s="2127"/>
      <c r="IF18" s="2095"/>
      <c r="KJ18" s="1914" t="s">
        <v>1279</v>
      </c>
      <c r="KK18" s="1915"/>
      <c r="KL18" s="1915"/>
      <c r="KM18" s="1915"/>
      <c r="KN18" s="1915"/>
      <c r="KO18" s="1915"/>
      <c r="KP18" s="1915"/>
      <c r="KQ18" s="1915"/>
      <c r="KR18" s="1915"/>
      <c r="KS18" s="1916"/>
      <c r="KT18"/>
      <c r="KU18"/>
      <c r="KV18"/>
      <c r="KW18"/>
      <c r="KX18" s="1914" t="s">
        <v>1280</v>
      </c>
      <c r="KY18" s="1915"/>
      <c r="KZ18" s="1915"/>
      <c r="LA18" s="1915"/>
      <c r="LB18" s="1915"/>
      <c r="LC18" s="1915"/>
      <c r="LD18" s="1915"/>
      <c r="LE18" s="1915"/>
      <c r="LF18" s="1915"/>
      <c r="LG18" s="1916"/>
      <c r="LH18"/>
      <c r="LI18"/>
      <c r="LJ18"/>
    </row>
    <row r="19" spans="1:323" ht="33.75" thickBot="1">
      <c r="A19" s="2404"/>
      <c r="B19" s="2405"/>
      <c r="AN19" s="396">
        <v>13</v>
      </c>
      <c r="AO19" s="397">
        <v>170</v>
      </c>
      <c r="AP19" s="398" t="s">
        <v>706</v>
      </c>
      <c r="AQ19" s="399">
        <v>6</v>
      </c>
      <c r="AR19" s="397">
        <v>6</v>
      </c>
      <c r="AS19" s="365" t="s">
        <v>714</v>
      </c>
      <c r="AT19" s="399">
        <v>6</v>
      </c>
      <c r="AU19" s="401">
        <v>180.5</v>
      </c>
      <c r="AV19" s="399">
        <v>12</v>
      </c>
      <c r="AW19" s="399">
        <v>4</v>
      </c>
      <c r="AX19" s="402">
        <v>900</v>
      </c>
      <c r="AY19" s="403">
        <v>6</v>
      </c>
      <c r="AZ19" s="404" t="s">
        <v>722</v>
      </c>
      <c r="BA19" s="431">
        <v>168.2</v>
      </c>
      <c r="BI19" s="429" t="s">
        <v>418</v>
      </c>
      <c r="BJ19" s="391">
        <v>1752.6</v>
      </c>
      <c r="BK19" s="391">
        <v>1600.1999999999998</v>
      </c>
      <c r="BL19" s="394">
        <f>BJ19*BK19/1000000</f>
        <v>2.8045105199999996</v>
      </c>
      <c r="BM19" s="414">
        <f t="shared" si="7"/>
        <v>5609.0210399999987</v>
      </c>
      <c r="BN19" s="414">
        <f t="shared" si="8"/>
        <v>7011.2762999999986</v>
      </c>
      <c r="BO19" s="1972" t="s">
        <v>756</v>
      </c>
      <c r="BP19" s="1972"/>
      <c r="BQ19" s="430" t="s">
        <v>418</v>
      </c>
      <c r="BR19" s="357"/>
      <c r="BS19" s="1929" t="s">
        <v>755</v>
      </c>
      <c r="BT19" s="1928"/>
      <c r="BU19" s="1928"/>
      <c r="BV19" s="1928">
        <v>3</v>
      </c>
      <c r="BW19" s="1928"/>
      <c r="BX19" s="411">
        <v>195</v>
      </c>
      <c r="BY19" s="335"/>
      <c r="BZ19" s="344"/>
      <c r="CB19" s="429" t="s">
        <v>418</v>
      </c>
      <c r="CC19" s="391">
        <v>69</v>
      </c>
      <c r="CD19" s="391">
        <v>63</v>
      </c>
      <c r="CE19" s="394">
        <f t="shared" si="4"/>
        <v>30.1875</v>
      </c>
      <c r="CF19" s="414">
        <f t="shared" si="5"/>
        <v>15093.75</v>
      </c>
      <c r="CG19" s="414">
        <f t="shared" si="6"/>
        <v>15999.375</v>
      </c>
      <c r="CH19" s="1972" t="s">
        <v>756</v>
      </c>
      <c r="CI19" s="1972"/>
      <c r="CJ19" s="430" t="s">
        <v>418</v>
      </c>
      <c r="CK19" s="357"/>
      <c r="CL19" s="1929" t="s">
        <v>755</v>
      </c>
      <c r="CM19" s="1928"/>
      <c r="CN19" s="1928"/>
      <c r="CO19" s="1928">
        <v>3</v>
      </c>
      <c r="CP19" s="1928"/>
      <c r="CQ19" s="411">
        <v>195</v>
      </c>
      <c r="CW19" s="410">
        <v>13</v>
      </c>
      <c r="CX19" s="411" t="s">
        <v>917</v>
      </c>
      <c r="CY19" s="390" t="s">
        <v>918</v>
      </c>
      <c r="CZ19" s="412">
        <v>1</v>
      </c>
      <c r="DA19" s="390">
        <v>54</v>
      </c>
      <c r="DB19" s="391">
        <v>48</v>
      </c>
      <c r="DC19" s="391">
        <v>1</v>
      </c>
      <c r="DD19" s="392">
        <v>18</v>
      </c>
      <c r="DE19" s="391">
        <v>16</v>
      </c>
      <c r="DF19" s="391">
        <v>3</v>
      </c>
      <c r="DG19" s="414">
        <v>630</v>
      </c>
      <c r="DH19" s="411">
        <v>2</v>
      </c>
      <c r="DI19" s="390">
        <v>54</v>
      </c>
      <c r="DJ19" s="391">
        <v>24</v>
      </c>
      <c r="DK19" s="391">
        <v>1</v>
      </c>
      <c r="DL19" s="415">
        <v>9</v>
      </c>
      <c r="DM19" s="391">
        <v>12</v>
      </c>
      <c r="DN19" s="391">
        <v>4</v>
      </c>
      <c r="DO19" s="411">
        <v>4500</v>
      </c>
      <c r="EZ19" s="2078"/>
      <c r="FA19" s="2104"/>
      <c r="FB19" s="449" t="s">
        <v>1025</v>
      </c>
      <c r="FC19" s="450" t="s">
        <v>1026</v>
      </c>
      <c r="FD19" s="2105"/>
      <c r="FE19" s="2106"/>
      <c r="FF19" s="2107"/>
      <c r="FG19" s="2108"/>
      <c r="FH19" s="2110"/>
      <c r="FI19" s="2111"/>
      <c r="FJ19" s="2088"/>
      <c r="FK19" s="2089"/>
      <c r="FL19" s="2089"/>
      <c r="FM19" s="2091"/>
      <c r="FN19" s="2093"/>
      <c r="FO19" s="2088"/>
      <c r="FP19" s="2089"/>
      <c r="FQ19" s="2088"/>
      <c r="FR19" s="2091"/>
      <c r="FS19" s="2093"/>
      <c r="FT19" s="2088"/>
      <c r="FU19" s="2088"/>
      <c r="FV19" s="2088"/>
      <c r="FW19" s="2088"/>
      <c r="FX19" s="2140"/>
      <c r="FY19" s="2093"/>
      <c r="FZ19" s="2141"/>
      <c r="GA19" s="2088"/>
      <c r="GB19" s="2088"/>
      <c r="GC19" s="2088"/>
      <c r="GD19" s="2088"/>
      <c r="GE19" s="2088"/>
      <c r="GF19" s="2140"/>
      <c r="GG19" s="2093"/>
      <c r="GH19" s="2088"/>
      <c r="GI19" s="2124"/>
      <c r="GJ19" s="2126"/>
      <c r="GK19" s="2128"/>
      <c r="GL19" s="2129"/>
      <c r="GT19" s="2078"/>
      <c r="GU19" s="2104"/>
      <c r="GV19" s="449" t="s">
        <v>1025</v>
      </c>
      <c r="GW19" s="450" t="s">
        <v>1026</v>
      </c>
      <c r="GX19" s="2105"/>
      <c r="GY19" s="2106"/>
      <c r="GZ19" s="2107"/>
      <c r="HA19" s="2108"/>
      <c r="HB19" s="2110"/>
      <c r="HC19" s="2111"/>
      <c r="HD19" s="2088"/>
      <c r="HE19" s="2089"/>
      <c r="HF19" s="2089"/>
      <c r="HG19" s="2091"/>
      <c r="HH19" s="2093"/>
      <c r="HI19" s="2088"/>
      <c r="HJ19" s="2089"/>
      <c r="HK19" s="2088"/>
      <c r="HL19" s="2091"/>
      <c r="HM19" s="2093"/>
      <c r="HN19" s="2088"/>
      <c r="HO19" s="2088"/>
      <c r="HP19" s="2088"/>
      <c r="HQ19" s="2088"/>
      <c r="HR19" s="2140"/>
      <c r="HS19" s="2093"/>
      <c r="HT19" s="2141"/>
      <c r="HU19" s="2088"/>
      <c r="HV19" s="2088"/>
      <c r="HW19" s="2088"/>
      <c r="HX19" s="2088"/>
      <c r="HY19" s="2088"/>
      <c r="HZ19" s="2140"/>
      <c r="IA19" s="2093"/>
      <c r="IB19" s="2088"/>
      <c r="IC19" s="2124"/>
      <c r="ID19" s="2126"/>
      <c r="IE19" s="2128"/>
      <c r="IF19" s="2129"/>
      <c r="KJ19" s="1925" t="s">
        <v>428</v>
      </c>
      <c r="KK19" s="1925" t="s">
        <v>9</v>
      </c>
      <c r="KL19" s="1926" t="s">
        <v>1201</v>
      </c>
      <c r="KM19" s="1925" t="s">
        <v>1202</v>
      </c>
      <c r="KN19" s="1925" t="s">
        <v>1203</v>
      </c>
      <c r="KO19" s="1925" t="s">
        <v>1204</v>
      </c>
      <c r="KP19" s="1925" t="s">
        <v>1205</v>
      </c>
      <c r="KQ19" s="1925" t="s">
        <v>1206</v>
      </c>
      <c r="KR19" s="1925" t="s">
        <v>426</v>
      </c>
      <c r="KS19" s="1926" t="s">
        <v>701</v>
      </c>
      <c r="KT19"/>
      <c r="KU19"/>
      <c r="KV19"/>
      <c r="KW19"/>
      <c r="KX19" s="1925" t="s">
        <v>428</v>
      </c>
      <c r="KY19" s="1925" t="s">
        <v>9</v>
      </c>
      <c r="KZ19" s="1926" t="s">
        <v>1201</v>
      </c>
      <c r="LA19" s="1925" t="s">
        <v>1202</v>
      </c>
      <c r="LB19" s="1925" t="s">
        <v>1203</v>
      </c>
      <c r="LC19" s="1925" t="s">
        <v>1204</v>
      </c>
      <c r="LD19" s="1925" t="s">
        <v>1205</v>
      </c>
      <c r="LE19" s="1925" t="s">
        <v>1206</v>
      </c>
      <c r="LF19" s="1925" t="s">
        <v>426</v>
      </c>
      <c r="LG19" s="1926" t="s">
        <v>701</v>
      </c>
      <c r="LH19"/>
      <c r="LI19"/>
      <c r="LJ19"/>
    </row>
    <row r="20" spans="1:323" ht="33.75" thickBot="1">
      <c r="A20" s="2406"/>
      <c r="B20" s="2407"/>
      <c r="AN20" s="396">
        <v>14</v>
      </c>
      <c r="AO20" s="397">
        <v>190</v>
      </c>
      <c r="AP20" s="398" t="s">
        <v>713</v>
      </c>
      <c r="AQ20" s="399">
        <v>8</v>
      </c>
      <c r="AR20" s="397">
        <v>8</v>
      </c>
      <c r="AS20" s="396" t="s">
        <v>714</v>
      </c>
      <c r="AT20" s="399">
        <v>8</v>
      </c>
      <c r="AU20" s="401">
        <v>240.7</v>
      </c>
      <c r="AV20" s="399">
        <v>12</v>
      </c>
      <c r="AW20" s="399">
        <v>4</v>
      </c>
      <c r="AX20" s="402">
        <v>900</v>
      </c>
      <c r="AY20" s="403">
        <v>8</v>
      </c>
      <c r="AZ20" s="404" t="s">
        <v>723</v>
      </c>
      <c r="BA20" s="405">
        <v>185.7</v>
      </c>
      <c r="BI20" s="429" t="s">
        <v>419</v>
      </c>
      <c r="BJ20" s="391">
        <v>1752.6</v>
      </c>
      <c r="BK20" s="391" t="s">
        <v>757</v>
      </c>
      <c r="BL20" s="394">
        <v>3.2051548799999998</v>
      </c>
      <c r="BM20" s="414">
        <f t="shared" si="7"/>
        <v>6410.3097599999992</v>
      </c>
      <c r="BN20" s="414">
        <f t="shared" si="8"/>
        <v>8012.8872000000001</v>
      </c>
      <c r="BO20" s="1972" t="s">
        <v>758</v>
      </c>
      <c r="BP20" s="1972"/>
      <c r="BQ20" s="430" t="s">
        <v>419</v>
      </c>
      <c r="BR20" s="357"/>
      <c r="BS20" s="1929" t="s">
        <v>759</v>
      </c>
      <c r="BT20" s="1928"/>
      <c r="BU20" s="1928"/>
      <c r="BV20" s="1928">
        <v>3</v>
      </c>
      <c r="BW20" s="1928"/>
      <c r="BX20" s="411">
        <v>230</v>
      </c>
      <c r="BY20" s="335"/>
      <c r="BZ20" s="344"/>
      <c r="CB20" s="429" t="s">
        <v>419</v>
      </c>
      <c r="CC20" s="391">
        <v>69</v>
      </c>
      <c r="CD20" s="391" t="s">
        <v>866</v>
      </c>
      <c r="CE20" s="394">
        <f>CC20*(36*2)/144</f>
        <v>34.5</v>
      </c>
      <c r="CF20" s="414">
        <f t="shared" si="5"/>
        <v>17250</v>
      </c>
      <c r="CG20" s="414">
        <f t="shared" si="6"/>
        <v>18285</v>
      </c>
      <c r="CH20" s="1972" t="s">
        <v>758</v>
      </c>
      <c r="CI20" s="1972"/>
      <c r="CJ20" s="430" t="s">
        <v>419</v>
      </c>
      <c r="CK20" s="357"/>
      <c r="CL20" s="1929" t="s">
        <v>759</v>
      </c>
      <c r="CM20" s="1928"/>
      <c r="CN20" s="1928"/>
      <c r="CO20" s="1928">
        <v>3</v>
      </c>
      <c r="CP20" s="1928"/>
      <c r="CQ20" s="411">
        <v>230</v>
      </c>
      <c r="CW20" s="410">
        <v>14</v>
      </c>
      <c r="CX20" s="432" t="s">
        <v>919</v>
      </c>
      <c r="CY20" s="390" t="s">
        <v>920</v>
      </c>
      <c r="CZ20" s="434" t="s">
        <v>703</v>
      </c>
      <c r="DA20" s="390">
        <v>54</v>
      </c>
      <c r="DB20" s="391">
        <v>48</v>
      </c>
      <c r="DC20" s="391">
        <v>1</v>
      </c>
      <c r="DD20" s="392">
        <v>18</v>
      </c>
      <c r="DE20" s="391">
        <v>16</v>
      </c>
      <c r="DF20" s="197">
        <v>3</v>
      </c>
      <c r="DG20" s="414">
        <v>630</v>
      </c>
      <c r="DH20" s="411">
        <v>2</v>
      </c>
      <c r="DI20" s="390">
        <v>54</v>
      </c>
      <c r="DJ20" s="391">
        <v>24</v>
      </c>
      <c r="DK20" s="391">
        <v>1</v>
      </c>
      <c r="DL20" s="415">
        <v>9</v>
      </c>
      <c r="DM20" s="391">
        <v>12</v>
      </c>
      <c r="DN20" s="197">
        <v>4</v>
      </c>
      <c r="DO20" s="432">
        <v>4500</v>
      </c>
      <c r="EZ20" s="2130">
        <v>2</v>
      </c>
      <c r="FA20" s="2132">
        <v>4</v>
      </c>
      <c r="FB20" s="451" t="s">
        <v>1027</v>
      </c>
      <c r="FC20" s="452"/>
      <c r="FD20" s="2134" t="s">
        <v>1009</v>
      </c>
      <c r="FE20" s="2136" t="s">
        <v>1028</v>
      </c>
      <c r="FF20" s="2138">
        <v>16.643703703703704</v>
      </c>
      <c r="FG20" s="2120">
        <v>20</v>
      </c>
      <c r="FH20" s="2122">
        <v>1</v>
      </c>
      <c r="FI20" s="2112" t="s">
        <v>1029</v>
      </c>
      <c r="FJ20" s="2114">
        <v>2.5</v>
      </c>
      <c r="FK20" s="2116">
        <v>6.4</v>
      </c>
      <c r="FL20" s="2116">
        <v>38</v>
      </c>
      <c r="FM20" s="2118">
        <v>1</v>
      </c>
      <c r="FN20" s="2112">
        <v>660</v>
      </c>
      <c r="FO20" s="2114">
        <v>1.1000000000000001</v>
      </c>
      <c r="FP20" s="2116">
        <v>2.5</v>
      </c>
      <c r="FQ20" s="2114">
        <v>1200</v>
      </c>
      <c r="FR20" s="2118">
        <v>1</v>
      </c>
      <c r="FS20" s="2112">
        <v>4</v>
      </c>
      <c r="FT20" s="2114">
        <v>12</v>
      </c>
      <c r="FU20" s="2114">
        <v>1</v>
      </c>
      <c r="FV20" s="2114">
        <v>26</v>
      </c>
      <c r="FW20" s="2114">
        <v>24</v>
      </c>
      <c r="FX20" s="2142">
        <f>FU20*FV20*FW20/144</f>
        <v>4.333333333333333</v>
      </c>
      <c r="FY20" s="2112">
        <v>1400</v>
      </c>
      <c r="FZ20" s="2148">
        <v>0.5</v>
      </c>
      <c r="GA20" s="2114">
        <v>4</v>
      </c>
      <c r="GB20" s="2114">
        <v>12</v>
      </c>
      <c r="GC20" s="2114">
        <v>1</v>
      </c>
      <c r="GD20" s="2114">
        <v>18</v>
      </c>
      <c r="GE20" s="2114">
        <v>15</v>
      </c>
      <c r="GF20" s="2142">
        <f>GC20*GD20*GE20/144</f>
        <v>1.875</v>
      </c>
      <c r="GG20" s="2112">
        <v>1</v>
      </c>
      <c r="GH20" s="2114">
        <v>0.75</v>
      </c>
      <c r="GI20" s="2144">
        <v>2.44</v>
      </c>
      <c r="GJ20" s="2146">
        <v>3</v>
      </c>
      <c r="GK20" s="2114">
        <v>1</v>
      </c>
      <c r="GL20" s="2142">
        <f>((GJ20*1000)/GK20)/270</f>
        <v>11.111111111111111</v>
      </c>
      <c r="GT20" s="2130">
        <v>2</v>
      </c>
      <c r="GU20" s="2132">
        <v>4</v>
      </c>
      <c r="GV20" s="451" t="s">
        <v>1027</v>
      </c>
      <c r="GW20" s="452"/>
      <c r="GX20" s="2134" t="s">
        <v>1009</v>
      </c>
      <c r="GY20" s="2136" t="s">
        <v>1100</v>
      </c>
      <c r="GZ20" s="2138">
        <v>17.402826086956523</v>
      </c>
      <c r="HA20" s="2120">
        <v>20</v>
      </c>
      <c r="HB20" s="2122">
        <v>1</v>
      </c>
      <c r="HC20" s="2112" t="s">
        <v>1029</v>
      </c>
      <c r="HD20" s="2114">
        <v>2.5</v>
      </c>
      <c r="HE20" s="2116">
        <v>6.4</v>
      </c>
      <c r="HF20" s="2116">
        <v>38</v>
      </c>
      <c r="HG20" s="2118">
        <v>1</v>
      </c>
      <c r="HH20" s="2112">
        <v>660</v>
      </c>
      <c r="HI20" s="2114">
        <v>1.1000000000000001</v>
      </c>
      <c r="HJ20" s="2116">
        <v>2.99</v>
      </c>
      <c r="HK20" s="2114">
        <v>1200</v>
      </c>
      <c r="HL20" s="2118">
        <v>1</v>
      </c>
      <c r="HM20" s="2112">
        <v>4</v>
      </c>
      <c r="HN20" s="2114">
        <v>12</v>
      </c>
      <c r="HO20" s="2114">
        <v>1</v>
      </c>
      <c r="HP20" s="2114">
        <v>26</v>
      </c>
      <c r="HQ20" s="2114">
        <v>24</v>
      </c>
      <c r="HR20" s="2142">
        <f>HO20*HP20*HQ20/144</f>
        <v>4.333333333333333</v>
      </c>
      <c r="HS20" s="2112">
        <v>1400</v>
      </c>
      <c r="HT20" s="2148">
        <v>0.5</v>
      </c>
      <c r="HU20" s="2114">
        <v>4</v>
      </c>
      <c r="HV20" s="2114">
        <v>12</v>
      </c>
      <c r="HW20" s="2114">
        <v>1</v>
      </c>
      <c r="HX20" s="2114">
        <v>18</v>
      </c>
      <c r="HY20" s="2114">
        <v>15</v>
      </c>
      <c r="HZ20" s="2142">
        <f>HW20*HX20*HY20/144</f>
        <v>1.875</v>
      </c>
      <c r="IA20" s="2112">
        <v>1</v>
      </c>
      <c r="IB20" s="2114">
        <v>0.75</v>
      </c>
      <c r="IC20" s="2144">
        <v>2.44</v>
      </c>
      <c r="ID20" s="2146">
        <v>3</v>
      </c>
      <c r="IE20" s="2114">
        <v>1</v>
      </c>
      <c r="IF20" s="2142">
        <v>13.043478260869565</v>
      </c>
      <c r="IN20" s="318" t="s">
        <v>1120</v>
      </c>
      <c r="IO20" s="319"/>
      <c r="IP20" s="320"/>
      <c r="KJ20" s="1925"/>
      <c r="KK20" s="1925"/>
      <c r="KL20" s="1926"/>
      <c r="KM20" s="1925"/>
      <c r="KN20" s="1925"/>
      <c r="KO20" s="1925"/>
      <c r="KP20" s="1925"/>
      <c r="KQ20" s="1925"/>
      <c r="KR20" s="1925"/>
      <c r="KS20" s="1926"/>
      <c r="KT20"/>
      <c r="KU20"/>
      <c r="KV20"/>
      <c r="KW20"/>
      <c r="KX20" s="1925"/>
      <c r="KY20" s="1925"/>
      <c r="KZ20" s="1926"/>
      <c r="LA20" s="1925"/>
      <c r="LB20" s="1925"/>
      <c r="LC20" s="1925"/>
      <c r="LD20" s="1925"/>
      <c r="LE20" s="1925"/>
      <c r="LF20" s="1925"/>
      <c r="LG20" s="1926"/>
      <c r="LH20"/>
      <c r="LI20"/>
      <c r="LJ20"/>
    </row>
    <row r="21" spans="1:323" ht="33.75" thickBot="1">
      <c r="A21" s="1919" t="s">
        <v>1281</v>
      </c>
      <c r="B21" s="1920"/>
      <c r="AN21" s="396">
        <v>15</v>
      </c>
      <c r="AO21" s="397">
        <v>200</v>
      </c>
      <c r="AP21" s="398" t="s">
        <v>702</v>
      </c>
      <c r="AQ21" s="399" t="s">
        <v>724</v>
      </c>
      <c r="AR21" s="397">
        <v>8</v>
      </c>
      <c r="AS21" s="396" t="s">
        <v>714</v>
      </c>
      <c r="AT21" s="399">
        <v>8</v>
      </c>
      <c r="AU21" s="401">
        <v>240.7</v>
      </c>
      <c r="AV21" s="399">
        <v>12</v>
      </c>
      <c r="AW21" s="399">
        <v>4</v>
      </c>
      <c r="AX21" s="402">
        <v>900</v>
      </c>
      <c r="AY21" s="403">
        <v>8</v>
      </c>
      <c r="AZ21" s="404" t="s">
        <v>723</v>
      </c>
      <c r="BA21" s="405">
        <v>195.5</v>
      </c>
      <c r="BI21" s="429" t="s">
        <v>420</v>
      </c>
      <c r="BJ21" s="391">
        <v>1752.6</v>
      </c>
      <c r="BK21" s="391" t="s">
        <v>760</v>
      </c>
      <c r="BL21" s="394">
        <v>3.4722511199999997</v>
      </c>
      <c r="BM21" s="414">
        <f t="shared" si="7"/>
        <v>6944.5022399999998</v>
      </c>
      <c r="BN21" s="414">
        <f t="shared" si="8"/>
        <v>8680.6278000000002</v>
      </c>
      <c r="BO21" s="1972" t="s">
        <v>761</v>
      </c>
      <c r="BP21" s="1972"/>
      <c r="BQ21" s="430" t="s">
        <v>420</v>
      </c>
      <c r="BR21" s="357"/>
      <c r="BS21" s="1929" t="s">
        <v>759</v>
      </c>
      <c r="BT21" s="1928"/>
      <c r="BU21" s="1928"/>
      <c r="BV21" s="1928">
        <v>4</v>
      </c>
      <c r="BW21" s="1928"/>
      <c r="BX21" s="411">
        <v>300</v>
      </c>
      <c r="BY21" s="335"/>
      <c r="BZ21" s="344"/>
      <c r="CB21" s="429" t="s">
        <v>420</v>
      </c>
      <c r="CC21" s="391">
        <v>69</v>
      </c>
      <c r="CD21" s="391" t="s">
        <v>867</v>
      </c>
      <c r="CE21" s="394">
        <f>CC21*(39*2)/144</f>
        <v>37.375</v>
      </c>
      <c r="CF21" s="414">
        <f t="shared" si="5"/>
        <v>18687.5</v>
      </c>
      <c r="CG21" s="414">
        <f t="shared" si="6"/>
        <v>19808.75</v>
      </c>
      <c r="CH21" s="1972" t="s">
        <v>761</v>
      </c>
      <c r="CI21" s="1972"/>
      <c r="CJ21" s="430" t="s">
        <v>420</v>
      </c>
      <c r="CK21" s="357"/>
      <c r="CL21" s="1929" t="s">
        <v>759</v>
      </c>
      <c r="CM21" s="1928"/>
      <c r="CN21" s="1928"/>
      <c r="CO21" s="1928">
        <v>4</v>
      </c>
      <c r="CP21" s="1928"/>
      <c r="CQ21" s="411">
        <v>300</v>
      </c>
      <c r="CW21" s="410">
        <v>15</v>
      </c>
      <c r="CX21" s="432" t="s">
        <v>921</v>
      </c>
      <c r="CY21" s="390" t="s">
        <v>918</v>
      </c>
      <c r="CZ21" s="434">
        <v>1</v>
      </c>
      <c r="DA21" s="390">
        <v>76</v>
      </c>
      <c r="DB21" s="391">
        <v>59</v>
      </c>
      <c r="DC21" s="391">
        <v>1</v>
      </c>
      <c r="DD21" s="392">
        <v>31.138888888888889</v>
      </c>
      <c r="DE21" s="391">
        <v>12</v>
      </c>
      <c r="DF21" s="197">
        <v>3</v>
      </c>
      <c r="DG21" s="414">
        <v>630</v>
      </c>
      <c r="DH21" s="411">
        <v>3</v>
      </c>
      <c r="DI21" s="433">
        <v>76</v>
      </c>
      <c r="DJ21" s="197">
        <v>34</v>
      </c>
      <c r="DK21" s="391">
        <v>1</v>
      </c>
      <c r="DL21" s="415">
        <v>17.944444444444443</v>
      </c>
      <c r="DM21" s="391">
        <v>12</v>
      </c>
      <c r="DN21" s="197">
        <v>3</v>
      </c>
      <c r="DO21" s="432">
        <v>6500</v>
      </c>
      <c r="EZ21" s="2131"/>
      <c r="FA21" s="2133"/>
      <c r="FB21" s="453" t="s">
        <v>1030</v>
      </c>
      <c r="FC21" s="454"/>
      <c r="FD21" s="2135"/>
      <c r="FE21" s="2137"/>
      <c r="FF21" s="2139"/>
      <c r="FG21" s="2121"/>
      <c r="FH21" s="2123"/>
      <c r="FI21" s="2113"/>
      <c r="FJ21" s="2115"/>
      <c r="FK21" s="2117"/>
      <c r="FL21" s="2117"/>
      <c r="FM21" s="2119"/>
      <c r="FN21" s="2113"/>
      <c r="FO21" s="2115"/>
      <c r="FP21" s="2117"/>
      <c r="FQ21" s="2115"/>
      <c r="FR21" s="2119"/>
      <c r="FS21" s="2113"/>
      <c r="FT21" s="2115"/>
      <c r="FU21" s="2115"/>
      <c r="FV21" s="2115"/>
      <c r="FW21" s="2115"/>
      <c r="FX21" s="2143"/>
      <c r="FY21" s="2113"/>
      <c r="FZ21" s="2149"/>
      <c r="GA21" s="2115"/>
      <c r="GB21" s="2115"/>
      <c r="GC21" s="2115"/>
      <c r="GD21" s="2115"/>
      <c r="GE21" s="2115"/>
      <c r="GF21" s="2143"/>
      <c r="GG21" s="2113"/>
      <c r="GH21" s="2115"/>
      <c r="GI21" s="2145"/>
      <c r="GJ21" s="2147"/>
      <c r="GK21" s="2115"/>
      <c r="GL21" s="2143"/>
      <c r="GT21" s="2131"/>
      <c r="GU21" s="2133"/>
      <c r="GV21" s="453" t="s">
        <v>1030</v>
      </c>
      <c r="GW21" s="454"/>
      <c r="GX21" s="2135"/>
      <c r="GY21" s="2137"/>
      <c r="GZ21" s="2139"/>
      <c r="HA21" s="2121"/>
      <c r="HB21" s="2123"/>
      <c r="HC21" s="2113"/>
      <c r="HD21" s="2115"/>
      <c r="HE21" s="2117"/>
      <c r="HF21" s="2117"/>
      <c r="HG21" s="2119"/>
      <c r="HH21" s="2113"/>
      <c r="HI21" s="2115"/>
      <c r="HJ21" s="2117"/>
      <c r="HK21" s="2115"/>
      <c r="HL21" s="2119"/>
      <c r="HM21" s="2113"/>
      <c r="HN21" s="2115"/>
      <c r="HO21" s="2115"/>
      <c r="HP21" s="2115"/>
      <c r="HQ21" s="2115"/>
      <c r="HR21" s="2143"/>
      <c r="HS21" s="2113"/>
      <c r="HT21" s="2149"/>
      <c r="HU21" s="2115"/>
      <c r="HV21" s="2115"/>
      <c r="HW21" s="2115"/>
      <c r="HX21" s="2115"/>
      <c r="HY21" s="2115"/>
      <c r="HZ21" s="2143"/>
      <c r="IA21" s="2113"/>
      <c r="IB21" s="2115"/>
      <c r="IC21" s="2145"/>
      <c r="ID21" s="2147"/>
      <c r="IE21" s="2115"/>
      <c r="IF21" s="2143"/>
      <c r="KJ21" s="544" t="s">
        <v>1215</v>
      </c>
      <c r="KK21" s="544" t="s">
        <v>1226</v>
      </c>
      <c r="KL21" s="547">
        <v>1</v>
      </c>
      <c r="KM21" s="543">
        <v>79.099999999999994</v>
      </c>
      <c r="KN21" s="543">
        <v>8.3000000000000007</v>
      </c>
      <c r="KO21" s="543">
        <v>4.5999999999999996</v>
      </c>
      <c r="KP21" s="543">
        <v>16</v>
      </c>
      <c r="KQ21" s="543">
        <v>2</v>
      </c>
      <c r="KR21" s="543">
        <v>753</v>
      </c>
      <c r="KS21" s="543">
        <v>1</v>
      </c>
      <c r="KT21"/>
      <c r="KU21"/>
      <c r="KV21"/>
      <c r="KW21"/>
      <c r="KX21" s="544" t="s">
        <v>1213</v>
      </c>
      <c r="KY21" s="544" t="s">
        <v>1224</v>
      </c>
      <c r="KZ21" s="547">
        <v>1</v>
      </c>
      <c r="LA21" s="543">
        <v>26</v>
      </c>
      <c r="LB21" s="543">
        <v>8</v>
      </c>
      <c r="LC21" s="543">
        <v>1.4</v>
      </c>
      <c r="LD21" s="543">
        <v>10</v>
      </c>
      <c r="LE21" s="543">
        <v>3</v>
      </c>
      <c r="LF21" s="543">
        <v>470</v>
      </c>
      <c r="LG21" s="543">
        <v>1</v>
      </c>
      <c r="LH21"/>
      <c r="LI21"/>
      <c r="LJ21"/>
    </row>
    <row r="22" spans="1:323" ht="33">
      <c r="A22" s="2408"/>
      <c r="B22" s="2409"/>
      <c r="AN22" s="396">
        <v>16</v>
      </c>
      <c r="AO22" s="397">
        <v>215</v>
      </c>
      <c r="AP22" s="398" t="s">
        <v>702</v>
      </c>
      <c r="AQ22" s="399" t="s">
        <v>725</v>
      </c>
      <c r="AR22" s="397">
        <v>8</v>
      </c>
      <c r="AS22" s="396" t="s">
        <v>714</v>
      </c>
      <c r="AT22" s="399">
        <v>8</v>
      </c>
      <c r="AU22" s="401">
        <v>240.7</v>
      </c>
      <c r="AV22" s="399">
        <v>12</v>
      </c>
      <c r="AW22" s="399">
        <v>4</v>
      </c>
      <c r="AX22" s="402">
        <v>900</v>
      </c>
      <c r="AY22" s="403">
        <v>8</v>
      </c>
      <c r="AZ22" s="404" t="s">
        <v>723</v>
      </c>
      <c r="BA22" s="431">
        <v>206.1</v>
      </c>
      <c r="BI22" s="429" t="s">
        <v>421</v>
      </c>
      <c r="BJ22" s="391">
        <v>2286</v>
      </c>
      <c r="BK22" s="391" t="s">
        <v>760</v>
      </c>
      <c r="BL22" s="394">
        <v>4.5290231999999992</v>
      </c>
      <c r="BM22" s="414">
        <f t="shared" si="7"/>
        <v>9058.0463999999993</v>
      </c>
      <c r="BN22" s="414">
        <f t="shared" si="8"/>
        <v>11322.557999999997</v>
      </c>
      <c r="BO22" s="1972" t="s">
        <v>762</v>
      </c>
      <c r="BP22" s="1972"/>
      <c r="BQ22" s="430" t="s">
        <v>421</v>
      </c>
      <c r="BR22" s="357"/>
      <c r="BS22" s="1929" t="s">
        <v>759</v>
      </c>
      <c r="BT22" s="1928"/>
      <c r="BU22" s="1928"/>
      <c r="BV22" s="1928">
        <v>5.5</v>
      </c>
      <c r="BW22" s="1928"/>
      <c r="BX22" s="411">
        <v>360</v>
      </c>
      <c r="BY22" s="335"/>
      <c r="BZ22" s="344"/>
      <c r="CB22" s="429" t="s">
        <v>421</v>
      </c>
      <c r="CC22" s="391">
        <v>90</v>
      </c>
      <c r="CD22" s="391" t="s">
        <v>867</v>
      </c>
      <c r="CE22" s="394">
        <f>CC22*(39*2)/144</f>
        <v>48.75</v>
      </c>
      <c r="CF22" s="414">
        <f t="shared" si="5"/>
        <v>24375</v>
      </c>
      <c r="CG22" s="414">
        <f t="shared" si="6"/>
        <v>25837.5</v>
      </c>
      <c r="CH22" s="1972" t="s">
        <v>762</v>
      </c>
      <c r="CI22" s="1972"/>
      <c r="CJ22" s="430" t="s">
        <v>421</v>
      </c>
      <c r="CK22" s="357"/>
      <c r="CL22" s="1929" t="s">
        <v>759</v>
      </c>
      <c r="CM22" s="1928"/>
      <c r="CN22" s="1928"/>
      <c r="CO22" s="1928">
        <v>5.5</v>
      </c>
      <c r="CP22" s="1928"/>
      <c r="CQ22" s="411">
        <v>360</v>
      </c>
      <c r="CW22" s="410">
        <v>16</v>
      </c>
      <c r="CX22" s="411" t="s">
        <v>922</v>
      </c>
      <c r="CY22" s="390" t="s">
        <v>920</v>
      </c>
      <c r="CZ22" s="412" t="s">
        <v>703</v>
      </c>
      <c r="DA22" s="390">
        <v>76</v>
      </c>
      <c r="DB22" s="391">
        <v>59</v>
      </c>
      <c r="DC22" s="391">
        <v>1</v>
      </c>
      <c r="DD22" s="392">
        <v>31.138888888888889</v>
      </c>
      <c r="DE22" s="391">
        <v>12</v>
      </c>
      <c r="DF22" s="391">
        <v>3</v>
      </c>
      <c r="DG22" s="414">
        <v>630</v>
      </c>
      <c r="DH22" s="411">
        <v>3</v>
      </c>
      <c r="DI22" s="433">
        <v>76</v>
      </c>
      <c r="DJ22" s="197">
        <v>34</v>
      </c>
      <c r="DK22" s="391">
        <v>1</v>
      </c>
      <c r="DL22" s="415">
        <v>17.944444444444443</v>
      </c>
      <c r="DM22" s="391">
        <v>12</v>
      </c>
      <c r="DN22" s="391">
        <v>4</v>
      </c>
      <c r="DO22" s="411">
        <v>6500</v>
      </c>
      <c r="EZ22" s="2131"/>
      <c r="FA22" s="2133"/>
      <c r="FB22" s="453" t="s">
        <v>1031</v>
      </c>
      <c r="FC22" s="454"/>
      <c r="FD22" s="2135"/>
      <c r="FE22" s="2137"/>
      <c r="FF22" s="2139"/>
      <c r="FG22" s="2121"/>
      <c r="FH22" s="2123"/>
      <c r="FI22" s="2113"/>
      <c r="FJ22" s="2115"/>
      <c r="FK22" s="2117"/>
      <c r="FL22" s="2117"/>
      <c r="FM22" s="2119"/>
      <c r="FN22" s="2113"/>
      <c r="FO22" s="2115"/>
      <c r="FP22" s="2117"/>
      <c r="FQ22" s="2115"/>
      <c r="FR22" s="2119"/>
      <c r="FS22" s="2113"/>
      <c r="FT22" s="2115"/>
      <c r="FU22" s="2115"/>
      <c r="FV22" s="2115"/>
      <c r="FW22" s="2115"/>
      <c r="FX22" s="2143"/>
      <c r="FY22" s="2113"/>
      <c r="FZ22" s="2149"/>
      <c r="GA22" s="2115"/>
      <c r="GB22" s="2115"/>
      <c r="GC22" s="2115"/>
      <c r="GD22" s="2115"/>
      <c r="GE22" s="2115"/>
      <c r="GF22" s="2143"/>
      <c r="GG22" s="2113"/>
      <c r="GH22" s="2115"/>
      <c r="GI22" s="2145"/>
      <c r="GJ22" s="2147"/>
      <c r="GK22" s="2115"/>
      <c r="GL22" s="2143"/>
      <c r="GT22" s="2131"/>
      <c r="GU22" s="2133"/>
      <c r="GV22" s="453" t="s">
        <v>1031</v>
      </c>
      <c r="GW22" s="454"/>
      <c r="GX22" s="2135"/>
      <c r="GY22" s="2137"/>
      <c r="GZ22" s="2139"/>
      <c r="HA22" s="2121"/>
      <c r="HB22" s="2123"/>
      <c r="HC22" s="2113"/>
      <c r="HD22" s="2115"/>
      <c r="HE22" s="2117"/>
      <c r="HF22" s="2117"/>
      <c r="HG22" s="2119"/>
      <c r="HH22" s="2113"/>
      <c r="HI22" s="2115"/>
      <c r="HJ22" s="2117"/>
      <c r="HK22" s="2115"/>
      <c r="HL22" s="2119"/>
      <c r="HM22" s="2113"/>
      <c r="HN22" s="2115"/>
      <c r="HO22" s="2115"/>
      <c r="HP22" s="2115"/>
      <c r="HQ22" s="2115"/>
      <c r="HR22" s="2143"/>
      <c r="HS22" s="2113"/>
      <c r="HT22" s="2149"/>
      <c r="HU22" s="2115"/>
      <c r="HV22" s="2115"/>
      <c r="HW22" s="2115"/>
      <c r="HX22" s="2115"/>
      <c r="HY22" s="2115"/>
      <c r="HZ22" s="2143"/>
      <c r="IA22" s="2113"/>
      <c r="IB22" s="2115"/>
      <c r="IC22" s="2145"/>
      <c r="ID22" s="2147"/>
      <c r="IE22" s="2115"/>
      <c r="IF22" s="2143"/>
      <c r="KJ22" s="544" t="s">
        <v>1218</v>
      </c>
      <c r="KK22" s="544" t="s">
        <v>1226</v>
      </c>
      <c r="KL22" s="547">
        <v>1</v>
      </c>
      <c r="KM22" s="543">
        <v>79.099999999999994</v>
      </c>
      <c r="KN22" s="543">
        <v>8.3000000000000007</v>
      </c>
      <c r="KO22" s="543">
        <v>4.5999999999999996</v>
      </c>
      <c r="KP22" s="543">
        <v>16</v>
      </c>
      <c r="KQ22" s="543">
        <v>2</v>
      </c>
      <c r="KR22" s="543">
        <v>753</v>
      </c>
      <c r="KS22" s="543">
        <v>1</v>
      </c>
      <c r="KT22"/>
      <c r="KU22"/>
      <c r="KV22"/>
      <c r="KW22"/>
      <c r="KX22" s="544" t="s">
        <v>1215</v>
      </c>
      <c r="KY22" s="544" t="s">
        <v>1224</v>
      </c>
      <c r="KZ22" s="547">
        <v>1</v>
      </c>
      <c r="LA22" s="543">
        <v>41</v>
      </c>
      <c r="LB22" s="543">
        <v>8</v>
      </c>
      <c r="LC22" s="543">
        <v>2.2999999999999998</v>
      </c>
      <c r="LD22" s="543">
        <v>10</v>
      </c>
      <c r="LE22" s="543">
        <v>3</v>
      </c>
      <c r="LF22" s="543">
        <v>588</v>
      </c>
      <c r="LG22" s="543">
        <v>1</v>
      </c>
      <c r="LH22"/>
      <c r="LI22"/>
      <c r="LJ22"/>
    </row>
    <row r="23" spans="1:323" ht="33.75" thickBot="1">
      <c r="A23" s="2410"/>
      <c r="B23" s="2411"/>
      <c r="AN23" s="396">
        <v>17</v>
      </c>
      <c r="AO23" s="397">
        <v>225</v>
      </c>
      <c r="AP23" s="398" t="s">
        <v>702</v>
      </c>
      <c r="AQ23" s="399" t="s">
        <v>726</v>
      </c>
      <c r="AR23" s="397">
        <v>8</v>
      </c>
      <c r="AS23" s="396" t="s">
        <v>714</v>
      </c>
      <c r="AT23" s="399">
        <v>8</v>
      </c>
      <c r="AU23" s="401">
        <v>240.7</v>
      </c>
      <c r="AV23" s="399">
        <v>12</v>
      </c>
      <c r="AW23" s="399">
        <v>4</v>
      </c>
      <c r="AX23" s="402">
        <v>900</v>
      </c>
      <c r="AY23" s="403">
        <v>8</v>
      </c>
      <c r="AZ23" s="404" t="s">
        <v>723</v>
      </c>
      <c r="BA23" s="431">
        <v>215.6</v>
      </c>
      <c r="BI23" s="429" t="s">
        <v>422</v>
      </c>
      <c r="BJ23" s="391">
        <v>2997.2</v>
      </c>
      <c r="BK23" s="391" t="s">
        <v>760</v>
      </c>
      <c r="BL23" s="394">
        <v>5.9380526399999987</v>
      </c>
      <c r="BM23" s="414">
        <f t="shared" si="7"/>
        <v>11876.105279999998</v>
      </c>
      <c r="BN23" s="414">
        <f t="shared" si="8"/>
        <v>14845.131599999997</v>
      </c>
      <c r="BO23" s="1972" t="s">
        <v>763</v>
      </c>
      <c r="BP23" s="1972"/>
      <c r="BQ23" s="430" t="s">
        <v>422</v>
      </c>
      <c r="BR23" s="357"/>
      <c r="BS23" s="1929" t="s">
        <v>764</v>
      </c>
      <c r="BT23" s="1928"/>
      <c r="BU23" s="1928"/>
      <c r="BV23" s="1928">
        <v>5.5</v>
      </c>
      <c r="BW23" s="1928"/>
      <c r="BX23" s="411">
        <v>450</v>
      </c>
      <c r="BY23" s="335"/>
      <c r="BZ23" s="344"/>
      <c r="CB23" s="429" t="s">
        <v>422</v>
      </c>
      <c r="CC23" s="391">
        <v>118</v>
      </c>
      <c r="CD23" s="391" t="s">
        <v>867</v>
      </c>
      <c r="CE23" s="394">
        <f>CC23*(39*2)/144</f>
        <v>63.916666666666664</v>
      </c>
      <c r="CF23" s="414">
        <f t="shared" si="5"/>
        <v>31958.333333333332</v>
      </c>
      <c r="CG23" s="414">
        <f t="shared" si="6"/>
        <v>33875.833333333328</v>
      </c>
      <c r="CH23" s="1972" t="s">
        <v>763</v>
      </c>
      <c r="CI23" s="1972"/>
      <c r="CJ23" s="430" t="s">
        <v>422</v>
      </c>
      <c r="CK23" s="357"/>
      <c r="CL23" s="1929" t="s">
        <v>764</v>
      </c>
      <c r="CM23" s="1928"/>
      <c r="CN23" s="1928"/>
      <c r="CO23" s="1928">
        <v>5.5</v>
      </c>
      <c r="CP23" s="1928"/>
      <c r="CQ23" s="411">
        <v>450</v>
      </c>
      <c r="CW23" s="410">
        <v>17</v>
      </c>
      <c r="CX23" s="411" t="s">
        <v>923</v>
      </c>
      <c r="CY23" s="390" t="s">
        <v>924</v>
      </c>
      <c r="CZ23" s="412" t="s">
        <v>703</v>
      </c>
      <c r="DA23" s="390">
        <v>76</v>
      </c>
      <c r="DB23" s="391">
        <v>59</v>
      </c>
      <c r="DC23" s="391">
        <v>1</v>
      </c>
      <c r="DD23" s="392">
        <v>31.138888888888889</v>
      </c>
      <c r="DE23" s="391">
        <v>12</v>
      </c>
      <c r="DF23" s="391">
        <v>3</v>
      </c>
      <c r="DG23" s="414">
        <v>630</v>
      </c>
      <c r="DH23" s="411">
        <v>3</v>
      </c>
      <c r="DI23" s="433">
        <v>76</v>
      </c>
      <c r="DJ23" s="197">
        <v>34</v>
      </c>
      <c r="DK23" s="391">
        <v>1</v>
      </c>
      <c r="DL23" s="415">
        <v>17.944444444444443</v>
      </c>
      <c r="DM23" s="391">
        <v>12</v>
      </c>
      <c r="DN23" s="391">
        <v>4</v>
      </c>
      <c r="DO23" s="411">
        <v>8000</v>
      </c>
      <c r="EZ23" s="2131"/>
      <c r="FA23" s="2133"/>
      <c r="FB23" s="453" t="s">
        <v>1032</v>
      </c>
      <c r="FC23" s="454" t="s">
        <v>1033</v>
      </c>
      <c r="FD23" s="2135"/>
      <c r="FE23" s="2137"/>
      <c r="FF23" s="2139"/>
      <c r="FG23" s="2121"/>
      <c r="FH23" s="2123"/>
      <c r="FI23" s="2113"/>
      <c r="FJ23" s="2115"/>
      <c r="FK23" s="2117"/>
      <c r="FL23" s="2117"/>
      <c r="FM23" s="2119"/>
      <c r="FN23" s="2113"/>
      <c r="FO23" s="2115"/>
      <c r="FP23" s="2117"/>
      <c r="FQ23" s="2115"/>
      <c r="FR23" s="2119"/>
      <c r="FS23" s="2113"/>
      <c r="FT23" s="2115"/>
      <c r="FU23" s="2115"/>
      <c r="FV23" s="2115"/>
      <c r="FW23" s="2115"/>
      <c r="FX23" s="2143"/>
      <c r="FY23" s="2113"/>
      <c r="FZ23" s="2149"/>
      <c r="GA23" s="2115"/>
      <c r="GB23" s="2115"/>
      <c r="GC23" s="2115"/>
      <c r="GD23" s="2115"/>
      <c r="GE23" s="2115"/>
      <c r="GF23" s="2143"/>
      <c r="GG23" s="2113"/>
      <c r="GH23" s="2115"/>
      <c r="GI23" s="2145"/>
      <c r="GJ23" s="2147"/>
      <c r="GK23" s="2115"/>
      <c r="GL23" s="2143"/>
      <c r="GT23" s="2131"/>
      <c r="GU23" s="2133"/>
      <c r="GV23" s="453" t="s">
        <v>1032</v>
      </c>
      <c r="GW23" s="454" t="s">
        <v>1033</v>
      </c>
      <c r="GX23" s="2135"/>
      <c r="GY23" s="2137"/>
      <c r="GZ23" s="2139"/>
      <c r="HA23" s="2121"/>
      <c r="HB23" s="2123"/>
      <c r="HC23" s="2113"/>
      <c r="HD23" s="2115"/>
      <c r="HE23" s="2117"/>
      <c r="HF23" s="2117"/>
      <c r="HG23" s="2119"/>
      <c r="HH23" s="2113"/>
      <c r="HI23" s="2115"/>
      <c r="HJ23" s="2117"/>
      <c r="HK23" s="2115"/>
      <c r="HL23" s="2119"/>
      <c r="HM23" s="2113"/>
      <c r="HN23" s="2115"/>
      <c r="HO23" s="2115"/>
      <c r="HP23" s="2115"/>
      <c r="HQ23" s="2115"/>
      <c r="HR23" s="2143"/>
      <c r="HS23" s="2113"/>
      <c r="HT23" s="2149"/>
      <c r="HU23" s="2115"/>
      <c r="HV23" s="2115"/>
      <c r="HW23" s="2115"/>
      <c r="HX23" s="2115"/>
      <c r="HY23" s="2115"/>
      <c r="HZ23" s="2143"/>
      <c r="IA23" s="2113"/>
      <c r="IB23" s="2115"/>
      <c r="IC23" s="2145"/>
      <c r="ID23" s="2147"/>
      <c r="IE23" s="2115"/>
      <c r="IF23" s="2143"/>
      <c r="KJ23" s="544" t="s">
        <v>1221</v>
      </c>
      <c r="KK23" s="544" t="s">
        <v>1226</v>
      </c>
      <c r="KL23" s="547">
        <v>1</v>
      </c>
      <c r="KM23" s="543">
        <v>81.900000000000006</v>
      </c>
      <c r="KN23" s="543">
        <v>9.9</v>
      </c>
      <c r="KO23" s="543">
        <v>5.6</v>
      </c>
      <c r="KP23" s="543">
        <v>16</v>
      </c>
      <c r="KQ23" s="543">
        <v>3</v>
      </c>
      <c r="KR23" s="543">
        <v>1177</v>
      </c>
      <c r="KS23" s="543">
        <v>1</v>
      </c>
      <c r="KT23"/>
      <c r="KU23"/>
      <c r="KV23"/>
      <c r="KW23"/>
      <c r="KX23" s="544" t="s">
        <v>1218</v>
      </c>
      <c r="KY23" s="544" t="s">
        <v>1224</v>
      </c>
      <c r="KZ23" s="547">
        <v>1</v>
      </c>
      <c r="LA23" s="543">
        <v>41</v>
      </c>
      <c r="LB23" s="543">
        <v>8</v>
      </c>
      <c r="LC23" s="543">
        <v>2.2999999999999998</v>
      </c>
      <c r="LD23" s="543">
        <v>10</v>
      </c>
      <c r="LE23" s="543">
        <v>3</v>
      </c>
      <c r="LF23" s="543">
        <v>700</v>
      </c>
      <c r="LG23" s="543">
        <v>1</v>
      </c>
      <c r="LH23"/>
      <c r="LI23"/>
      <c r="LJ23"/>
    </row>
    <row r="24" spans="1:323" ht="33.75" thickBot="1">
      <c r="A24" s="1921" t="s">
        <v>1282</v>
      </c>
      <c r="B24" s="1922"/>
      <c r="AN24" s="396">
        <v>18</v>
      </c>
      <c r="AO24" s="397">
        <v>235</v>
      </c>
      <c r="AP24" s="398" t="s">
        <v>706</v>
      </c>
      <c r="AQ24" s="399">
        <v>8</v>
      </c>
      <c r="AR24" s="397">
        <v>8</v>
      </c>
      <c r="AS24" s="396" t="s">
        <v>714</v>
      </c>
      <c r="AT24" s="399">
        <v>8</v>
      </c>
      <c r="AU24" s="401">
        <v>240.7</v>
      </c>
      <c r="AV24" s="399">
        <v>12</v>
      </c>
      <c r="AW24" s="399">
        <v>4</v>
      </c>
      <c r="AX24" s="402">
        <v>900</v>
      </c>
      <c r="AY24" s="403">
        <f>2*AY15</f>
        <v>8</v>
      </c>
      <c r="AZ24" s="404" t="s">
        <v>727</v>
      </c>
      <c r="BA24" s="431">
        <v>230.5</v>
      </c>
      <c r="BI24" s="429" t="s">
        <v>423</v>
      </c>
      <c r="BJ24" s="391">
        <v>3505.2</v>
      </c>
      <c r="BK24" s="391" t="s">
        <v>760</v>
      </c>
      <c r="BL24" s="394">
        <v>6.9445022399999994</v>
      </c>
      <c r="BM24" s="414">
        <f t="shared" si="7"/>
        <v>13889.00448</v>
      </c>
      <c r="BN24" s="414">
        <f t="shared" si="8"/>
        <v>17361.2556</v>
      </c>
      <c r="BO24" s="1972" t="s">
        <v>765</v>
      </c>
      <c r="BP24" s="1972"/>
      <c r="BQ24" s="430" t="s">
        <v>423</v>
      </c>
      <c r="BR24" s="357"/>
      <c r="BS24" s="1929" t="s">
        <v>766</v>
      </c>
      <c r="BT24" s="1928"/>
      <c r="BU24" s="1928"/>
      <c r="BV24" s="1928">
        <v>7.5</v>
      </c>
      <c r="BW24" s="1928"/>
      <c r="BX24" s="411">
        <v>530</v>
      </c>
      <c r="BY24" s="335"/>
      <c r="BZ24" s="344"/>
      <c r="CB24" s="429" t="s">
        <v>423</v>
      </c>
      <c r="CC24" s="391">
        <v>138</v>
      </c>
      <c r="CD24" s="391" t="s">
        <v>867</v>
      </c>
      <c r="CE24" s="394">
        <f>CC24*(39*2)/144</f>
        <v>74.75</v>
      </c>
      <c r="CF24" s="414">
        <f t="shared" si="5"/>
        <v>37375</v>
      </c>
      <c r="CG24" s="414">
        <f t="shared" si="6"/>
        <v>39617.5</v>
      </c>
      <c r="CH24" s="1972" t="s">
        <v>765</v>
      </c>
      <c r="CI24" s="1972"/>
      <c r="CJ24" s="430" t="s">
        <v>423</v>
      </c>
      <c r="CK24" s="357"/>
      <c r="CL24" s="1929" t="s">
        <v>766</v>
      </c>
      <c r="CM24" s="1928"/>
      <c r="CN24" s="1928"/>
      <c r="CO24" s="1928">
        <v>7.5</v>
      </c>
      <c r="CP24" s="1928"/>
      <c r="CQ24" s="411">
        <v>530</v>
      </c>
      <c r="CW24" s="410">
        <v>18</v>
      </c>
      <c r="CX24" s="411" t="s">
        <v>925</v>
      </c>
      <c r="CY24" s="390" t="s">
        <v>911</v>
      </c>
      <c r="CZ24" s="412">
        <v>2</v>
      </c>
      <c r="DA24" s="390">
        <v>76</v>
      </c>
      <c r="DB24" s="391">
        <v>59</v>
      </c>
      <c r="DC24" s="391">
        <v>1</v>
      </c>
      <c r="DD24" s="392">
        <v>31.138888888888889</v>
      </c>
      <c r="DE24" s="391">
        <v>16</v>
      </c>
      <c r="DF24" s="391">
        <v>3</v>
      </c>
      <c r="DG24" s="414">
        <v>630</v>
      </c>
      <c r="DH24" s="411">
        <v>3</v>
      </c>
      <c r="DI24" s="433">
        <v>76</v>
      </c>
      <c r="DJ24" s="197">
        <v>34</v>
      </c>
      <c r="DK24" s="391">
        <v>1</v>
      </c>
      <c r="DL24" s="415">
        <v>17.944444444444443</v>
      </c>
      <c r="DM24" s="391">
        <v>12</v>
      </c>
      <c r="DN24" s="391">
        <v>4</v>
      </c>
      <c r="DO24" s="411">
        <v>9000</v>
      </c>
      <c r="EZ24" s="2131"/>
      <c r="FA24" s="2133">
        <v>5</v>
      </c>
      <c r="FB24" s="453" t="s">
        <v>511</v>
      </c>
      <c r="FC24" s="454"/>
      <c r="FD24" s="2135" t="s">
        <v>1009</v>
      </c>
      <c r="FE24" s="2137" t="s">
        <v>1028</v>
      </c>
      <c r="FF24" s="2139">
        <v>17.518703703703704</v>
      </c>
      <c r="FG24" s="2121">
        <v>20</v>
      </c>
      <c r="FH24" s="2123">
        <v>1</v>
      </c>
      <c r="FI24" s="2113" t="s">
        <v>1034</v>
      </c>
      <c r="FJ24" s="2115">
        <v>3</v>
      </c>
      <c r="FK24" s="2117">
        <v>7.1</v>
      </c>
      <c r="FL24" s="2117">
        <v>39</v>
      </c>
      <c r="FM24" s="2119">
        <v>1</v>
      </c>
      <c r="FN24" s="2113">
        <v>660</v>
      </c>
      <c r="FO24" s="2115">
        <v>1.1000000000000001</v>
      </c>
      <c r="FP24" s="2117">
        <v>2.5</v>
      </c>
      <c r="FQ24" s="2115">
        <v>1200</v>
      </c>
      <c r="FR24" s="2119">
        <v>1</v>
      </c>
      <c r="FS24" s="2113">
        <v>4</v>
      </c>
      <c r="FT24" s="2115">
        <v>12</v>
      </c>
      <c r="FU24" s="2115">
        <v>1</v>
      </c>
      <c r="FV24" s="2115">
        <v>36</v>
      </c>
      <c r="FW24" s="2115">
        <v>26</v>
      </c>
      <c r="FX24" s="2143">
        <f>FU24*FV24*FW24/144</f>
        <v>6.5</v>
      </c>
      <c r="FY24" s="2113">
        <v>1600</v>
      </c>
      <c r="FZ24" s="2115">
        <v>0.5</v>
      </c>
      <c r="GA24" s="2115">
        <v>4</v>
      </c>
      <c r="GB24" s="2115">
        <v>12</v>
      </c>
      <c r="GC24" s="2115">
        <v>1</v>
      </c>
      <c r="GD24" s="2115">
        <v>31</v>
      </c>
      <c r="GE24" s="2115">
        <v>17</v>
      </c>
      <c r="GF24" s="2143">
        <f>GC24*GD24*GE24/144</f>
        <v>3.6597222222222223</v>
      </c>
      <c r="GG24" s="2113">
        <v>1</v>
      </c>
      <c r="GH24" s="2115">
        <v>0.75</v>
      </c>
      <c r="GI24" s="2145">
        <v>2.44</v>
      </c>
      <c r="GJ24" s="2147">
        <v>3</v>
      </c>
      <c r="GK24" s="2115">
        <v>1</v>
      </c>
      <c r="GL24" s="2143">
        <f>((GJ24*1000)/GK24)/270</f>
        <v>11.111111111111111</v>
      </c>
      <c r="GT24" s="2131"/>
      <c r="GU24" s="2133">
        <v>5</v>
      </c>
      <c r="GV24" s="453" t="s">
        <v>511</v>
      </c>
      <c r="GW24" s="454"/>
      <c r="GX24" s="2135" t="s">
        <v>1009</v>
      </c>
      <c r="GY24" s="2137" t="s">
        <v>1100</v>
      </c>
      <c r="GZ24" s="2139">
        <v>18.652826086956523</v>
      </c>
      <c r="HA24" s="2121">
        <v>25</v>
      </c>
      <c r="HB24" s="2123">
        <v>1</v>
      </c>
      <c r="HC24" s="2113" t="s">
        <v>1034</v>
      </c>
      <c r="HD24" s="2115">
        <v>3</v>
      </c>
      <c r="HE24" s="2117">
        <v>7.1</v>
      </c>
      <c r="HF24" s="2117">
        <v>39</v>
      </c>
      <c r="HG24" s="2119">
        <v>1</v>
      </c>
      <c r="HH24" s="2113">
        <v>660</v>
      </c>
      <c r="HI24" s="2115">
        <v>1.1000000000000001</v>
      </c>
      <c r="HJ24" s="2117">
        <v>2.99</v>
      </c>
      <c r="HK24" s="2115">
        <v>1200</v>
      </c>
      <c r="HL24" s="2119">
        <v>1</v>
      </c>
      <c r="HM24" s="2113">
        <v>4</v>
      </c>
      <c r="HN24" s="2115">
        <v>12</v>
      </c>
      <c r="HO24" s="2115">
        <v>1</v>
      </c>
      <c r="HP24" s="2115">
        <v>36</v>
      </c>
      <c r="HQ24" s="2115">
        <v>26</v>
      </c>
      <c r="HR24" s="2143">
        <f>HO24*HP24*HQ24/144</f>
        <v>6.5</v>
      </c>
      <c r="HS24" s="2113">
        <v>1600</v>
      </c>
      <c r="HT24" s="2115">
        <v>0.5</v>
      </c>
      <c r="HU24" s="2115">
        <v>4</v>
      </c>
      <c r="HV24" s="2115">
        <v>12</v>
      </c>
      <c r="HW24" s="2115">
        <v>1</v>
      </c>
      <c r="HX24" s="2115">
        <v>31</v>
      </c>
      <c r="HY24" s="2115">
        <v>17</v>
      </c>
      <c r="HZ24" s="2143">
        <f>HW24*HX24*HY24/144</f>
        <v>3.6597222222222223</v>
      </c>
      <c r="IA24" s="2113">
        <v>1</v>
      </c>
      <c r="IB24" s="2115">
        <v>0.75</v>
      </c>
      <c r="IC24" s="2145">
        <v>2.44</v>
      </c>
      <c r="ID24" s="2147">
        <v>3</v>
      </c>
      <c r="IE24" s="2115">
        <v>1</v>
      </c>
      <c r="IF24" s="2143">
        <v>13.043478260869565</v>
      </c>
      <c r="KJ24" s="544" t="s">
        <v>1225</v>
      </c>
      <c r="KK24" s="544" t="s">
        <v>1226</v>
      </c>
      <c r="KL24" s="547">
        <v>1</v>
      </c>
      <c r="KM24" s="543">
        <v>81.900000000000006</v>
      </c>
      <c r="KN24" s="543">
        <v>9.9</v>
      </c>
      <c r="KO24" s="543">
        <v>5.6</v>
      </c>
      <c r="KP24" s="543">
        <v>16</v>
      </c>
      <c r="KQ24" s="543">
        <v>3</v>
      </c>
      <c r="KR24" s="543">
        <v>1177</v>
      </c>
      <c r="KS24" s="543">
        <v>1</v>
      </c>
      <c r="KT24"/>
      <c r="KU24"/>
      <c r="KV24"/>
      <c r="KW24"/>
      <c r="KX24" s="544" t="s">
        <v>1221</v>
      </c>
      <c r="KY24" s="544" t="s">
        <v>1224</v>
      </c>
      <c r="KZ24" s="547">
        <v>1</v>
      </c>
      <c r="LA24" s="543">
        <v>41</v>
      </c>
      <c r="LB24" s="543">
        <v>8</v>
      </c>
      <c r="LC24" s="543">
        <v>2.2999999999999998</v>
      </c>
      <c r="LD24" s="543">
        <v>10</v>
      </c>
      <c r="LE24" s="543">
        <v>4</v>
      </c>
      <c r="LF24" s="543">
        <v>940</v>
      </c>
      <c r="LG24" s="543">
        <v>1</v>
      </c>
      <c r="LH24"/>
      <c r="LI24"/>
      <c r="LJ24"/>
    </row>
    <row r="25" spans="1:323" ht="33.75" thickBot="1">
      <c r="A25" s="2392"/>
      <c r="B25" s="2393"/>
      <c r="AN25" s="396">
        <v>19</v>
      </c>
      <c r="AO25" s="397">
        <v>265</v>
      </c>
      <c r="AP25" s="398" t="s">
        <v>718</v>
      </c>
      <c r="AQ25" s="399" t="s">
        <v>724</v>
      </c>
      <c r="AR25" s="397">
        <f>AR16*2</f>
        <v>8</v>
      </c>
      <c r="AS25" s="396" t="s">
        <v>714</v>
      </c>
      <c r="AT25" s="399">
        <f>AT16*2</f>
        <v>12</v>
      </c>
      <c r="AU25" s="401">
        <f>AU16*2</f>
        <v>361</v>
      </c>
      <c r="AV25" s="399">
        <v>12</v>
      </c>
      <c r="AW25" s="399">
        <v>4</v>
      </c>
      <c r="AX25" s="402">
        <v>900</v>
      </c>
      <c r="AY25" s="403">
        <f>2*AY16</f>
        <v>12</v>
      </c>
      <c r="AZ25" s="404" t="s">
        <v>727</v>
      </c>
      <c r="BA25" s="405">
        <v>264.5</v>
      </c>
      <c r="BI25" s="455" t="s">
        <v>424</v>
      </c>
      <c r="BJ25" s="436">
        <v>4064</v>
      </c>
      <c r="BK25" s="436" t="s">
        <v>760</v>
      </c>
      <c r="BL25" s="439">
        <v>8.0515967999999987</v>
      </c>
      <c r="BM25" s="456">
        <f>BL25*2*1000</f>
        <v>16103.193599999997</v>
      </c>
      <c r="BN25" s="456">
        <f>BL25*2.5*1000</f>
        <v>20128.991999999998</v>
      </c>
      <c r="BO25" s="1975" t="s">
        <v>765</v>
      </c>
      <c r="BP25" s="1975"/>
      <c r="BQ25" s="457" t="s">
        <v>424</v>
      </c>
      <c r="BR25" s="357"/>
      <c r="BS25" s="1929" t="s">
        <v>766</v>
      </c>
      <c r="BT25" s="1928"/>
      <c r="BU25" s="1928"/>
      <c r="BV25" s="1928">
        <v>11</v>
      </c>
      <c r="BW25" s="1928"/>
      <c r="BX25" s="411">
        <v>640</v>
      </c>
      <c r="BY25" s="335"/>
      <c r="BZ25" s="344"/>
      <c r="CB25" s="455" t="s">
        <v>424</v>
      </c>
      <c r="CC25" s="436">
        <v>160</v>
      </c>
      <c r="CD25" s="436" t="s">
        <v>867</v>
      </c>
      <c r="CE25" s="439">
        <f>CC25*(39*2)/144</f>
        <v>86.666666666666671</v>
      </c>
      <c r="CF25" s="456">
        <f>CE25*500</f>
        <v>43333.333333333336</v>
      </c>
      <c r="CG25" s="456">
        <f>CE25*530</f>
        <v>45933.333333333336</v>
      </c>
      <c r="CH25" s="1975" t="s">
        <v>765</v>
      </c>
      <c r="CI25" s="1975"/>
      <c r="CJ25" s="457" t="s">
        <v>424</v>
      </c>
      <c r="CK25" s="357"/>
      <c r="CL25" s="1929" t="s">
        <v>766</v>
      </c>
      <c r="CM25" s="1928"/>
      <c r="CN25" s="1928"/>
      <c r="CO25" s="1928">
        <v>11</v>
      </c>
      <c r="CP25" s="1928"/>
      <c r="CQ25" s="411">
        <v>640</v>
      </c>
      <c r="CW25" s="410">
        <v>19</v>
      </c>
      <c r="CX25" s="411" t="s">
        <v>926</v>
      </c>
      <c r="CY25" s="390" t="s">
        <v>914</v>
      </c>
      <c r="CZ25" s="412">
        <v>2</v>
      </c>
      <c r="DA25" s="390">
        <v>79</v>
      </c>
      <c r="DB25" s="391">
        <v>65</v>
      </c>
      <c r="DC25" s="391">
        <v>1</v>
      </c>
      <c r="DD25" s="392">
        <v>35.659722222222221</v>
      </c>
      <c r="DE25" s="391">
        <v>12</v>
      </c>
      <c r="DF25" s="391">
        <v>4</v>
      </c>
      <c r="DG25" s="414">
        <v>630</v>
      </c>
      <c r="DH25" s="411">
        <v>3</v>
      </c>
      <c r="DI25" s="433">
        <v>76</v>
      </c>
      <c r="DJ25" s="391">
        <v>38</v>
      </c>
      <c r="DK25" s="391">
        <v>1</v>
      </c>
      <c r="DL25" s="415">
        <v>20.055555555555557</v>
      </c>
      <c r="DM25" s="391">
        <v>12</v>
      </c>
      <c r="DN25" s="391">
        <v>4</v>
      </c>
      <c r="DO25" s="411">
        <v>10000</v>
      </c>
      <c r="EZ25" s="2131"/>
      <c r="FA25" s="2133"/>
      <c r="FB25" s="453" t="s">
        <v>1035</v>
      </c>
      <c r="FC25" s="454"/>
      <c r="FD25" s="2135"/>
      <c r="FE25" s="2137"/>
      <c r="FF25" s="2139"/>
      <c r="FG25" s="2121"/>
      <c r="FH25" s="2123"/>
      <c r="FI25" s="2113"/>
      <c r="FJ25" s="2115"/>
      <c r="FK25" s="2117"/>
      <c r="FL25" s="2117"/>
      <c r="FM25" s="2119"/>
      <c r="FN25" s="2113"/>
      <c r="FO25" s="2115"/>
      <c r="FP25" s="2117"/>
      <c r="FQ25" s="2115"/>
      <c r="FR25" s="2119"/>
      <c r="FS25" s="2113"/>
      <c r="FT25" s="2115"/>
      <c r="FU25" s="2115"/>
      <c r="FV25" s="2115"/>
      <c r="FW25" s="2115"/>
      <c r="FX25" s="2143"/>
      <c r="FY25" s="2113"/>
      <c r="FZ25" s="2115"/>
      <c r="GA25" s="2115"/>
      <c r="GB25" s="2115"/>
      <c r="GC25" s="2115"/>
      <c r="GD25" s="2115"/>
      <c r="GE25" s="2115"/>
      <c r="GF25" s="2143"/>
      <c r="GG25" s="2113"/>
      <c r="GH25" s="2115"/>
      <c r="GI25" s="2145"/>
      <c r="GJ25" s="2147"/>
      <c r="GK25" s="2115"/>
      <c r="GL25" s="2143"/>
      <c r="GT25" s="2131"/>
      <c r="GU25" s="2133"/>
      <c r="GV25" s="453" t="s">
        <v>1035</v>
      </c>
      <c r="GW25" s="454"/>
      <c r="GX25" s="2135"/>
      <c r="GY25" s="2137"/>
      <c r="GZ25" s="2139"/>
      <c r="HA25" s="2121"/>
      <c r="HB25" s="2123"/>
      <c r="HC25" s="2113"/>
      <c r="HD25" s="2115"/>
      <c r="HE25" s="2117"/>
      <c r="HF25" s="2117"/>
      <c r="HG25" s="2119"/>
      <c r="HH25" s="2113"/>
      <c r="HI25" s="2115"/>
      <c r="HJ25" s="2117"/>
      <c r="HK25" s="2115"/>
      <c r="HL25" s="2119"/>
      <c r="HM25" s="2113"/>
      <c r="HN25" s="2115"/>
      <c r="HO25" s="2115"/>
      <c r="HP25" s="2115"/>
      <c r="HQ25" s="2115"/>
      <c r="HR25" s="2143"/>
      <c r="HS25" s="2113"/>
      <c r="HT25" s="2115"/>
      <c r="HU25" s="2115"/>
      <c r="HV25" s="2115"/>
      <c r="HW25" s="2115"/>
      <c r="HX25" s="2115"/>
      <c r="HY25" s="2115"/>
      <c r="HZ25" s="2143"/>
      <c r="IA25" s="2113"/>
      <c r="IB25" s="2115"/>
      <c r="IC25" s="2145"/>
      <c r="ID25" s="2147"/>
      <c r="IE25" s="2115"/>
      <c r="IF25" s="2143"/>
      <c r="KJ25" s="543" t="s">
        <v>1227</v>
      </c>
      <c r="KK25" s="543" t="s">
        <v>1226</v>
      </c>
      <c r="KL25" s="547">
        <v>1</v>
      </c>
      <c r="KM25" s="543">
        <v>83.8</v>
      </c>
      <c r="KN25" s="543">
        <v>10</v>
      </c>
      <c r="KO25" s="543">
        <v>5.6</v>
      </c>
      <c r="KP25" s="543">
        <v>16</v>
      </c>
      <c r="KQ25" s="543">
        <v>3</v>
      </c>
      <c r="KR25" s="543"/>
      <c r="KS25" s="543">
        <v>1</v>
      </c>
      <c r="KT25"/>
      <c r="KU25"/>
      <c r="KV25"/>
      <c r="KW25"/>
      <c r="KX25" s="544" t="s">
        <v>1225</v>
      </c>
      <c r="KY25" s="544" t="s">
        <v>1224</v>
      </c>
      <c r="KZ25" s="547">
        <v>1</v>
      </c>
      <c r="LA25" s="543">
        <v>54.25</v>
      </c>
      <c r="LB25" s="543">
        <v>8</v>
      </c>
      <c r="LC25" s="543">
        <v>3</v>
      </c>
      <c r="LD25" s="543">
        <v>10</v>
      </c>
      <c r="LE25" s="543">
        <v>4</v>
      </c>
      <c r="LF25" s="543">
        <v>1060</v>
      </c>
      <c r="LG25" s="543">
        <v>1</v>
      </c>
      <c r="LH25"/>
      <c r="LI25"/>
      <c r="LJ25"/>
    </row>
    <row r="26" spans="1:323" ht="33.75" thickBot="1">
      <c r="A26" s="2394"/>
      <c r="B26" s="2395"/>
      <c r="AN26" s="396">
        <v>20</v>
      </c>
      <c r="AO26" s="397">
        <v>285</v>
      </c>
      <c r="AP26" s="398" t="s">
        <v>718</v>
      </c>
      <c r="AQ26" s="399" t="s">
        <v>726</v>
      </c>
      <c r="AR26" s="397">
        <v>8</v>
      </c>
      <c r="AS26" s="396" t="s">
        <v>714</v>
      </c>
      <c r="AT26" s="399">
        <v>12</v>
      </c>
      <c r="AU26" s="401">
        <v>361</v>
      </c>
      <c r="AV26" s="399">
        <v>12</v>
      </c>
      <c r="AW26" s="399">
        <v>4</v>
      </c>
      <c r="AX26" s="402">
        <v>900</v>
      </c>
      <c r="AY26" s="403">
        <f>2*AY17</f>
        <v>12</v>
      </c>
      <c r="AZ26" s="404" t="s">
        <v>727</v>
      </c>
      <c r="BA26" s="405">
        <v>285.10000000000002</v>
      </c>
      <c r="BI26" s="357"/>
      <c r="BJ26" s="357"/>
      <c r="BK26" s="357"/>
      <c r="BL26" s="357"/>
      <c r="BM26" s="357"/>
      <c r="BN26" s="357"/>
      <c r="BO26" s="357"/>
      <c r="BP26" s="357"/>
      <c r="BQ26" s="357"/>
      <c r="BR26" s="357"/>
      <c r="BS26" s="1929" t="s">
        <v>767</v>
      </c>
      <c r="BT26" s="1928"/>
      <c r="BU26" s="1928"/>
      <c r="BV26" s="1928">
        <v>15</v>
      </c>
      <c r="BW26" s="1928"/>
      <c r="BX26" s="411">
        <v>700</v>
      </c>
      <c r="BY26" s="335"/>
      <c r="BZ26" s="344"/>
      <c r="CB26" s="357"/>
      <c r="CC26" s="357"/>
      <c r="CD26" s="357"/>
      <c r="CE26" s="357"/>
      <c r="CF26" s="357"/>
      <c r="CG26" s="357"/>
      <c r="CH26" s="357"/>
      <c r="CI26" s="357"/>
      <c r="CJ26" s="357"/>
      <c r="CK26" s="357"/>
      <c r="CL26" s="1929" t="s">
        <v>767</v>
      </c>
      <c r="CM26" s="1928"/>
      <c r="CN26" s="1928"/>
      <c r="CO26" s="1928">
        <v>15</v>
      </c>
      <c r="CP26" s="1928"/>
      <c r="CQ26" s="411">
        <v>700</v>
      </c>
      <c r="CW26" s="410">
        <v>20</v>
      </c>
      <c r="CX26" s="411" t="s">
        <v>927</v>
      </c>
      <c r="CY26" s="390" t="s">
        <v>918</v>
      </c>
      <c r="CZ26" s="412">
        <v>2</v>
      </c>
      <c r="DA26" s="390">
        <v>79</v>
      </c>
      <c r="DB26" s="391">
        <v>77</v>
      </c>
      <c r="DC26" s="391">
        <v>1</v>
      </c>
      <c r="DD26" s="392">
        <v>42.243055555555557</v>
      </c>
      <c r="DE26" s="391">
        <v>12</v>
      </c>
      <c r="DF26" s="391">
        <v>4</v>
      </c>
      <c r="DG26" s="458">
        <v>900</v>
      </c>
      <c r="DH26" s="459">
        <v>2</v>
      </c>
      <c r="DI26" s="433">
        <v>76</v>
      </c>
      <c r="DJ26" s="413">
        <v>48</v>
      </c>
      <c r="DK26" s="391">
        <v>1</v>
      </c>
      <c r="DL26" s="460">
        <v>25.33</v>
      </c>
      <c r="DM26" s="391">
        <v>12</v>
      </c>
      <c r="DN26" s="391">
        <v>4</v>
      </c>
      <c r="DO26" s="459">
        <v>12500</v>
      </c>
      <c r="EZ26" s="2131"/>
      <c r="FA26" s="2133"/>
      <c r="FB26" s="453" t="s">
        <v>1036</v>
      </c>
      <c r="FC26" s="454"/>
      <c r="FD26" s="2135"/>
      <c r="FE26" s="2137"/>
      <c r="FF26" s="2139"/>
      <c r="FG26" s="2121"/>
      <c r="FH26" s="2123"/>
      <c r="FI26" s="2113"/>
      <c r="FJ26" s="2115"/>
      <c r="FK26" s="2117"/>
      <c r="FL26" s="2117"/>
      <c r="FM26" s="2119"/>
      <c r="FN26" s="2113"/>
      <c r="FO26" s="2115"/>
      <c r="FP26" s="2117"/>
      <c r="FQ26" s="2115"/>
      <c r="FR26" s="2119"/>
      <c r="FS26" s="2113"/>
      <c r="FT26" s="2115"/>
      <c r="FU26" s="2115"/>
      <c r="FV26" s="2115"/>
      <c r="FW26" s="2115"/>
      <c r="FX26" s="2143"/>
      <c r="FY26" s="2113"/>
      <c r="FZ26" s="2115"/>
      <c r="GA26" s="2115"/>
      <c r="GB26" s="2115"/>
      <c r="GC26" s="2115"/>
      <c r="GD26" s="2115"/>
      <c r="GE26" s="2115"/>
      <c r="GF26" s="2143"/>
      <c r="GG26" s="2113"/>
      <c r="GH26" s="2115"/>
      <c r="GI26" s="2145"/>
      <c r="GJ26" s="2147"/>
      <c r="GK26" s="2115"/>
      <c r="GL26" s="2143"/>
      <c r="GT26" s="2131"/>
      <c r="GU26" s="2133"/>
      <c r="GV26" s="453" t="s">
        <v>1036</v>
      </c>
      <c r="GW26" s="454"/>
      <c r="GX26" s="2135"/>
      <c r="GY26" s="2137"/>
      <c r="GZ26" s="2139"/>
      <c r="HA26" s="2121"/>
      <c r="HB26" s="2123"/>
      <c r="HC26" s="2113"/>
      <c r="HD26" s="2115"/>
      <c r="HE26" s="2117"/>
      <c r="HF26" s="2117"/>
      <c r="HG26" s="2119"/>
      <c r="HH26" s="2113"/>
      <c r="HI26" s="2115"/>
      <c r="HJ26" s="2117"/>
      <c r="HK26" s="2115"/>
      <c r="HL26" s="2119"/>
      <c r="HM26" s="2113"/>
      <c r="HN26" s="2115"/>
      <c r="HO26" s="2115"/>
      <c r="HP26" s="2115"/>
      <c r="HQ26" s="2115"/>
      <c r="HR26" s="2143"/>
      <c r="HS26" s="2113"/>
      <c r="HT26" s="2115"/>
      <c r="HU26" s="2115"/>
      <c r="HV26" s="2115"/>
      <c r="HW26" s="2115"/>
      <c r="HX26" s="2115"/>
      <c r="HY26" s="2115"/>
      <c r="HZ26" s="2143"/>
      <c r="IA26" s="2113"/>
      <c r="IB26" s="2115"/>
      <c r="IC26" s="2145"/>
      <c r="ID26" s="2147"/>
      <c r="IE26" s="2115"/>
      <c r="IF26" s="2143"/>
      <c r="KJ26"/>
      <c r="KK26"/>
      <c r="KL26"/>
      <c r="KM26"/>
      <c r="KN26"/>
      <c r="KO26"/>
      <c r="KP26"/>
      <c r="KQ26"/>
      <c r="KR26"/>
      <c r="KS26"/>
      <c r="KT26"/>
      <c r="KU26"/>
      <c r="KV26"/>
      <c r="KW26"/>
      <c r="LH26"/>
      <c r="LI26"/>
      <c r="LJ26"/>
    </row>
    <row r="27" spans="1:323" ht="33.75" thickBot="1">
      <c r="A27" s="2394"/>
      <c r="B27" s="2395"/>
      <c r="AN27" s="440">
        <v>21</v>
      </c>
      <c r="AO27" s="441">
        <v>315</v>
      </c>
      <c r="AP27" s="442" t="s">
        <v>720</v>
      </c>
      <c r="AQ27" s="443">
        <v>8</v>
      </c>
      <c r="AR27" s="441">
        <v>8</v>
      </c>
      <c r="AS27" s="440" t="s">
        <v>714</v>
      </c>
      <c r="AT27" s="443">
        <v>12</v>
      </c>
      <c r="AU27" s="444">
        <v>361</v>
      </c>
      <c r="AV27" s="443">
        <v>12</v>
      </c>
      <c r="AW27" s="443">
        <v>4</v>
      </c>
      <c r="AX27" s="445">
        <v>900</v>
      </c>
      <c r="AY27" s="446">
        <f>2*AY18</f>
        <v>12</v>
      </c>
      <c r="AZ27" s="447" t="s">
        <v>728</v>
      </c>
      <c r="BA27" s="448">
        <v>300</v>
      </c>
      <c r="BI27" s="378" t="s">
        <v>0</v>
      </c>
      <c r="BJ27" s="461" t="s">
        <v>737</v>
      </c>
      <c r="BK27" s="461" t="s">
        <v>737</v>
      </c>
      <c r="BL27" s="461" t="s">
        <v>738</v>
      </c>
      <c r="BM27" s="461" t="s">
        <v>732</v>
      </c>
      <c r="BN27" s="461" t="s">
        <v>733</v>
      </c>
      <c r="BO27" s="1976" t="s">
        <v>734</v>
      </c>
      <c r="BP27" s="1977"/>
      <c r="BQ27" s="379" t="s">
        <v>0</v>
      </c>
      <c r="BR27" s="357"/>
      <c r="BS27" s="1929" t="s">
        <v>768</v>
      </c>
      <c r="BT27" s="1928"/>
      <c r="BU27" s="1928"/>
      <c r="BV27" s="1928">
        <v>15</v>
      </c>
      <c r="BW27" s="1928"/>
      <c r="BX27" s="411">
        <v>800</v>
      </c>
      <c r="BY27" s="335"/>
      <c r="BZ27" s="344"/>
      <c r="CB27" s="378" t="s">
        <v>0</v>
      </c>
      <c r="CC27" s="461" t="s">
        <v>864</v>
      </c>
      <c r="CD27" s="461" t="s">
        <v>864</v>
      </c>
      <c r="CE27" s="461" t="s">
        <v>865</v>
      </c>
      <c r="CF27" s="461">
        <v>500</v>
      </c>
      <c r="CG27" s="461">
        <v>530</v>
      </c>
      <c r="CH27" s="1976" t="s">
        <v>734</v>
      </c>
      <c r="CI27" s="1977"/>
      <c r="CJ27" s="379" t="s">
        <v>0</v>
      </c>
      <c r="CK27" s="357"/>
      <c r="CL27" s="1929" t="s">
        <v>768</v>
      </c>
      <c r="CM27" s="1928"/>
      <c r="CN27" s="1928"/>
      <c r="CO27" s="1928">
        <v>15</v>
      </c>
      <c r="CP27" s="1928"/>
      <c r="CQ27" s="411">
        <v>800</v>
      </c>
      <c r="CW27" s="410">
        <v>21</v>
      </c>
      <c r="CX27" s="462" t="s">
        <v>1117</v>
      </c>
      <c r="CY27" s="390" t="s">
        <v>1116</v>
      </c>
      <c r="CZ27" s="412">
        <v>2</v>
      </c>
      <c r="DA27" s="390">
        <v>84</v>
      </c>
      <c r="DB27" s="463" t="s">
        <v>1118</v>
      </c>
      <c r="DC27" s="391">
        <v>2</v>
      </c>
      <c r="DD27" s="392">
        <v>61.832999999999998</v>
      </c>
      <c r="DE27" s="391">
        <v>12</v>
      </c>
      <c r="DF27" s="391">
        <v>3</v>
      </c>
      <c r="DG27" s="414">
        <v>900</v>
      </c>
      <c r="DH27" s="411">
        <v>2</v>
      </c>
      <c r="DI27" s="433">
        <v>76</v>
      </c>
      <c r="DJ27" s="391">
        <v>52</v>
      </c>
      <c r="DK27" s="391">
        <v>1</v>
      </c>
      <c r="DL27" s="415">
        <v>27.44</v>
      </c>
      <c r="DM27" s="391">
        <v>12</v>
      </c>
      <c r="DN27" s="391">
        <v>4</v>
      </c>
      <c r="DO27" s="459">
        <v>13000</v>
      </c>
      <c r="EZ27" s="2131"/>
      <c r="FA27" s="2133">
        <v>6</v>
      </c>
      <c r="FB27" s="453" t="s">
        <v>512</v>
      </c>
      <c r="FC27" s="454"/>
      <c r="FD27" s="2135" t="s">
        <v>1009</v>
      </c>
      <c r="FE27" s="2137" t="s">
        <v>1028</v>
      </c>
      <c r="FF27" s="2139">
        <v>18.563271604938272</v>
      </c>
      <c r="FG27" s="2121">
        <v>25</v>
      </c>
      <c r="FH27" s="2123">
        <v>1</v>
      </c>
      <c r="FI27" s="2113" t="s">
        <v>1037</v>
      </c>
      <c r="FJ27" s="2115">
        <v>3.5</v>
      </c>
      <c r="FK27" s="2117">
        <v>6.9</v>
      </c>
      <c r="FL27" s="2117">
        <v>41</v>
      </c>
      <c r="FM27" s="2154">
        <v>1</v>
      </c>
      <c r="FN27" s="2113">
        <v>660</v>
      </c>
      <c r="FO27" s="2115">
        <v>1.1000000000000001</v>
      </c>
      <c r="FP27" s="2117">
        <v>2.5</v>
      </c>
      <c r="FQ27" s="2117">
        <v>1200</v>
      </c>
      <c r="FR27" s="2154">
        <v>1</v>
      </c>
      <c r="FS27" s="2113">
        <v>4</v>
      </c>
      <c r="FT27" s="2115">
        <v>12</v>
      </c>
      <c r="FU27" s="2115">
        <v>1</v>
      </c>
      <c r="FV27" s="2115">
        <v>36</v>
      </c>
      <c r="FW27" s="2115">
        <v>26</v>
      </c>
      <c r="FX27" s="2143">
        <f>FU27*FV27*FW27/144</f>
        <v>6.5</v>
      </c>
      <c r="FY27" s="2113">
        <v>1850</v>
      </c>
      <c r="FZ27" s="2115">
        <v>0.5</v>
      </c>
      <c r="GA27" s="2115">
        <v>4</v>
      </c>
      <c r="GB27" s="2115">
        <v>12</v>
      </c>
      <c r="GC27" s="2115">
        <v>1</v>
      </c>
      <c r="GD27" s="2115">
        <v>31</v>
      </c>
      <c r="GE27" s="2115">
        <v>17</v>
      </c>
      <c r="GF27" s="2143">
        <f>GC27*GD27*GE27/144</f>
        <v>3.6597222222222223</v>
      </c>
      <c r="GG27" s="2113">
        <v>1</v>
      </c>
      <c r="GH27" s="2115">
        <v>1.1000000000000001</v>
      </c>
      <c r="GI27" s="2145">
        <v>2.5</v>
      </c>
      <c r="GJ27" s="2147">
        <v>4</v>
      </c>
      <c r="GK27" s="2153">
        <v>1</v>
      </c>
      <c r="GL27" s="2143">
        <f>((GJ27*1000)/GK27)/270</f>
        <v>14.814814814814815</v>
      </c>
      <c r="GT27" s="2131"/>
      <c r="GU27" s="2133">
        <v>6</v>
      </c>
      <c r="GV27" s="453" t="s">
        <v>512</v>
      </c>
      <c r="GW27" s="454"/>
      <c r="GX27" s="2135" t="s">
        <v>1009</v>
      </c>
      <c r="GY27" s="2137" t="s">
        <v>1100</v>
      </c>
      <c r="GZ27" s="2139">
        <v>20.277101449275364</v>
      </c>
      <c r="HA27" s="2121">
        <v>25</v>
      </c>
      <c r="HB27" s="2123">
        <v>1</v>
      </c>
      <c r="HC27" s="2113" t="s">
        <v>1037</v>
      </c>
      <c r="HD27" s="2115">
        <v>3.5</v>
      </c>
      <c r="HE27" s="2117">
        <v>6.9</v>
      </c>
      <c r="HF27" s="2117">
        <v>41</v>
      </c>
      <c r="HG27" s="2154">
        <v>1</v>
      </c>
      <c r="HH27" s="2113">
        <v>660</v>
      </c>
      <c r="HI27" s="2115">
        <v>1.1000000000000001</v>
      </c>
      <c r="HJ27" s="2117">
        <v>2.99</v>
      </c>
      <c r="HK27" s="2117">
        <v>1200</v>
      </c>
      <c r="HL27" s="2154">
        <v>1</v>
      </c>
      <c r="HM27" s="2113">
        <v>4</v>
      </c>
      <c r="HN27" s="2115">
        <v>12</v>
      </c>
      <c r="HO27" s="2115">
        <v>1</v>
      </c>
      <c r="HP27" s="2115">
        <v>36</v>
      </c>
      <c r="HQ27" s="2115">
        <v>26</v>
      </c>
      <c r="HR27" s="2143">
        <f>HO27*HP27*HQ27/144</f>
        <v>6.5</v>
      </c>
      <c r="HS27" s="2113">
        <v>1850</v>
      </c>
      <c r="HT27" s="2115">
        <v>0.5</v>
      </c>
      <c r="HU27" s="2115">
        <v>4</v>
      </c>
      <c r="HV27" s="2115">
        <v>12</v>
      </c>
      <c r="HW27" s="2115">
        <v>1</v>
      </c>
      <c r="HX27" s="2115">
        <v>31</v>
      </c>
      <c r="HY27" s="2115">
        <v>17</v>
      </c>
      <c r="HZ27" s="2143">
        <f>HW27*HX27*HY27/144</f>
        <v>3.6597222222222223</v>
      </c>
      <c r="IA27" s="2113">
        <v>1</v>
      </c>
      <c r="IB27" s="2115">
        <v>1.1000000000000001</v>
      </c>
      <c r="IC27" s="2145">
        <v>2.99</v>
      </c>
      <c r="ID27" s="2147">
        <v>4</v>
      </c>
      <c r="IE27" s="2153">
        <v>1</v>
      </c>
      <c r="IF27" s="2143">
        <v>17.391304347826086</v>
      </c>
      <c r="KJ27" s="1900" t="s">
        <v>1228</v>
      </c>
      <c r="KK27" s="1901"/>
      <c r="KL27" s="1901"/>
      <c r="KM27" s="1901"/>
      <c r="KN27" s="1901"/>
      <c r="KO27" s="1901"/>
      <c r="KP27" s="1901"/>
      <c r="KQ27" s="1901"/>
      <c r="KR27" s="1901"/>
      <c r="KS27" s="1901"/>
      <c r="KT27" s="1901"/>
      <c r="KU27" s="1901"/>
      <c r="KV27" s="1902"/>
      <c r="KW27"/>
      <c r="KY27" s="1900" t="s">
        <v>1271</v>
      </c>
      <c r="KZ27" s="1901"/>
      <c r="LA27" s="1901"/>
      <c r="LB27" s="1901"/>
      <c r="LC27" s="1901"/>
      <c r="LD27" s="1901"/>
      <c r="LE27" s="1901"/>
      <c r="LF27" s="1901"/>
      <c r="LG27" s="1901"/>
      <c r="LH27" s="1901"/>
      <c r="LI27" s="1901"/>
      <c r="LJ27" s="1901"/>
      <c r="LK27" s="1902"/>
    </row>
    <row r="28" spans="1:323">
      <c r="A28" s="2394"/>
      <c r="B28" s="2395"/>
      <c r="BI28" s="418" t="s">
        <v>58</v>
      </c>
      <c r="BJ28" s="384" t="s">
        <v>769</v>
      </c>
      <c r="BK28" s="384" t="s">
        <v>770</v>
      </c>
      <c r="BL28" s="384" t="s">
        <v>731</v>
      </c>
      <c r="BM28" s="384" t="s">
        <v>739</v>
      </c>
      <c r="BN28" s="384" t="s">
        <v>739</v>
      </c>
      <c r="BO28" s="1973" t="s">
        <v>0</v>
      </c>
      <c r="BP28" s="1974"/>
      <c r="BQ28" s="420" t="s">
        <v>736</v>
      </c>
      <c r="BR28" s="357"/>
      <c r="BS28" s="1929" t="s">
        <v>768</v>
      </c>
      <c r="BT28" s="1928"/>
      <c r="BU28" s="1928"/>
      <c r="BV28" s="1928">
        <v>15</v>
      </c>
      <c r="BW28" s="1928"/>
      <c r="BX28" s="411">
        <v>900</v>
      </c>
      <c r="BY28" s="335"/>
      <c r="BZ28" s="344"/>
      <c r="CB28" s="418" t="s">
        <v>58</v>
      </c>
      <c r="CC28" s="384" t="s">
        <v>769</v>
      </c>
      <c r="CD28" s="384" t="s">
        <v>770</v>
      </c>
      <c r="CE28" s="384" t="s">
        <v>731</v>
      </c>
      <c r="CF28" s="384" t="s">
        <v>426</v>
      </c>
      <c r="CG28" s="384" t="s">
        <v>426</v>
      </c>
      <c r="CH28" s="1973" t="s">
        <v>0</v>
      </c>
      <c r="CI28" s="1974"/>
      <c r="CJ28" s="420" t="s">
        <v>736</v>
      </c>
      <c r="CK28" s="357"/>
      <c r="CL28" s="1929" t="s">
        <v>768</v>
      </c>
      <c r="CM28" s="1928"/>
      <c r="CN28" s="1928"/>
      <c r="CO28" s="1928">
        <v>15</v>
      </c>
      <c r="CP28" s="1928"/>
      <c r="CQ28" s="411">
        <v>900</v>
      </c>
      <c r="CW28" s="410">
        <v>22</v>
      </c>
      <c r="CX28" s="462" t="s">
        <v>928</v>
      </c>
      <c r="CY28" s="390" t="s">
        <v>710</v>
      </c>
      <c r="CZ28" s="412">
        <v>2</v>
      </c>
      <c r="DA28" s="390">
        <v>76</v>
      </c>
      <c r="DB28" s="463">
        <v>65</v>
      </c>
      <c r="DC28" s="391">
        <v>2</v>
      </c>
      <c r="DD28" s="392">
        <v>68.611111111111114</v>
      </c>
      <c r="DE28" s="391">
        <v>12</v>
      </c>
      <c r="DF28" s="391">
        <v>3</v>
      </c>
      <c r="DG28" s="414">
        <v>900</v>
      </c>
      <c r="DH28" s="411">
        <v>2</v>
      </c>
      <c r="DI28" s="433">
        <v>76</v>
      </c>
      <c r="DJ28" s="391">
        <v>60</v>
      </c>
      <c r="DK28" s="391">
        <v>1</v>
      </c>
      <c r="DL28" s="415">
        <v>31.666666666666668</v>
      </c>
      <c r="DM28" s="391">
        <v>12</v>
      </c>
      <c r="DN28" s="391">
        <v>4</v>
      </c>
      <c r="DO28" s="459">
        <v>13500</v>
      </c>
      <c r="EZ28" s="2131"/>
      <c r="FA28" s="2133"/>
      <c r="FB28" s="453" t="s">
        <v>1038</v>
      </c>
      <c r="FC28" s="454"/>
      <c r="FD28" s="2135"/>
      <c r="FE28" s="2137"/>
      <c r="FF28" s="2139"/>
      <c r="FG28" s="2121"/>
      <c r="FH28" s="2123"/>
      <c r="FI28" s="2113"/>
      <c r="FJ28" s="2115"/>
      <c r="FK28" s="2117"/>
      <c r="FL28" s="2117"/>
      <c r="FM28" s="2154"/>
      <c r="FN28" s="2113"/>
      <c r="FO28" s="2115"/>
      <c r="FP28" s="2117"/>
      <c r="FQ28" s="2117"/>
      <c r="FR28" s="2154"/>
      <c r="FS28" s="2113"/>
      <c r="FT28" s="2115"/>
      <c r="FU28" s="2115"/>
      <c r="FV28" s="2115"/>
      <c r="FW28" s="2115"/>
      <c r="FX28" s="2143"/>
      <c r="FY28" s="2113"/>
      <c r="FZ28" s="2115"/>
      <c r="GA28" s="2115"/>
      <c r="GB28" s="2115"/>
      <c r="GC28" s="2115"/>
      <c r="GD28" s="2115"/>
      <c r="GE28" s="2115"/>
      <c r="GF28" s="2143"/>
      <c r="GG28" s="2113"/>
      <c r="GH28" s="2115"/>
      <c r="GI28" s="2145"/>
      <c r="GJ28" s="2147"/>
      <c r="GK28" s="2153"/>
      <c r="GL28" s="2143"/>
      <c r="GT28" s="2131"/>
      <c r="GU28" s="2133"/>
      <c r="GV28" s="453" t="s">
        <v>1038</v>
      </c>
      <c r="GW28" s="454"/>
      <c r="GX28" s="2135"/>
      <c r="GY28" s="2137"/>
      <c r="GZ28" s="2139"/>
      <c r="HA28" s="2121"/>
      <c r="HB28" s="2123"/>
      <c r="HC28" s="2113"/>
      <c r="HD28" s="2115"/>
      <c r="HE28" s="2117"/>
      <c r="HF28" s="2117"/>
      <c r="HG28" s="2154"/>
      <c r="HH28" s="2113"/>
      <c r="HI28" s="2115"/>
      <c r="HJ28" s="2117"/>
      <c r="HK28" s="2117"/>
      <c r="HL28" s="2154"/>
      <c r="HM28" s="2113"/>
      <c r="HN28" s="2115"/>
      <c r="HO28" s="2115"/>
      <c r="HP28" s="2115"/>
      <c r="HQ28" s="2115"/>
      <c r="HR28" s="2143"/>
      <c r="HS28" s="2113"/>
      <c r="HT28" s="2115"/>
      <c r="HU28" s="2115"/>
      <c r="HV28" s="2115"/>
      <c r="HW28" s="2115"/>
      <c r="HX28" s="2115"/>
      <c r="HY28" s="2115"/>
      <c r="HZ28" s="2143"/>
      <c r="IA28" s="2113"/>
      <c r="IB28" s="2115"/>
      <c r="IC28" s="2145"/>
      <c r="ID28" s="2147"/>
      <c r="IE28" s="2153"/>
      <c r="IF28" s="2143"/>
      <c r="KJ28" s="548"/>
      <c r="KK28" s="1903" t="s">
        <v>1112</v>
      </c>
      <c r="KL28" s="1903"/>
      <c r="KM28" s="1904" t="s">
        <v>1229</v>
      </c>
      <c r="KN28" s="1904"/>
      <c r="KO28" s="1904"/>
      <c r="KP28" s="1904"/>
      <c r="KQ28" s="1903" t="s">
        <v>1230</v>
      </c>
      <c r="KR28" s="1903"/>
      <c r="KS28" s="1903"/>
      <c r="KT28" s="1903"/>
      <c r="KU28" s="1903"/>
      <c r="KV28" s="1903"/>
      <c r="KW28"/>
      <c r="KY28" s="557"/>
      <c r="KZ28" s="1903" t="s">
        <v>1112</v>
      </c>
      <c r="LA28" s="1903"/>
      <c r="LB28" s="1904" t="s">
        <v>1229</v>
      </c>
      <c r="LC28" s="1904"/>
      <c r="LD28" s="1904"/>
      <c r="LE28" s="1904"/>
      <c r="LF28" s="1903" t="s">
        <v>1230</v>
      </c>
      <c r="LG28" s="1903"/>
      <c r="LH28" s="1903"/>
      <c r="LI28" s="1903"/>
      <c r="LJ28" s="1903"/>
      <c r="LK28" s="1903"/>
    </row>
    <row r="29" spans="1:323">
      <c r="A29" s="2394"/>
      <c r="B29" s="2395"/>
      <c r="BI29" s="429" t="s">
        <v>429</v>
      </c>
      <c r="BJ29" s="391">
        <v>635</v>
      </c>
      <c r="BK29" s="391">
        <v>457.2</v>
      </c>
      <c r="BL29" s="394">
        <f>BJ29*BK29/1000000</f>
        <v>0.29032200000000002</v>
      </c>
      <c r="BM29" s="414">
        <f>BL29*2*1000</f>
        <v>580.64400000000001</v>
      </c>
      <c r="BN29" s="414">
        <f>BL29*2.5*1000</f>
        <v>725.80500000000006</v>
      </c>
      <c r="BO29" s="1946" t="s">
        <v>771</v>
      </c>
      <c r="BP29" s="1947"/>
      <c r="BQ29" s="421" t="s">
        <v>429</v>
      </c>
      <c r="BR29" s="357"/>
      <c r="BS29" s="1929" t="s">
        <v>768</v>
      </c>
      <c r="BT29" s="1928"/>
      <c r="BU29" s="1928"/>
      <c r="BV29" s="1928">
        <v>15</v>
      </c>
      <c r="BW29" s="1928"/>
      <c r="BX29" s="411">
        <v>1000</v>
      </c>
      <c r="BY29" s="335"/>
      <c r="BZ29" s="344"/>
      <c r="CB29" s="429" t="s">
        <v>429</v>
      </c>
      <c r="CC29" s="391">
        <v>25</v>
      </c>
      <c r="CD29" s="391">
        <v>18</v>
      </c>
      <c r="CE29" s="392">
        <f>CC29*CD29/144</f>
        <v>3.125</v>
      </c>
      <c r="CF29" s="414">
        <f>CE29*500</f>
        <v>1562.5</v>
      </c>
      <c r="CG29" s="414">
        <f>CE29*530</f>
        <v>1656.25</v>
      </c>
      <c r="CH29" s="1946" t="s">
        <v>771</v>
      </c>
      <c r="CI29" s="1947"/>
      <c r="CJ29" s="421" t="s">
        <v>429</v>
      </c>
      <c r="CK29" s="357"/>
      <c r="CL29" s="1929" t="s">
        <v>768</v>
      </c>
      <c r="CM29" s="1928"/>
      <c r="CN29" s="1928"/>
      <c r="CO29" s="1928">
        <v>15</v>
      </c>
      <c r="CP29" s="1928"/>
      <c r="CQ29" s="411">
        <v>1000</v>
      </c>
      <c r="CW29" s="410">
        <v>23</v>
      </c>
      <c r="CX29" s="462" t="s">
        <v>929</v>
      </c>
      <c r="CY29" s="390" t="s">
        <v>713</v>
      </c>
      <c r="CZ29" s="412">
        <v>2</v>
      </c>
      <c r="DA29" s="390">
        <v>76</v>
      </c>
      <c r="DB29" s="463">
        <v>65</v>
      </c>
      <c r="DC29" s="391">
        <v>2</v>
      </c>
      <c r="DD29" s="392">
        <v>68.611111111111114</v>
      </c>
      <c r="DE29" s="391">
        <v>12</v>
      </c>
      <c r="DF29" s="391">
        <v>4</v>
      </c>
      <c r="DG29" s="414">
        <v>900</v>
      </c>
      <c r="DH29" s="411">
        <v>2</v>
      </c>
      <c r="DI29" s="433">
        <v>76</v>
      </c>
      <c r="DJ29" s="391">
        <v>60</v>
      </c>
      <c r="DK29" s="391">
        <v>1</v>
      </c>
      <c r="DL29" s="415">
        <v>31.666666666666668</v>
      </c>
      <c r="DM29" s="391">
        <v>12</v>
      </c>
      <c r="DN29" s="391">
        <v>4</v>
      </c>
      <c r="DO29" s="459">
        <v>15000</v>
      </c>
      <c r="EZ29" s="2131"/>
      <c r="FA29" s="2133"/>
      <c r="FB29" s="453" t="s">
        <v>1039</v>
      </c>
      <c r="FC29" s="454"/>
      <c r="FD29" s="2135"/>
      <c r="FE29" s="2137"/>
      <c r="FF29" s="2139"/>
      <c r="FG29" s="2121"/>
      <c r="FH29" s="2123"/>
      <c r="FI29" s="2113"/>
      <c r="FJ29" s="2115"/>
      <c r="FK29" s="2117"/>
      <c r="FL29" s="2117"/>
      <c r="FM29" s="2154"/>
      <c r="FN29" s="2113"/>
      <c r="FO29" s="2115"/>
      <c r="FP29" s="2117"/>
      <c r="FQ29" s="2117"/>
      <c r="FR29" s="2154"/>
      <c r="FS29" s="2113"/>
      <c r="FT29" s="2115"/>
      <c r="FU29" s="2115"/>
      <c r="FV29" s="2115"/>
      <c r="FW29" s="2115"/>
      <c r="FX29" s="2143"/>
      <c r="FY29" s="2113"/>
      <c r="FZ29" s="2115"/>
      <c r="GA29" s="2115"/>
      <c r="GB29" s="2115"/>
      <c r="GC29" s="2115"/>
      <c r="GD29" s="2115"/>
      <c r="GE29" s="2115"/>
      <c r="GF29" s="2143"/>
      <c r="GG29" s="2113"/>
      <c r="GH29" s="2115"/>
      <c r="GI29" s="2145"/>
      <c r="GJ29" s="2147"/>
      <c r="GK29" s="2153"/>
      <c r="GL29" s="2143"/>
      <c r="GT29" s="2131"/>
      <c r="GU29" s="2133"/>
      <c r="GV29" s="453" t="s">
        <v>1039</v>
      </c>
      <c r="GW29" s="454"/>
      <c r="GX29" s="2135"/>
      <c r="GY29" s="2137"/>
      <c r="GZ29" s="2139"/>
      <c r="HA29" s="2121"/>
      <c r="HB29" s="2123"/>
      <c r="HC29" s="2113"/>
      <c r="HD29" s="2115"/>
      <c r="HE29" s="2117"/>
      <c r="HF29" s="2117"/>
      <c r="HG29" s="2154"/>
      <c r="HH29" s="2113"/>
      <c r="HI29" s="2115"/>
      <c r="HJ29" s="2117"/>
      <c r="HK29" s="2117"/>
      <c r="HL29" s="2154"/>
      <c r="HM29" s="2113"/>
      <c r="HN29" s="2115"/>
      <c r="HO29" s="2115"/>
      <c r="HP29" s="2115"/>
      <c r="HQ29" s="2115"/>
      <c r="HR29" s="2143"/>
      <c r="HS29" s="2113"/>
      <c r="HT29" s="2115"/>
      <c r="HU29" s="2115"/>
      <c r="HV29" s="2115"/>
      <c r="HW29" s="2115"/>
      <c r="HX29" s="2115"/>
      <c r="HY29" s="2115"/>
      <c r="HZ29" s="2143"/>
      <c r="IA29" s="2113"/>
      <c r="IB29" s="2115"/>
      <c r="IC29" s="2145"/>
      <c r="ID29" s="2147"/>
      <c r="IE29" s="2153"/>
      <c r="IF29" s="2143"/>
      <c r="KJ29" s="550" t="s">
        <v>428</v>
      </c>
      <c r="KK29" s="551" t="s">
        <v>1231</v>
      </c>
      <c r="KL29" s="551" t="s">
        <v>5</v>
      </c>
      <c r="KM29" s="552" t="s">
        <v>1232</v>
      </c>
      <c r="KN29" s="552" t="s">
        <v>2</v>
      </c>
      <c r="KO29" s="552" t="s">
        <v>1233</v>
      </c>
      <c r="KP29" s="552" t="s">
        <v>1234</v>
      </c>
      <c r="KQ29" s="549" t="s">
        <v>1235</v>
      </c>
      <c r="KR29" s="549" t="s">
        <v>14</v>
      </c>
      <c r="KS29" s="549" t="s">
        <v>426</v>
      </c>
      <c r="KT29" s="549" t="s">
        <v>734</v>
      </c>
      <c r="KU29" s="552" t="s">
        <v>1236</v>
      </c>
      <c r="KV29" s="552" t="s">
        <v>1237</v>
      </c>
      <c r="KW29"/>
      <c r="KY29" s="552" t="s">
        <v>0</v>
      </c>
      <c r="KZ29" s="551" t="s">
        <v>1231</v>
      </c>
      <c r="LA29" s="551" t="s">
        <v>5</v>
      </c>
      <c r="LB29" s="552" t="s">
        <v>1232</v>
      </c>
      <c r="LC29" s="552" t="s">
        <v>2</v>
      </c>
      <c r="LD29" s="552" t="s">
        <v>1233</v>
      </c>
      <c r="LE29" s="552" t="s">
        <v>1234</v>
      </c>
      <c r="LF29" s="552" t="s">
        <v>1235</v>
      </c>
      <c r="LG29" s="552" t="s">
        <v>14</v>
      </c>
      <c r="LH29" s="552" t="s">
        <v>426</v>
      </c>
      <c r="LI29" s="552" t="s">
        <v>734</v>
      </c>
      <c r="LJ29" s="552" t="s">
        <v>1236</v>
      </c>
      <c r="LK29" s="552" t="s">
        <v>1237</v>
      </c>
    </row>
    <row r="30" spans="1:323" ht="33">
      <c r="A30" s="2394"/>
      <c r="B30" s="2395"/>
      <c r="BI30" s="429" t="s">
        <v>430</v>
      </c>
      <c r="BJ30" s="391">
        <v>812.8</v>
      </c>
      <c r="BK30" s="391">
        <v>457.2</v>
      </c>
      <c r="BL30" s="394">
        <f t="shared" ref="BL30:BL36" si="11">BJ30*BK30/1000000</f>
        <v>0.37161215999999997</v>
      </c>
      <c r="BM30" s="414">
        <f t="shared" ref="BM30:BM36" si="12">BL30*2*1000</f>
        <v>743.22431999999992</v>
      </c>
      <c r="BN30" s="414">
        <f t="shared" ref="BN30:BN36" si="13">BL30*2.5*1000</f>
        <v>929.03039999999987</v>
      </c>
      <c r="BO30" s="1946" t="s">
        <v>771</v>
      </c>
      <c r="BP30" s="1947"/>
      <c r="BQ30" s="421" t="s">
        <v>430</v>
      </c>
      <c r="BR30" s="357"/>
      <c r="BS30" s="1929" t="s">
        <v>772</v>
      </c>
      <c r="BT30" s="1928"/>
      <c r="BU30" s="1928"/>
      <c r="BV30" s="1928">
        <v>18.5</v>
      </c>
      <c r="BW30" s="1928"/>
      <c r="BX30" s="411">
        <v>1100</v>
      </c>
      <c r="BY30" s="335"/>
      <c r="BZ30" s="344"/>
      <c r="CB30" s="429" t="s">
        <v>430</v>
      </c>
      <c r="CC30" s="391">
        <v>32</v>
      </c>
      <c r="CD30" s="391">
        <v>18</v>
      </c>
      <c r="CE30" s="392">
        <f t="shared" ref="CE30:CE37" si="14">CC30*CD30/144</f>
        <v>4</v>
      </c>
      <c r="CF30" s="414">
        <f t="shared" ref="CF30:CF37" si="15">CE30*500</f>
        <v>2000</v>
      </c>
      <c r="CG30" s="414">
        <f t="shared" ref="CG30:CG37" si="16">CE30*530</f>
        <v>2120</v>
      </c>
      <c r="CH30" s="1946" t="s">
        <v>771</v>
      </c>
      <c r="CI30" s="1947"/>
      <c r="CJ30" s="421" t="s">
        <v>430</v>
      </c>
      <c r="CK30" s="357"/>
      <c r="CL30" s="1929" t="s">
        <v>772</v>
      </c>
      <c r="CM30" s="1928"/>
      <c r="CN30" s="1928"/>
      <c r="CO30" s="1928">
        <v>18.5</v>
      </c>
      <c r="CP30" s="1928"/>
      <c r="CQ30" s="411">
        <v>1100</v>
      </c>
      <c r="CW30" s="410">
        <v>24</v>
      </c>
      <c r="CX30" s="462" t="s">
        <v>930</v>
      </c>
      <c r="CY30" s="390" t="s">
        <v>706</v>
      </c>
      <c r="CZ30" s="412">
        <v>2</v>
      </c>
      <c r="DA30" s="390">
        <v>76</v>
      </c>
      <c r="DB30" s="463">
        <v>65</v>
      </c>
      <c r="DC30" s="391">
        <v>2</v>
      </c>
      <c r="DD30" s="392">
        <v>68.611111111111114</v>
      </c>
      <c r="DE30" s="391">
        <v>12</v>
      </c>
      <c r="DF30" s="391">
        <v>4</v>
      </c>
      <c r="DG30" s="414">
        <v>900</v>
      </c>
      <c r="DH30" s="411">
        <v>2</v>
      </c>
      <c r="DI30" s="433">
        <v>76</v>
      </c>
      <c r="DJ30" s="391">
        <v>60</v>
      </c>
      <c r="DK30" s="391">
        <v>1</v>
      </c>
      <c r="DL30" s="415">
        <v>31.666666666666668</v>
      </c>
      <c r="DM30" s="391">
        <v>12</v>
      </c>
      <c r="DN30" s="391">
        <v>6</v>
      </c>
      <c r="DO30" s="459">
        <v>16500</v>
      </c>
      <c r="EZ30" s="2131"/>
      <c r="FA30" s="2133"/>
      <c r="FB30" s="453" t="s">
        <v>1040</v>
      </c>
      <c r="FC30" s="454" t="s">
        <v>1041</v>
      </c>
      <c r="FD30" s="2135"/>
      <c r="FE30" s="2137"/>
      <c r="FF30" s="2139"/>
      <c r="FG30" s="2121"/>
      <c r="FH30" s="2123"/>
      <c r="FI30" s="2113"/>
      <c r="FJ30" s="2115"/>
      <c r="FK30" s="2117"/>
      <c r="FL30" s="2117"/>
      <c r="FM30" s="2154"/>
      <c r="FN30" s="2113"/>
      <c r="FO30" s="2115"/>
      <c r="FP30" s="2117"/>
      <c r="FQ30" s="2117"/>
      <c r="FR30" s="2154"/>
      <c r="FS30" s="2113"/>
      <c r="FT30" s="2115"/>
      <c r="FU30" s="2115"/>
      <c r="FV30" s="2115"/>
      <c r="FW30" s="2115"/>
      <c r="FX30" s="2143"/>
      <c r="FY30" s="2113"/>
      <c r="FZ30" s="2115"/>
      <c r="GA30" s="2115"/>
      <c r="GB30" s="2115"/>
      <c r="GC30" s="2115"/>
      <c r="GD30" s="2115"/>
      <c r="GE30" s="2115"/>
      <c r="GF30" s="2143"/>
      <c r="GG30" s="2113"/>
      <c r="GH30" s="2115"/>
      <c r="GI30" s="2145"/>
      <c r="GJ30" s="2147"/>
      <c r="GK30" s="2153"/>
      <c r="GL30" s="2143"/>
      <c r="GT30" s="2131"/>
      <c r="GU30" s="2133"/>
      <c r="GV30" s="453" t="s">
        <v>1040</v>
      </c>
      <c r="GW30" s="454" t="s">
        <v>1041</v>
      </c>
      <c r="GX30" s="2135"/>
      <c r="GY30" s="2137"/>
      <c r="GZ30" s="2139"/>
      <c r="HA30" s="2121"/>
      <c r="HB30" s="2123"/>
      <c r="HC30" s="2113"/>
      <c r="HD30" s="2115"/>
      <c r="HE30" s="2117"/>
      <c r="HF30" s="2117"/>
      <c r="HG30" s="2154"/>
      <c r="HH30" s="2113"/>
      <c r="HI30" s="2115"/>
      <c r="HJ30" s="2117"/>
      <c r="HK30" s="2117"/>
      <c r="HL30" s="2154"/>
      <c r="HM30" s="2113"/>
      <c r="HN30" s="2115"/>
      <c r="HO30" s="2115"/>
      <c r="HP30" s="2115"/>
      <c r="HQ30" s="2115"/>
      <c r="HR30" s="2143"/>
      <c r="HS30" s="2113"/>
      <c r="HT30" s="2115"/>
      <c r="HU30" s="2115"/>
      <c r="HV30" s="2115"/>
      <c r="HW30" s="2115"/>
      <c r="HX30" s="2115"/>
      <c r="HY30" s="2115"/>
      <c r="HZ30" s="2143"/>
      <c r="IA30" s="2113"/>
      <c r="IB30" s="2115"/>
      <c r="IC30" s="2145"/>
      <c r="ID30" s="2147"/>
      <c r="IE30" s="2153"/>
      <c r="IF30" s="2143"/>
      <c r="KJ30" s="553" t="s">
        <v>1025</v>
      </c>
      <c r="KK30" s="554">
        <v>1.8</v>
      </c>
      <c r="KL30" s="554">
        <v>1</v>
      </c>
      <c r="KM30" s="555" t="s">
        <v>1238</v>
      </c>
      <c r="KN30" s="555">
        <v>1</v>
      </c>
      <c r="KO30" s="555" t="s">
        <v>1239</v>
      </c>
      <c r="KP30" s="555">
        <v>1600</v>
      </c>
      <c r="KQ30" s="555" t="s">
        <v>1240</v>
      </c>
      <c r="KR30" s="555" t="s">
        <v>1241</v>
      </c>
      <c r="KS30" s="555">
        <v>800</v>
      </c>
      <c r="KT30" s="555" t="s">
        <v>1242</v>
      </c>
      <c r="KU30" s="555">
        <v>0.2</v>
      </c>
      <c r="KV30" s="299">
        <v>1.7</v>
      </c>
      <c r="KW30"/>
      <c r="KY30" s="553" t="s">
        <v>1025</v>
      </c>
      <c r="KZ30" s="555">
        <v>2.2999999999999998</v>
      </c>
      <c r="LA30" s="555">
        <v>1</v>
      </c>
      <c r="LB30" s="555" t="s">
        <v>1272</v>
      </c>
      <c r="LC30" s="555">
        <v>1</v>
      </c>
      <c r="LD30" s="556" t="s">
        <v>1273</v>
      </c>
      <c r="LE30" s="299">
        <v>2075</v>
      </c>
      <c r="LF30" s="555" t="s">
        <v>1240</v>
      </c>
      <c r="LG30" s="555" t="s">
        <v>1241</v>
      </c>
      <c r="LH30" s="555">
        <v>800</v>
      </c>
      <c r="LI30" s="555" t="s">
        <v>1242</v>
      </c>
      <c r="LJ30" s="555">
        <v>0.2</v>
      </c>
      <c r="LK30" s="299">
        <v>1.4</v>
      </c>
    </row>
    <row r="31" spans="1:323" ht="17.25" thickBot="1">
      <c r="A31" s="2396"/>
      <c r="B31" s="2397"/>
      <c r="BI31" s="429" t="s">
        <v>431</v>
      </c>
      <c r="BJ31" s="391">
        <v>965.19999999999993</v>
      </c>
      <c r="BK31" s="391">
        <v>457.2</v>
      </c>
      <c r="BL31" s="394">
        <f t="shared" si="11"/>
        <v>0.44128943999999992</v>
      </c>
      <c r="BM31" s="414">
        <f t="shared" si="12"/>
        <v>882.5788799999998</v>
      </c>
      <c r="BN31" s="414">
        <f t="shared" si="13"/>
        <v>1103.2235999999998</v>
      </c>
      <c r="BO31" s="1946" t="s">
        <v>771</v>
      </c>
      <c r="BP31" s="1947"/>
      <c r="BQ31" s="421" t="s">
        <v>431</v>
      </c>
      <c r="BR31" s="357"/>
      <c r="BS31" s="1929" t="s">
        <v>772</v>
      </c>
      <c r="BT31" s="1928"/>
      <c r="BU31" s="1928"/>
      <c r="BV31" s="1928">
        <v>18.5</v>
      </c>
      <c r="BW31" s="1928"/>
      <c r="BX31" s="411">
        <v>1200</v>
      </c>
      <c r="BY31" s="335"/>
      <c r="BZ31" s="344"/>
      <c r="CB31" s="429" t="s">
        <v>431</v>
      </c>
      <c r="CC31" s="391">
        <v>38</v>
      </c>
      <c r="CD31" s="391">
        <v>18</v>
      </c>
      <c r="CE31" s="392">
        <f t="shared" si="14"/>
        <v>4.75</v>
      </c>
      <c r="CF31" s="414">
        <f t="shared" si="15"/>
        <v>2375</v>
      </c>
      <c r="CG31" s="414">
        <f t="shared" si="16"/>
        <v>2517.5</v>
      </c>
      <c r="CH31" s="1946" t="s">
        <v>771</v>
      </c>
      <c r="CI31" s="1947"/>
      <c r="CJ31" s="421" t="s">
        <v>431</v>
      </c>
      <c r="CK31" s="357"/>
      <c r="CL31" s="1929" t="s">
        <v>772</v>
      </c>
      <c r="CM31" s="1928"/>
      <c r="CN31" s="1928"/>
      <c r="CO31" s="1928">
        <v>18.5</v>
      </c>
      <c r="CP31" s="1928"/>
      <c r="CQ31" s="411">
        <v>1200</v>
      </c>
      <c r="CW31" s="410">
        <v>25</v>
      </c>
      <c r="CX31" s="411" t="s">
        <v>931</v>
      </c>
      <c r="CY31" s="390" t="s">
        <v>706</v>
      </c>
      <c r="CZ31" s="412">
        <v>2</v>
      </c>
      <c r="DA31" s="390">
        <v>76</v>
      </c>
      <c r="DB31" s="391">
        <v>70</v>
      </c>
      <c r="DC31" s="391">
        <v>2</v>
      </c>
      <c r="DD31" s="392">
        <v>73.888888888888886</v>
      </c>
      <c r="DE31" s="391">
        <v>12</v>
      </c>
      <c r="DF31" s="391">
        <v>4</v>
      </c>
      <c r="DG31" s="414">
        <v>630</v>
      </c>
      <c r="DH31" s="411">
        <v>9</v>
      </c>
      <c r="DI31" s="433">
        <v>80</v>
      </c>
      <c r="DJ31" s="197">
        <v>84</v>
      </c>
      <c r="DK31" s="391">
        <v>1</v>
      </c>
      <c r="DL31" s="415">
        <v>46.666666666666664</v>
      </c>
      <c r="DM31" s="391">
        <v>12</v>
      </c>
      <c r="DN31" s="391">
        <v>4</v>
      </c>
      <c r="DO31" s="411">
        <v>22000</v>
      </c>
      <c r="EZ31" s="2131"/>
      <c r="FA31" s="2186">
        <v>7</v>
      </c>
      <c r="FB31" s="453" t="s">
        <v>513</v>
      </c>
      <c r="FC31" s="454"/>
      <c r="FD31" s="2135" t="s">
        <v>1009</v>
      </c>
      <c r="FE31" s="2137" t="s">
        <v>1028</v>
      </c>
      <c r="FF31" s="2139">
        <v>21.605555555555558</v>
      </c>
      <c r="FG31" s="2121">
        <v>30</v>
      </c>
      <c r="FH31" s="2123">
        <v>1</v>
      </c>
      <c r="FI31" s="2113" t="s">
        <v>1042</v>
      </c>
      <c r="FJ31" s="2115">
        <v>4.25</v>
      </c>
      <c r="FK31" s="2117">
        <v>8.6</v>
      </c>
      <c r="FL31" s="2117">
        <v>52</v>
      </c>
      <c r="FM31" s="2154">
        <v>1</v>
      </c>
      <c r="FN31" s="2113">
        <v>660</v>
      </c>
      <c r="FO31" s="2115">
        <v>1.1000000000000001</v>
      </c>
      <c r="FP31" s="2117">
        <v>2.5</v>
      </c>
      <c r="FQ31" s="2117">
        <v>1200</v>
      </c>
      <c r="FR31" s="2154">
        <v>1</v>
      </c>
      <c r="FS31" s="2113">
        <v>4</v>
      </c>
      <c r="FT31" s="2115">
        <v>12</v>
      </c>
      <c r="FU31" s="2115">
        <v>1</v>
      </c>
      <c r="FV31" s="2115">
        <v>36</v>
      </c>
      <c r="FW31" s="2115">
        <v>26</v>
      </c>
      <c r="FX31" s="2143">
        <f>FU31*FV31*FW31/144</f>
        <v>6.5</v>
      </c>
      <c r="FY31" s="2113">
        <v>2250</v>
      </c>
      <c r="FZ31" s="2115">
        <v>0.75</v>
      </c>
      <c r="GA31" s="2115">
        <v>4</v>
      </c>
      <c r="GB31" s="2115">
        <v>14</v>
      </c>
      <c r="GC31" s="2115">
        <v>1</v>
      </c>
      <c r="GD31" s="2115">
        <v>31</v>
      </c>
      <c r="GE31" s="2115">
        <v>17</v>
      </c>
      <c r="GF31" s="2143">
        <f>GC31*GD31*GE31/144</f>
        <v>3.6597222222222223</v>
      </c>
      <c r="GG31" s="2113">
        <v>1</v>
      </c>
      <c r="GH31" s="2115">
        <v>1.5</v>
      </c>
      <c r="GI31" s="2145">
        <v>2.8</v>
      </c>
      <c r="GJ31" s="2147">
        <v>4.5</v>
      </c>
      <c r="GK31" s="2153">
        <v>1</v>
      </c>
      <c r="GL31" s="2143">
        <f>((GJ31*1000)/GK31)/270</f>
        <v>16.666666666666668</v>
      </c>
      <c r="GT31" s="2131"/>
      <c r="GU31" s="2186">
        <v>7</v>
      </c>
      <c r="GV31" s="453" t="s">
        <v>513</v>
      </c>
      <c r="GW31" s="454"/>
      <c r="GX31" s="2135" t="s">
        <v>1009</v>
      </c>
      <c r="GY31" s="2137" t="s">
        <v>1100</v>
      </c>
      <c r="GZ31" s="2139">
        <v>25.161739130434782</v>
      </c>
      <c r="HA31" s="2121">
        <v>30</v>
      </c>
      <c r="HB31" s="2123">
        <v>1</v>
      </c>
      <c r="HC31" s="2113" t="s">
        <v>1042</v>
      </c>
      <c r="HD31" s="2115">
        <v>4.25</v>
      </c>
      <c r="HE31" s="2117">
        <v>8.6</v>
      </c>
      <c r="HF31" s="2117">
        <v>52</v>
      </c>
      <c r="HG31" s="2154">
        <v>1</v>
      </c>
      <c r="HH31" s="2113">
        <v>660</v>
      </c>
      <c r="HI31" s="2115">
        <v>1.1000000000000001</v>
      </c>
      <c r="HJ31" s="2117">
        <v>2.99</v>
      </c>
      <c r="HK31" s="2117">
        <v>1200</v>
      </c>
      <c r="HL31" s="2154">
        <v>1</v>
      </c>
      <c r="HM31" s="2113">
        <v>4</v>
      </c>
      <c r="HN31" s="2115">
        <v>12</v>
      </c>
      <c r="HO31" s="2115">
        <v>1</v>
      </c>
      <c r="HP31" s="2115">
        <v>36</v>
      </c>
      <c r="HQ31" s="2115">
        <v>26</v>
      </c>
      <c r="HR31" s="2143">
        <f>HO31*HP31*HQ31/144</f>
        <v>6.5</v>
      </c>
      <c r="HS31" s="2113">
        <v>2250</v>
      </c>
      <c r="HT31" s="2115">
        <v>0.75</v>
      </c>
      <c r="HU31" s="2115">
        <v>4</v>
      </c>
      <c r="HV31" s="2115">
        <v>14</v>
      </c>
      <c r="HW31" s="2115">
        <v>1</v>
      </c>
      <c r="HX31" s="2115">
        <v>31</v>
      </c>
      <c r="HY31" s="2115">
        <v>17</v>
      </c>
      <c r="HZ31" s="2143">
        <f>HW31*HX31*HY31/144</f>
        <v>3.6597222222222223</v>
      </c>
      <c r="IA31" s="2113">
        <v>1</v>
      </c>
      <c r="IB31" s="2115">
        <v>1.5</v>
      </c>
      <c r="IC31" s="2145">
        <v>4.9000000000000004</v>
      </c>
      <c r="ID31" s="2147">
        <v>4.5</v>
      </c>
      <c r="IE31" s="2153">
        <v>1</v>
      </c>
      <c r="IF31" s="2143">
        <v>19.565217391304348</v>
      </c>
      <c r="KJ31" s="553" t="s">
        <v>1216</v>
      </c>
      <c r="KK31" s="554">
        <v>2.2999999999999998</v>
      </c>
      <c r="KL31" s="554">
        <v>1</v>
      </c>
      <c r="KM31" s="555" t="s">
        <v>1243</v>
      </c>
      <c r="KN31" s="555">
        <v>1</v>
      </c>
      <c r="KO31" s="555" t="s">
        <v>1239</v>
      </c>
      <c r="KP31" s="555">
        <v>2070</v>
      </c>
      <c r="KQ31" s="555" t="s">
        <v>1240</v>
      </c>
      <c r="KR31" s="555" t="s">
        <v>1241</v>
      </c>
      <c r="KS31" s="555">
        <v>1000</v>
      </c>
      <c r="KT31" s="555" t="s">
        <v>1242</v>
      </c>
      <c r="KU31" s="555">
        <v>0.2</v>
      </c>
      <c r="KV31" s="299">
        <v>1.7</v>
      </c>
      <c r="KW31"/>
      <c r="KY31" s="553" t="s">
        <v>1216</v>
      </c>
      <c r="KZ31" s="555">
        <v>3</v>
      </c>
      <c r="LA31" s="555">
        <v>1</v>
      </c>
      <c r="LB31" s="555" t="s">
        <v>1272</v>
      </c>
      <c r="LC31" s="555">
        <v>1</v>
      </c>
      <c r="LD31" s="556" t="s">
        <v>1273</v>
      </c>
      <c r="LE31" s="299">
        <v>2075</v>
      </c>
      <c r="LF31" s="555" t="s">
        <v>1240</v>
      </c>
      <c r="LG31" s="555" t="s">
        <v>1241</v>
      </c>
      <c r="LH31" s="555">
        <v>1000</v>
      </c>
      <c r="LI31" s="555" t="s">
        <v>1242</v>
      </c>
      <c r="LJ31" s="555">
        <v>0.2</v>
      </c>
      <c r="LK31" s="299">
        <v>1.4</v>
      </c>
    </row>
    <row r="32" spans="1:323">
      <c r="BI32" s="429" t="s">
        <v>432</v>
      </c>
      <c r="BJ32" s="391">
        <v>1066.8</v>
      </c>
      <c r="BK32" s="391">
        <v>533.4</v>
      </c>
      <c r="BL32" s="394">
        <f t="shared" si="11"/>
        <v>0.56903112</v>
      </c>
      <c r="BM32" s="414">
        <f t="shared" si="12"/>
        <v>1138.06224</v>
      </c>
      <c r="BN32" s="414">
        <f t="shared" si="13"/>
        <v>1422.5778</v>
      </c>
      <c r="BO32" s="1946" t="s">
        <v>773</v>
      </c>
      <c r="BP32" s="1947"/>
      <c r="BQ32" s="421" t="s">
        <v>432</v>
      </c>
      <c r="BR32" s="357"/>
      <c r="BS32" s="1943" t="s">
        <v>774</v>
      </c>
      <c r="BT32" s="1942"/>
      <c r="BU32" s="1942"/>
      <c r="BV32" s="1942" t="s">
        <v>775</v>
      </c>
      <c r="BW32" s="1942"/>
      <c r="BX32" s="411">
        <v>1400</v>
      </c>
      <c r="BY32" s="335"/>
      <c r="BZ32" s="344"/>
      <c r="CB32" s="429" t="s">
        <v>432</v>
      </c>
      <c r="CC32" s="391">
        <v>42</v>
      </c>
      <c r="CD32" s="391">
        <v>21</v>
      </c>
      <c r="CE32" s="392">
        <f t="shared" si="14"/>
        <v>6.125</v>
      </c>
      <c r="CF32" s="414">
        <f t="shared" si="15"/>
        <v>3062.5</v>
      </c>
      <c r="CG32" s="414">
        <f t="shared" si="16"/>
        <v>3246.25</v>
      </c>
      <c r="CH32" s="1946" t="s">
        <v>773</v>
      </c>
      <c r="CI32" s="1947"/>
      <c r="CJ32" s="421" t="s">
        <v>432</v>
      </c>
      <c r="CK32" s="357"/>
      <c r="CL32" s="1943" t="s">
        <v>774</v>
      </c>
      <c r="CM32" s="1942"/>
      <c r="CN32" s="1942"/>
      <c r="CO32" s="1942" t="s">
        <v>775</v>
      </c>
      <c r="CP32" s="1942"/>
      <c r="CQ32" s="411">
        <v>1400</v>
      </c>
      <c r="CW32" s="410">
        <v>26</v>
      </c>
      <c r="CX32" s="462" t="s">
        <v>932</v>
      </c>
      <c r="CY32" s="390" t="s">
        <v>713</v>
      </c>
      <c r="CZ32" s="412">
        <v>3</v>
      </c>
      <c r="DA32" s="390">
        <v>76</v>
      </c>
      <c r="DB32" s="463" t="s">
        <v>933</v>
      </c>
      <c r="DC32" s="463" t="s">
        <v>712</v>
      </c>
      <c r="DD32" s="392">
        <v>105.55555555555556</v>
      </c>
      <c r="DE32" s="391">
        <v>12</v>
      </c>
      <c r="DF32" s="391">
        <v>4</v>
      </c>
      <c r="DG32" s="464">
        <v>630</v>
      </c>
      <c r="DH32" s="462">
        <v>10</v>
      </c>
      <c r="DI32" s="433">
        <v>80</v>
      </c>
      <c r="DJ32" s="197">
        <v>84</v>
      </c>
      <c r="DK32" s="391">
        <v>1</v>
      </c>
      <c r="DL32" s="415">
        <v>46.666666666666664</v>
      </c>
      <c r="DM32" s="391">
        <v>12</v>
      </c>
      <c r="DN32" s="391">
        <v>4</v>
      </c>
      <c r="DO32" s="411">
        <v>24000</v>
      </c>
      <c r="EZ32" s="2131"/>
      <c r="FA32" s="2187"/>
      <c r="FB32" s="453" t="s">
        <v>1043</v>
      </c>
      <c r="FC32" s="454"/>
      <c r="FD32" s="2135"/>
      <c r="FE32" s="2137"/>
      <c r="FF32" s="2139"/>
      <c r="FG32" s="2121"/>
      <c r="FH32" s="2123"/>
      <c r="FI32" s="2113"/>
      <c r="FJ32" s="2115"/>
      <c r="FK32" s="2117"/>
      <c r="FL32" s="2117"/>
      <c r="FM32" s="2154"/>
      <c r="FN32" s="2113"/>
      <c r="FO32" s="2115"/>
      <c r="FP32" s="2117"/>
      <c r="FQ32" s="2117"/>
      <c r="FR32" s="2154"/>
      <c r="FS32" s="2113"/>
      <c r="FT32" s="2115"/>
      <c r="FU32" s="2115"/>
      <c r="FV32" s="2115"/>
      <c r="FW32" s="2115"/>
      <c r="FX32" s="2143"/>
      <c r="FY32" s="2113"/>
      <c r="FZ32" s="2115"/>
      <c r="GA32" s="2115"/>
      <c r="GB32" s="2115"/>
      <c r="GC32" s="2115"/>
      <c r="GD32" s="2115"/>
      <c r="GE32" s="2115"/>
      <c r="GF32" s="2143"/>
      <c r="GG32" s="2113"/>
      <c r="GH32" s="2115"/>
      <c r="GI32" s="2145"/>
      <c r="GJ32" s="2147"/>
      <c r="GK32" s="2153"/>
      <c r="GL32" s="2143"/>
      <c r="GT32" s="2131"/>
      <c r="GU32" s="2187"/>
      <c r="GV32" s="453" t="s">
        <v>1043</v>
      </c>
      <c r="GW32" s="454"/>
      <c r="GX32" s="2135"/>
      <c r="GY32" s="2137"/>
      <c r="GZ32" s="2139"/>
      <c r="HA32" s="2121"/>
      <c r="HB32" s="2123"/>
      <c r="HC32" s="2113"/>
      <c r="HD32" s="2115"/>
      <c r="HE32" s="2117"/>
      <c r="HF32" s="2117"/>
      <c r="HG32" s="2154"/>
      <c r="HH32" s="2113"/>
      <c r="HI32" s="2115"/>
      <c r="HJ32" s="2117"/>
      <c r="HK32" s="2117"/>
      <c r="HL32" s="2154"/>
      <c r="HM32" s="2113"/>
      <c r="HN32" s="2115"/>
      <c r="HO32" s="2115"/>
      <c r="HP32" s="2115"/>
      <c r="HQ32" s="2115"/>
      <c r="HR32" s="2143"/>
      <c r="HS32" s="2113"/>
      <c r="HT32" s="2115"/>
      <c r="HU32" s="2115"/>
      <c r="HV32" s="2115"/>
      <c r="HW32" s="2115"/>
      <c r="HX32" s="2115"/>
      <c r="HY32" s="2115"/>
      <c r="HZ32" s="2143"/>
      <c r="IA32" s="2113"/>
      <c r="IB32" s="2115"/>
      <c r="IC32" s="2145"/>
      <c r="ID32" s="2147"/>
      <c r="IE32" s="2153"/>
      <c r="IF32" s="2143"/>
      <c r="KJ32" s="553" t="s">
        <v>1032</v>
      </c>
      <c r="KK32" s="554">
        <v>2.8</v>
      </c>
      <c r="KL32" s="554">
        <v>1</v>
      </c>
      <c r="KM32" s="555" t="s">
        <v>1244</v>
      </c>
      <c r="KN32" s="555">
        <v>1</v>
      </c>
      <c r="KO32" s="555" t="s">
        <v>1245</v>
      </c>
      <c r="KP32" s="555" t="s">
        <v>1246</v>
      </c>
      <c r="KQ32" s="555" t="s">
        <v>1247</v>
      </c>
      <c r="KR32" s="555" t="s">
        <v>1241</v>
      </c>
      <c r="KS32" s="555">
        <v>1400</v>
      </c>
      <c r="KT32" s="555" t="s">
        <v>1248</v>
      </c>
      <c r="KU32" s="555">
        <v>0.3</v>
      </c>
      <c r="KV32" s="299">
        <v>2.9</v>
      </c>
      <c r="KW32"/>
      <c r="KX32"/>
      <c r="KY32" s="553" t="s">
        <v>1032</v>
      </c>
      <c r="KZ32" s="555">
        <v>3.5</v>
      </c>
      <c r="LA32" s="555">
        <v>1</v>
      </c>
      <c r="LB32" s="555" t="s">
        <v>1274</v>
      </c>
      <c r="LC32" s="555">
        <v>1</v>
      </c>
      <c r="LD32" s="556" t="s">
        <v>1273</v>
      </c>
      <c r="LE32" s="299">
        <v>2988</v>
      </c>
      <c r="LF32" s="555" t="s">
        <v>1247</v>
      </c>
      <c r="LG32" s="555" t="s">
        <v>1241</v>
      </c>
      <c r="LH32" s="555">
        <v>1400</v>
      </c>
      <c r="LI32" s="555" t="s">
        <v>1248</v>
      </c>
      <c r="LJ32" s="555">
        <v>0.3</v>
      </c>
      <c r="LK32" s="299">
        <v>2.5</v>
      </c>
    </row>
    <row r="33" spans="61:323">
      <c r="BI33" s="429" t="s">
        <v>433</v>
      </c>
      <c r="BJ33" s="391">
        <v>1320.8</v>
      </c>
      <c r="BK33" s="391">
        <v>533.4</v>
      </c>
      <c r="BL33" s="394">
        <f t="shared" si="11"/>
        <v>0.70451471999999993</v>
      </c>
      <c r="BM33" s="414">
        <f t="shared" si="12"/>
        <v>1409.0294399999998</v>
      </c>
      <c r="BN33" s="414">
        <f t="shared" si="13"/>
        <v>1761.2867999999996</v>
      </c>
      <c r="BO33" s="1946" t="s">
        <v>773</v>
      </c>
      <c r="BP33" s="1947"/>
      <c r="BQ33" s="421" t="s">
        <v>433</v>
      </c>
      <c r="BR33" s="357"/>
      <c r="BS33" s="1943" t="s">
        <v>774</v>
      </c>
      <c r="BT33" s="1942"/>
      <c r="BU33" s="1942"/>
      <c r="BV33" s="1942" t="s">
        <v>775</v>
      </c>
      <c r="BW33" s="1942"/>
      <c r="BX33" s="411">
        <v>1600</v>
      </c>
      <c r="BY33" s="335"/>
      <c r="BZ33" s="344"/>
      <c r="CB33" s="429" t="s">
        <v>433</v>
      </c>
      <c r="CC33" s="391">
        <v>52</v>
      </c>
      <c r="CD33" s="391">
        <v>21</v>
      </c>
      <c r="CE33" s="392">
        <f t="shared" si="14"/>
        <v>7.583333333333333</v>
      </c>
      <c r="CF33" s="414">
        <f t="shared" si="15"/>
        <v>3791.6666666666665</v>
      </c>
      <c r="CG33" s="414">
        <f t="shared" si="16"/>
        <v>4019.1666666666665</v>
      </c>
      <c r="CH33" s="1946" t="s">
        <v>773</v>
      </c>
      <c r="CI33" s="1947"/>
      <c r="CJ33" s="421" t="s">
        <v>433</v>
      </c>
      <c r="CK33" s="357"/>
      <c r="CL33" s="1943" t="s">
        <v>868</v>
      </c>
      <c r="CM33" s="1942"/>
      <c r="CN33" s="1942"/>
      <c r="CO33" s="1942" t="s">
        <v>775</v>
      </c>
      <c r="CP33" s="1942"/>
      <c r="CQ33" s="411">
        <v>1600</v>
      </c>
      <c r="CW33" s="410">
        <v>27</v>
      </c>
      <c r="CX33" s="462" t="s">
        <v>934</v>
      </c>
      <c r="CY33" s="390" t="s">
        <v>706</v>
      </c>
      <c r="CZ33" s="412">
        <v>3</v>
      </c>
      <c r="DA33" s="390">
        <v>76</v>
      </c>
      <c r="DB33" s="463" t="s">
        <v>935</v>
      </c>
      <c r="DC33" s="463" t="s">
        <v>712</v>
      </c>
      <c r="DD33" s="392">
        <v>105.6</v>
      </c>
      <c r="DE33" s="391">
        <v>12</v>
      </c>
      <c r="DF33" s="391">
        <v>4</v>
      </c>
      <c r="DG33" s="464">
        <v>630</v>
      </c>
      <c r="DH33" s="462">
        <v>10</v>
      </c>
      <c r="DI33" s="433">
        <v>80</v>
      </c>
      <c r="DJ33" s="197">
        <v>84</v>
      </c>
      <c r="DK33" s="391">
        <v>1</v>
      </c>
      <c r="DL33" s="415">
        <v>46.666666666666664</v>
      </c>
      <c r="DM33" s="391">
        <v>12</v>
      </c>
      <c r="DN33" s="391">
        <v>6</v>
      </c>
      <c r="DO33" s="411">
        <v>25500</v>
      </c>
      <c r="EZ33" s="2131"/>
      <c r="FA33" s="2187"/>
      <c r="FB33" s="453" t="s">
        <v>1044</v>
      </c>
      <c r="FC33" s="454"/>
      <c r="FD33" s="2135"/>
      <c r="FE33" s="2137"/>
      <c r="FF33" s="2139"/>
      <c r="FG33" s="2121"/>
      <c r="FH33" s="2123"/>
      <c r="FI33" s="2113"/>
      <c r="FJ33" s="2115"/>
      <c r="FK33" s="2117"/>
      <c r="FL33" s="2117"/>
      <c r="FM33" s="2154"/>
      <c r="FN33" s="2113"/>
      <c r="FO33" s="2115"/>
      <c r="FP33" s="2117"/>
      <c r="FQ33" s="2117"/>
      <c r="FR33" s="2154"/>
      <c r="FS33" s="2113"/>
      <c r="FT33" s="2115"/>
      <c r="FU33" s="2115"/>
      <c r="FV33" s="2115"/>
      <c r="FW33" s="2115"/>
      <c r="FX33" s="2143"/>
      <c r="FY33" s="2113"/>
      <c r="FZ33" s="2115"/>
      <c r="GA33" s="2115"/>
      <c r="GB33" s="2115"/>
      <c r="GC33" s="2115"/>
      <c r="GD33" s="2115"/>
      <c r="GE33" s="2115"/>
      <c r="GF33" s="2143"/>
      <c r="GG33" s="2113"/>
      <c r="GH33" s="2115"/>
      <c r="GI33" s="2145"/>
      <c r="GJ33" s="2147"/>
      <c r="GK33" s="2153"/>
      <c r="GL33" s="2143"/>
      <c r="GT33" s="2131"/>
      <c r="GU33" s="2187"/>
      <c r="GV33" s="453" t="s">
        <v>1044</v>
      </c>
      <c r="GW33" s="454"/>
      <c r="GX33" s="2135"/>
      <c r="GY33" s="2137"/>
      <c r="GZ33" s="2139"/>
      <c r="HA33" s="2121"/>
      <c r="HB33" s="2123"/>
      <c r="HC33" s="2113"/>
      <c r="HD33" s="2115"/>
      <c r="HE33" s="2117"/>
      <c r="HF33" s="2117"/>
      <c r="HG33" s="2154"/>
      <c r="HH33" s="2113"/>
      <c r="HI33" s="2115"/>
      <c r="HJ33" s="2117"/>
      <c r="HK33" s="2117"/>
      <c r="HL33" s="2154"/>
      <c r="HM33" s="2113"/>
      <c r="HN33" s="2115"/>
      <c r="HO33" s="2115"/>
      <c r="HP33" s="2115"/>
      <c r="HQ33" s="2115"/>
      <c r="HR33" s="2143"/>
      <c r="HS33" s="2113"/>
      <c r="HT33" s="2115"/>
      <c r="HU33" s="2115"/>
      <c r="HV33" s="2115"/>
      <c r="HW33" s="2115"/>
      <c r="HX33" s="2115"/>
      <c r="HY33" s="2115"/>
      <c r="HZ33" s="2143"/>
      <c r="IA33" s="2113"/>
      <c r="IB33" s="2115"/>
      <c r="IC33" s="2145"/>
      <c r="ID33" s="2147"/>
      <c r="IE33" s="2153"/>
      <c r="IF33" s="2143"/>
      <c r="KJ33" s="553" t="s">
        <v>1040</v>
      </c>
      <c r="KK33" s="554">
        <v>3.5</v>
      </c>
      <c r="KL33" s="554">
        <v>1</v>
      </c>
      <c r="KM33" s="555" t="s">
        <v>1244</v>
      </c>
      <c r="KN33" s="555">
        <v>1</v>
      </c>
      <c r="KO33" s="555" t="s">
        <v>1245</v>
      </c>
      <c r="KP33" s="555" t="s">
        <v>1246</v>
      </c>
      <c r="KQ33" s="555" t="s">
        <v>1249</v>
      </c>
      <c r="KR33" s="555" t="s">
        <v>1241</v>
      </c>
      <c r="KS33" s="555">
        <v>1600</v>
      </c>
      <c r="KT33" s="555" t="s">
        <v>1250</v>
      </c>
      <c r="KU33" s="555" t="s">
        <v>1251</v>
      </c>
      <c r="KV33" s="299">
        <v>1.7</v>
      </c>
      <c r="KW33"/>
      <c r="KX33"/>
      <c r="KY33" s="553" t="s">
        <v>1040</v>
      </c>
      <c r="KZ33" s="555">
        <v>4</v>
      </c>
      <c r="LA33" s="555">
        <v>1</v>
      </c>
      <c r="LB33" s="555" t="s">
        <v>1244</v>
      </c>
      <c r="LC33" s="555">
        <v>1</v>
      </c>
      <c r="LD33" s="556" t="s">
        <v>1273</v>
      </c>
      <c r="LE33" s="299">
        <v>4150</v>
      </c>
      <c r="LF33" s="555" t="s">
        <v>1249</v>
      </c>
      <c r="LG33" s="555" t="s">
        <v>1241</v>
      </c>
      <c r="LH33" s="555">
        <v>1600</v>
      </c>
      <c r="LI33" s="555" t="s">
        <v>1250</v>
      </c>
      <c r="LJ33" s="555" t="s">
        <v>1251</v>
      </c>
      <c r="LK33" s="299">
        <v>1.4</v>
      </c>
    </row>
    <row r="34" spans="61:323" ht="33.75" thickBot="1">
      <c r="BI34" s="429" t="s">
        <v>434</v>
      </c>
      <c r="BJ34" s="391">
        <v>1727.1999999999998</v>
      </c>
      <c r="BK34" s="391">
        <v>533.4</v>
      </c>
      <c r="BL34" s="394">
        <f t="shared" si="11"/>
        <v>0.92128847999999985</v>
      </c>
      <c r="BM34" s="414">
        <f t="shared" si="12"/>
        <v>1842.5769599999996</v>
      </c>
      <c r="BN34" s="414">
        <f t="shared" si="13"/>
        <v>2303.2211999999995</v>
      </c>
      <c r="BO34" s="1946" t="s">
        <v>776</v>
      </c>
      <c r="BP34" s="1947"/>
      <c r="BQ34" s="421" t="s">
        <v>434</v>
      </c>
      <c r="BR34" s="357"/>
      <c r="BS34" s="1943" t="s">
        <v>777</v>
      </c>
      <c r="BT34" s="1942"/>
      <c r="BU34" s="1942"/>
      <c r="BV34" s="1942" t="s">
        <v>778</v>
      </c>
      <c r="BW34" s="1942"/>
      <c r="BX34" s="411">
        <v>1800</v>
      </c>
      <c r="BY34" s="335"/>
      <c r="BZ34" s="344"/>
      <c r="CB34" s="429" t="s">
        <v>434</v>
      </c>
      <c r="CC34" s="391">
        <v>68</v>
      </c>
      <c r="CD34" s="391">
        <v>21</v>
      </c>
      <c r="CE34" s="392">
        <f t="shared" si="14"/>
        <v>9.9166666666666661</v>
      </c>
      <c r="CF34" s="414">
        <f t="shared" si="15"/>
        <v>4958.333333333333</v>
      </c>
      <c r="CG34" s="414">
        <f t="shared" si="16"/>
        <v>5255.833333333333</v>
      </c>
      <c r="CH34" s="1946" t="s">
        <v>776</v>
      </c>
      <c r="CI34" s="1947"/>
      <c r="CJ34" s="421" t="s">
        <v>434</v>
      </c>
      <c r="CK34" s="357"/>
      <c r="CL34" s="1943" t="s">
        <v>868</v>
      </c>
      <c r="CM34" s="1942"/>
      <c r="CN34" s="1942"/>
      <c r="CO34" s="1942" t="s">
        <v>778</v>
      </c>
      <c r="CP34" s="1942"/>
      <c r="CQ34" s="411">
        <v>1800</v>
      </c>
      <c r="CW34" s="410">
        <v>28</v>
      </c>
      <c r="CX34" s="462" t="s">
        <v>936</v>
      </c>
      <c r="CY34" s="390" t="s">
        <v>713</v>
      </c>
      <c r="CZ34" s="412">
        <v>4</v>
      </c>
      <c r="DA34" s="390">
        <v>76</v>
      </c>
      <c r="DB34" s="463">
        <v>65</v>
      </c>
      <c r="DC34" s="391">
        <v>4</v>
      </c>
      <c r="DD34" s="392">
        <v>137.22222222222223</v>
      </c>
      <c r="DE34" s="391">
        <v>12</v>
      </c>
      <c r="DF34" s="391">
        <v>4</v>
      </c>
      <c r="DG34" s="414">
        <v>900</v>
      </c>
      <c r="DH34" s="411">
        <v>4</v>
      </c>
      <c r="DI34" s="433">
        <v>99</v>
      </c>
      <c r="DJ34" s="197">
        <v>84</v>
      </c>
      <c r="DK34" s="391">
        <v>1</v>
      </c>
      <c r="DL34" s="415">
        <v>57.75</v>
      </c>
      <c r="DM34" s="391">
        <v>12</v>
      </c>
      <c r="DN34" s="391">
        <v>6</v>
      </c>
      <c r="DO34" s="411">
        <v>28000</v>
      </c>
      <c r="EZ34" s="2131"/>
      <c r="FA34" s="2187"/>
      <c r="FB34" s="465" t="s">
        <v>1045</v>
      </c>
      <c r="FC34" s="466" t="s">
        <v>1046</v>
      </c>
      <c r="FD34" s="2188"/>
      <c r="FE34" s="2189"/>
      <c r="FF34" s="2150"/>
      <c r="FG34" s="2151"/>
      <c r="FH34" s="2152"/>
      <c r="FI34" s="2160"/>
      <c r="FJ34" s="2155"/>
      <c r="FK34" s="2184"/>
      <c r="FL34" s="2184"/>
      <c r="FM34" s="2185"/>
      <c r="FN34" s="2160"/>
      <c r="FO34" s="2155"/>
      <c r="FP34" s="2184"/>
      <c r="FQ34" s="2184"/>
      <c r="FR34" s="2185"/>
      <c r="FS34" s="2160"/>
      <c r="FT34" s="2155"/>
      <c r="FU34" s="2155"/>
      <c r="FV34" s="2155"/>
      <c r="FW34" s="2155"/>
      <c r="FX34" s="2159"/>
      <c r="FY34" s="2160"/>
      <c r="FZ34" s="2155"/>
      <c r="GA34" s="2155"/>
      <c r="GB34" s="2155"/>
      <c r="GC34" s="2155"/>
      <c r="GD34" s="2155"/>
      <c r="GE34" s="2155"/>
      <c r="GF34" s="2159"/>
      <c r="GG34" s="2160"/>
      <c r="GH34" s="2155"/>
      <c r="GI34" s="2156"/>
      <c r="GJ34" s="2157"/>
      <c r="GK34" s="2158"/>
      <c r="GL34" s="2159"/>
      <c r="GT34" s="2131"/>
      <c r="GU34" s="2187"/>
      <c r="GV34" s="465" t="s">
        <v>1045</v>
      </c>
      <c r="GW34" s="466" t="s">
        <v>1046</v>
      </c>
      <c r="GX34" s="2188"/>
      <c r="GY34" s="2189"/>
      <c r="GZ34" s="2150"/>
      <c r="HA34" s="2151"/>
      <c r="HB34" s="2152"/>
      <c r="HC34" s="2160"/>
      <c r="HD34" s="2155"/>
      <c r="HE34" s="2184"/>
      <c r="HF34" s="2184"/>
      <c r="HG34" s="2185"/>
      <c r="HH34" s="2160"/>
      <c r="HI34" s="2155"/>
      <c r="HJ34" s="2184"/>
      <c r="HK34" s="2184"/>
      <c r="HL34" s="2185"/>
      <c r="HM34" s="2160"/>
      <c r="HN34" s="2155"/>
      <c r="HO34" s="2155"/>
      <c r="HP34" s="2155"/>
      <c r="HQ34" s="2155"/>
      <c r="HR34" s="2159"/>
      <c r="HS34" s="2160"/>
      <c r="HT34" s="2155"/>
      <c r="HU34" s="2155"/>
      <c r="HV34" s="2155"/>
      <c r="HW34" s="2155"/>
      <c r="HX34" s="2155"/>
      <c r="HY34" s="2155"/>
      <c r="HZ34" s="2159"/>
      <c r="IA34" s="2160"/>
      <c r="IB34" s="2155"/>
      <c r="IC34" s="2156"/>
      <c r="ID34" s="2157"/>
      <c r="IE34" s="2158"/>
      <c r="IF34" s="2159"/>
      <c r="KJ34" s="553" t="s">
        <v>1045</v>
      </c>
      <c r="KK34" s="554">
        <v>5</v>
      </c>
      <c r="KL34" s="554">
        <v>1</v>
      </c>
      <c r="KM34" s="555" t="s">
        <v>1252</v>
      </c>
      <c r="KN34" s="555">
        <v>1</v>
      </c>
      <c r="KO34" s="555" t="s">
        <v>1245</v>
      </c>
      <c r="KP34" s="555" t="s">
        <v>1246</v>
      </c>
      <c r="KQ34" s="555" t="s">
        <v>1253</v>
      </c>
      <c r="KR34" s="555" t="s">
        <v>1254</v>
      </c>
      <c r="KS34" s="555">
        <v>2400</v>
      </c>
      <c r="KT34" s="555" t="s">
        <v>1250</v>
      </c>
      <c r="KU34" s="555" t="s">
        <v>1251</v>
      </c>
      <c r="KV34" s="299">
        <v>1.7</v>
      </c>
      <c r="KW34"/>
      <c r="KX34"/>
      <c r="KY34" s="553" t="s">
        <v>1045</v>
      </c>
      <c r="KZ34" s="555">
        <v>5.0999999999999996</v>
      </c>
      <c r="LA34" s="555">
        <v>1</v>
      </c>
      <c r="LB34" s="555" t="s">
        <v>1244</v>
      </c>
      <c r="LC34" s="555">
        <v>1</v>
      </c>
      <c r="LD34" s="556" t="s">
        <v>1273</v>
      </c>
      <c r="LE34" s="299">
        <v>4150</v>
      </c>
      <c r="LF34" s="555" t="s">
        <v>1253</v>
      </c>
      <c r="LG34" s="555" t="s">
        <v>1254</v>
      </c>
      <c r="LH34" s="555">
        <v>2400</v>
      </c>
      <c r="LI34" s="555" t="s">
        <v>1250</v>
      </c>
      <c r="LJ34" s="555" t="s">
        <v>1251</v>
      </c>
      <c r="LK34" s="299">
        <v>1.4</v>
      </c>
    </row>
    <row r="35" spans="61:323">
      <c r="BI35" s="429" t="s">
        <v>435</v>
      </c>
      <c r="BJ35" s="391">
        <v>1473.1999999999998</v>
      </c>
      <c r="BK35" s="391">
        <v>762</v>
      </c>
      <c r="BL35" s="394">
        <f t="shared" si="11"/>
        <v>1.1225783999999999</v>
      </c>
      <c r="BM35" s="414">
        <f t="shared" si="12"/>
        <v>2245.1567999999997</v>
      </c>
      <c r="BN35" s="414">
        <f t="shared" si="13"/>
        <v>2806.4459999999999</v>
      </c>
      <c r="BO35" s="1946" t="s">
        <v>779</v>
      </c>
      <c r="BP35" s="1947"/>
      <c r="BQ35" s="421" t="s">
        <v>435</v>
      </c>
      <c r="BR35" s="357"/>
      <c r="BS35" s="1943" t="s">
        <v>777</v>
      </c>
      <c r="BT35" s="1942"/>
      <c r="BU35" s="1942"/>
      <c r="BV35" s="1942" t="s">
        <v>778</v>
      </c>
      <c r="BW35" s="1942"/>
      <c r="BX35" s="411">
        <v>2000</v>
      </c>
      <c r="BY35" s="335"/>
      <c r="BZ35" s="344"/>
      <c r="CB35" s="429" t="s">
        <v>435</v>
      </c>
      <c r="CC35" s="391">
        <v>58</v>
      </c>
      <c r="CD35" s="391">
        <v>30</v>
      </c>
      <c r="CE35" s="392">
        <f t="shared" si="14"/>
        <v>12.083333333333334</v>
      </c>
      <c r="CF35" s="414">
        <f t="shared" si="15"/>
        <v>6041.666666666667</v>
      </c>
      <c r="CG35" s="414">
        <f t="shared" si="16"/>
        <v>6404.166666666667</v>
      </c>
      <c r="CH35" s="1946" t="s">
        <v>779</v>
      </c>
      <c r="CI35" s="1947"/>
      <c r="CJ35" s="421" t="s">
        <v>435</v>
      </c>
      <c r="CK35" s="357"/>
      <c r="CL35" s="1943" t="s">
        <v>868</v>
      </c>
      <c r="CM35" s="1942"/>
      <c r="CN35" s="1942"/>
      <c r="CO35" s="1942" t="s">
        <v>778</v>
      </c>
      <c r="CP35" s="1942"/>
      <c r="CQ35" s="411">
        <v>2000</v>
      </c>
      <c r="CW35" s="410">
        <v>29</v>
      </c>
      <c r="CX35" s="462" t="s">
        <v>937</v>
      </c>
      <c r="CY35" s="390" t="s">
        <v>938</v>
      </c>
      <c r="CZ35" s="412" t="s">
        <v>712</v>
      </c>
      <c r="DA35" s="390">
        <v>76</v>
      </c>
      <c r="DB35" s="463">
        <v>65</v>
      </c>
      <c r="DC35" s="391">
        <v>4</v>
      </c>
      <c r="DD35" s="392">
        <v>137.22222222222223</v>
      </c>
      <c r="DE35" s="391">
        <v>12</v>
      </c>
      <c r="DF35" s="391">
        <v>4</v>
      </c>
      <c r="DG35" s="414">
        <v>900</v>
      </c>
      <c r="DH35" s="411">
        <v>4</v>
      </c>
      <c r="DI35" s="433">
        <v>99</v>
      </c>
      <c r="DJ35" s="197">
        <v>84</v>
      </c>
      <c r="DK35" s="391">
        <v>1</v>
      </c>
      <c r="DL35" s="415">
        <v>57.75</v>
      </c>
      <c r="DM35" s="391">
        <v>12</v>
      </c>
      <c r="DN35" s="391">
        <v>6</v>
      </c>
      <c r="DO35" s="411">
        <v>30000</v>
      </c>
      <c r="EZ35" s="2171">
        <v>3</v>
      </c>
      <c r="FA35" s="2174">
        <v>8</v>
      </c>
      <c r="FB35" s="467" t="s">
        <v>517</v>
      </c>
      <c r="FC35" s="468"/>
      <c r="FD35" s="2176" t="s">
        <v>1009</v>
      </c>
      <c r="FE35" s="2178" t="s">
        <v>1028</v>
      </c>
      <c r="FF35" s="2180">
        <v>37.976543209876539</v>
      </c>
      <c r="FG35" s="2182">
        <v>50</v>
      </c>
      <c r="FH35" s="2169">
        <v>1</v>
      </c>
      <c r="FI35" s="2167" t="s">
        <v>1047</v>
      </c>
      <c r="FJ35" s="2163">
        <v>8</v>
      </c>
      <c r="FK35" s="2161">
        <v>16.399999999999999</v>
      </c>
      <c r="FL35" s="2161">
        <v>95</v>
      </c>
      <c r="FM35" s="2165">
        <v>1</v>
      </c>
      <c r="FN35" s="2167">
        <v>800</v>
      </c>
      <c r="FO35" s="2163">
        <v>2.2000000000000002</v>
      </c>
      <c r="FP35" s="2161">
        <v>3.8</v>
      </c>
      <c r="FQ35" s="2163">
        <v>1200</v>
      </c>
      <c r="FR35" s="2165">
        <v>1</v>
      </c>
      <c r="FS35" s="2167">
        <v>3</v>
      </c>
      <c r="FT35" s="2163">
        <v>12</v>
      </c>
      <c r="FU35" s="2163">
        <v>1</v>
      </c>
      <c r="FV35" s="2163">
        <v>54</v>
      </c>
      <c r="FW35" s="2163">
        <v>48</v>
      </c>
      <c r="FX35" s="2201">
        <f>FU35*FV35*FW35/144</f>
        <v>18</v>
      </c>
      <c r="FY35" s="2167">
        <v>3250</v>
      </c>
      <c r="FZ35" s="2163">
        <v>1</v>
      </c>
      <c r="GA35" s="2163">
        <v>3</v>
      </c>
      <c r="GB35" s="2163">
        <v>12</v>
      </c>
      <c r="GC35" s="2163">
        <v>1</v>
      </c>
      <c r="GD35" s="2163">
        <v>54</v>
      </c>
      <c r="GE35" s="2163">
        <v>24</v>
      </c>
      <c r="GF35" s="2201">
        <f>GC35*GD35*GE35/144</f>
        <v>9</v>
      </c>
      <c r="GG35" s="2167">
        <v>1</v>
      </c>
      <c r="GH35" s="2163">
        <v>2.2000000000000002</v>
      </c>
      <c r="GI35" s="2203">
        <v>3.8</v>
      </c>
      <c r="GJ35" s="2205">
        <v>8</v>
      </c>
      <c r="GK35" s="2207">
        <v>2</v>
      </c>
      <c r="GL35" s="2192">
        <f>((GJ35*1000)/GK35)/270</f>
        <v>14.814814814814815</v>
      </c>
      <c r="GT35" s="2171">
        <v>3</v>
      </c>
      <c r="GU35" s="2174">
        <v>8</v>
      </c>
      <c r="GV35" s="467" t="s">
        <v>517</v>
      </c>
      <c r="GW35" s="468"/>
      <c r="GX35" s="2176" t="s">
        <v>1009</v>
      </c>
      <c r="GY35" s="2178" t="s">
        <v>1100</v>
      </c>
      <c r="GZ35" s="2180">
        <v>43.114202898550722</v>
      </c>
      <c r="HA35" s="2182">
        <v>50</v>
      </c>
      <c r="HB35" s="2169">
        <v>1</v>
      </c>
      <c r="HC35" s="2167" t="s">
        <v>1047</v>
      </c>
      <c r="HD35" s="2163">
        <v>8</v>
      </c>
      <c r="HE35" s="2161">
        <v>16.399999999999999</v>
      </c>
      <c r="HF35" s="2161">
        <v>95</v>
      </c>
      <c r="HG35" s="2165">
        <v>1</v>
      </c>
      <c r="HH35" s="2167">
        <v>800</v>
      </c>
      <c r="HI35" s="2163">
        <v>2.2000000000000002</v>
      </c>
      <c r="HJ35" s="2161">
        <v>5.51</v>
      </c>
      <c r="HK35" s="2163">
        <v>1200</v>
      </c>
      <c r="HL35" s="2165">
        <v>1</v>
      </c>
      <c r="HM35" s="2167">
        <v>3</v>
      </c>
      <c r="HN35" s="2163">
        <v>12</v>
      </c>
      <c r="HO35" s="2163">
        <v>1</v>
      </c>
      <c r="HP35" s="2163">
        <v>54</v>
      </c>
      <c r="HQ35" s="2163">
        <v>48</v>
      </c>
      <c r="HR35" s="2201">
        <f>HO35*HP35*HQ35/144</f>
        <v>18</v>
      </c>
      <c r="HS35" s="2167">
        <v>3250</v>
      </c>
      <c r="HT35" s="2163">
        <v>1</v>
      </c>
      <c r="HU35" s="2163">
        <v>3</v>
      </c>
      <c r="HV35" s="2163">
        <v>12</v>
      </c>
      <c r="HW35" s="2163">
        <v>1</v>
      </c>
      <c r="HX35" s="2163">
        <v>54</v>
      </c>
      <c r="HY35" s="2163">
        <v>24</v>
      </c>
      <c r="HZ35" s="2201">
        <f>HW35*HX35*HY35/144</f>
        <v>9</v>
      </c>
      <c r="IA35" s="2167">
        <v>1</v>
      </c>
      <c r="IB35" s="2163">
        <v>2.2000000000000002</v>
      </c>
      <c r="IC35" s="2203">
        <v>5.51</v>
      </c>
      <c r="ID35" s="2205">
        <v>8</v>
      </c>
      <c r="IE35" s="2207">
        <v>2</v>
      </c>
      <c r="IF35" s="2192">
        <v>17.391304347826086</v>
      </c>
      <c r="KJ35" s="555" t="s">
        <v>1255</v>
      </c>
      <c r="KK35" s="554">
        <v>7</v>
      </c>
      <c r="KL35" s="554">
        <v>1</v>
      </c>
      <c r="KM35" s="555" t="s">
        <v>1256</v>
      </c>
      <c r="KN35" s="555">
        <v>1</v>
      </c>
      <c r="KO35" s="556" t="s">
        <v>1257</v>
      </c>
      <c r="KP35" s="551" t="s">
        <v>1258</v>
      </c>
      <c r="KQ35" s="555" t="s">
        <v>1259</v>
      </c>
      <c r="KR35" s="555" t="s">
        <v>1241</v>
      </c>
      <c r="KS35" s="555">
        <v>3800</v>
      </c>
      <c r="KT35" s="555" t="s">
        <v>1260</v>
      </c>
      <c r="KU35" s="555">
        <v>0.3</v>
      </c>
      <c r="KV35" s="299">
        <v>2.9</v>
      </c>
      <c r="KW35"/>
      <c r="KY35" s="555" t="s">
        <v>1255</v>
      </c>
      <c r="KZ35" s="555">
        <v>7</v>
      </c>
      <c r="LA35" s="555">
        <v>1</v>
      </c>
      <c r="LB35" s="555" t="s">
        <v>1256</v>
      </c>
      <c r="LC35" s="555">
        <v>1</v>
      </c>
      <c r="LD35" s="556" t="s">
        <v>1257</v>
      </c>
      <c r="LE35" s="299" t="s">
        <v>1246</v>
      </c>
      <c r="LF35" s="555" t="s">
        <v>1259</v>
      </c>
      <c r="LG35" s="555" t="s">
        <v>1241</v>
      </c>
      <c r="LH35" s="558">
        <v>3000</v>
      </c>
      <c r="LI35" s="555" t="s">
        <v>1260</v>
      </c>
      <c r="LJ35" s="555">
        <v>0.3</v>
      </c>
      <c r="LK35" s="299">
        <v>2.5</v>
      </c>
    </row>
    <row r="36" spans="61:323" ht="17.25" thickBot="1">
      <c r="BI36" s="429" t="s">
        <v>436</v>
      </c>
      <c r="BJ36" s="391">
        <v>1828.8</v>
      </c>
      <c r="BK36" s="391">
        <v>762</v>
      </c>
      <c r="BL36" s="394">
        <f t="shared" si="11"/>
        <v>1.3935455999999999</v>
      </c>
      <c r="BM36" s="414">
        <f t="shared" si="12"/>
        <v>2787.0911999999998</v>
      </c>
      <c r="BN36" s="414">
        <f t="shared" si="13"/>
        <v>3483.8639999999996</v>
      </c>
      <c r="BO36" s="1946" t="s">
        <v>779</v>
      </c>
      <c r="BP36" s="1947"/>
      <c r="BQ36" s="421" t="s">
        <v>436</v>
      </c>
      <c r="BR36" s="357"/>
      <c r="BS36" s="2020" t="s">
        <v>780</v>
      </c>
      <c r="BT36" s="2021"/>
      <c r="BU36" s="2021"/>
      <c r="BV36" s="2021" t="s">
        <v>778</v>
      </c>
      <c r="BW36" s="2021"/>
      <c r="BX36" s="469">
        <v>2200</v>
      </c>
      <c r="BY36" s="335"/>
      <c r="BZ36" s="344"/>
      <c r="CB36" s="429" t="s">
        <v>436</v>
      </c>
      <c r="CC36" s="391">
        <v>72</v>
      </c>
      <c r="CD36" s="391">
        <v>30</v>
      </c>
      <c r="CE36" s="392">
        <f t="shared" si="14"/>
        <v>15</v>
      </c>
      <c r="CF36" s="414">
        <f t="shared" si="15"/>
        <v>7500</v>
      </c>
      <c r="CG36" s="414">
        <f t="shared" si="16"/>
        <v>7950</v>
      </c>
      <c r="CH36" s="1946" t="s">
        <v>779</v>
      </c>
      <c r="CI36" s="1947"/>
      <c r="CJ36" s="421" t="s">
        <v>436</v>
      </c>
      <c r="CK36" s="357"/>
      <c r="CL36" s="2020" t="s">
        <v>780</v>
      </c>
      <c r="CM36" s="2021"/>
      <c r="CN36" s="2021"/>
      <c r="CO36" s="2021" t="s">
        <v>778</v>
      </c>
      <c r="CP36" s="2021"/>
      <c r="CQ36" s="469">
        <v>2200</v>
      </c>
      <c r="CW36" s="410">
        <v>30</v>
      </c>
      <c r="CX36" s="462" t="s">
        <v>939</v>
      </c>
      <c r="CY36" s="390" t="s">
        <v>706</v>
      </c>
      <c r="CZ36" s="412">
        <v>4</v>
      </c>
      <c r="DA36" s="390">
        <v>76</v>
      </c>
      <c r="DB36" s="463">
        <v>65</v>
      </c>
      <c r="DC36" s="391">
        <v>4</v>
      </c>
      <c r="DD36" s="392">
        <v>137.22222222222223</v>
      </c>
      <c r="DE36" s="391">
        <v>12</v>
      </c>
      <c r="DF36" s="391">
        <v>4</v>
      </c>
      <c r="DG36" s="414">
        <v>900</v>
      </c>
      <c r="DH36" s="411">
        <v>4</v>
      </c>
      <c r="DI36" s="433">
        <v>99</v>
      </c>
      <c r="DJ36" s="197">
        <v>84</v>
      </c>
      <c r="DK36" s="391">
        <v>1</v>
      </c>
      <c r="DL36" s="415">
        <v>57.75</v>
      </c>
      <c r="DM36" s="391">
        <v>12</v>
      </c>
      <c r="DN36" s="391">
        <v>6</v>
      </c>
      <c r="DO36" s="411">
        <v>32000</v>
      </c>
      <c r="EZ36" s="2172"/>
      <c r="FA36" s="2175"/>
      <c r="FB36" s="470" t="s">
        <v>977</v>
      </c>
      <c r="FC36" s="471"/>
      <c r="FD36" s="2177"/>
      <c r="FE36" s="2179"/>
      <c r="FF36" s="2181"/>
      <c r="FG36" s="2183"/>
      <c r="FH36" s="2170"/>
      <c r="FI36" s="2168"/>
      <c r="FJ36" s="2164"/>
      <c r="FK36" s="2162"/>
      <c r="FL36" s="2162"/>
      <c r="FM36" s="2166"/>
      <c r="FN36" s="2168"/>
      <c r="FO36" s="2164"/>
      <c r="FP36" s="2162"/>
      <c r="FQ36" s="2164"/>
      <c r="FR36" s="2166"/>
      <c r="FS36" s="2168"/>
      <c r="FT36" s="2164"/>
      <c r="FU36" s="2164"/>
      <c r="FV36" s="2164"/>
      <c r="FW36" s="2164"/>
      <c r="FX36" s="2202"/>
      <c r="FY36" s="2168"/>
      <c r="FZ36" s="2164"/>
      <c r="GA36" s="2164"/>
      <c r="GB36" s="2164"/>
      <c r="GC36" s="2164"/>
      <c r="GD36" s="2164"/>
      <c r="GE36" s="2164"/>
      <c r="GF36" s="2202"/>
      <c r="GG36" s="2168"/>
      <c r="GH36" s="2164"/>
      <c r="GI36" s="2204"/>
      <c r="GJ36" s="2206"/>
      <c r="GK36" s="2208"/>
      <c r="GL36" s="2193"/>
      <c r="GT36" s="2172"/>
      <c r="GU36" s="2175"/>
      <c r="GV36" s="470" t="s">
        <v>977</v>
      </c>
      <c r="GW36" s="471"/>
      <c r="GX36" s="2177"/>
      <c r="GY36" s="2179"/>
      <c r="GZ36" s="2181"/>
      <c r="HA36" s="2183"/>
      <c r="HB36" s="2170"/>
      <c r="HC36" s="2168"/>
      <c r="HD36" s="2164"/>
      <c r="HE36" s="2162"/>
      <c r="HF36" s="2162"/>
      <c r="HG36" s="2166"/>
      <c r="HH36" s="2168"/>
      <c r="HI36" s="2164"/>
      <c r="HJ36" s="2162"/>
      <c r="HK36" s="2164"/>
      <c r="HL36" s="2166"/>
      <c r="HM36" s="2168"/>
      <c r="HN36" s="2164"/>
      <c r="HO36" s="2164"/>
      <c r="HP36" s="2164"/>
      <c r="HQ36" s="2164"/>
      <c r="HR36" s="2202"/>
      <c r="HS36" s="2168"/>
      <c r="HT36" s="2164"/>
      <c r="HU36" s="2164"/>
      <c r="HV36" s="2164"/>
      <c r="HW36" s="2164"/>
      <c r="HX36" s="2164"/>
      <c r="HY36" s="2164"/>
      <c r="HZ36" s="2202"/>
      <c r="IA36" s="2168"/>
      <c r="IB36" s="2164"/>
      <c r="IC36" s="2204"/>
      <c r="ID36" s="2206"/>
      <c r="IE36" s="2208"/>
      <c r="IF36" s="2193"/>
      <c r="KJ36" s="555" t="s">
        <v>1261</v>
      </c>
      <c r="KK36" s="554">
        <v>7</v>
      </c>
      <c r="KL36" s="554">
        <v>1</v>
      </c>
      <c r="KM36" s="299" t="s">
        <v>1262</v>
      </c>
      <c r="KN36" s="299">
        <v>1</v>
      </c>
      <c r="KO36" s="299" t="s">
        <v>1263</v>
      </c>
      <c r="KP36" s="551" t="s">
        <v>1258</v>
      </c>
      <c r="KQ36" s="555" t="s">
        <v>1264</v>
      </c>
      <c r="KR36" s="555" t="s">
        <v>1254</v>
      </c>
      <c r="KS36" s="555">
        <v>3800</v>
      </c>
      <c r="KT36" s="555" t="s">
        <v>1265</v>
      </c>
      <c r="KU36" s="555" t="s">
        <v>1266</v>
      </c>
      <c r="KV36" s="299">
        <v>6.4</v>
      </c>
      <c r="KW36"/>
      <c r="KY36" s="555" t="s">
        <v>1261</v>
      </c>
      <c r="KZ36" s="555">
        <v>7</v>
      </c>
      <c r="LA36" s="555">
        <v>1</v>
      </c>
      <c r="LB36" s="299" t="s">
        <v>1262</v>
      </c>
      <c r="LC36" s="299">
        <v>1</v>
      </c>
      <c r="LD36" s="299" t="s">
        <v>1263</v>
      </c>
      <c r="LE36" s="299" t="s">
        <v>1246</v>
      </c>
      <c r="LF36" s="555" t="s">
        <v>1264</v>
      </c>
      <c r="LG36" s="555" t="s">
        <v>1254</v>
      </c>
      <c r="LH36" s="555">
        <v>3800</v>
      </c>
      <c r="LI36" s="555" t="s">
        <v>1265</v>
      </c>
      <c r="LJ36" s="555" t="s">
        <v>1266</v>
      </c>
      <c r="LK36" s="299">
        <v>6.8</v>
      </c>
    </row>
    <row r="37" spans="61:323" ht="17.25" thickBot="1">
      <c r="BI37" s="455" t="s">
        <v>437</v>
      </c>
      <c r="BJ37" s="436">
        <v>1828.8</v>
      </c>
      <c r="BK37" s="436">
        <v>1016</v>
      </c>
      <c r="BL37" s="439">
        <f>BJ37*BK37/1000000</f>
        <v>1.8580608000000001</v>
      </c>
      <c r="BM37" s="456">
        <f>BL37*2*1000</f>
        <v>3716.1215999999999</v>
      </c>
      <c r="BN37" s="456">
        <f>BL37*2.5*1000</f>
        <v>4645.152</v>
      </c>
      <c r="BO37" s="2022" t="s">
        <v>781</v>
      </c>
      <c r="BP37" s="2023"/>
      <c r="BQ37" s="472" t="s">
        <v>437</v>
      </c>
      <c r="BR37" s="357"/>
      <c r="BS37" s="357"/>
      <c r="BT37" s="357"/>
      <c r="BU37" s="357"/>
      <c r="BV37" s="357"/>
      <c r="BW37" s="357"/>
      <c r="BX37" s="357"/>
      <c r="BY37" s="357"/>
      <c r="BZ37" s="473"/>
      <c r="CB37" s="455" t="s">
        <v>437</v>
      </c>
      <c r="CC37" s="436">
        <v>72</v>
      </c>
      <c r="CD37" s="436">
        <v>40</v>
      </c>
      <c r="CE37" s="437">
        <f t="shared" si="14"/>
        <v>20</v>
      </c>
      <c r="CF37" s="456">
        <f t="shared" si="15"/>
        <v>10000</v>
      </c>
      <c r="CG37" s="456">
        <f t="shared" si="16"/>
        <v>10600</v>
      </c>
      <c r="CH37" s="2022" t="s">
        <v>781</v>
      </c>
      <c r="CI37" s="2023"/>
      <c r="CJ37" s="472" t="s">
        <v>437</v>
      </c>
      <c r="CK37" s="357"/>
      <c r="CL37" s="357"/>
      <c r="CM37" s="357"/>
      <c r="CN37" s="357"/>
      <c r="CO37" s="357"/>
      <c r="CP37" s="357"/>
      <c r="CQ37" s="357"/>
      <c r="CW37" s="410">
        <v>31</v>
      </c>
      <c r="CX37" s="411" t="s">
        <v>940</v>
      </c>
      <c r="CY37" s="390" t="s">
        <v>711</v>
      </c>
      <c r="CZ37" s="412" t="s">
        <v>941</v>
      </c>
      <c r="DA37" s="390">
        <v>76</v>
      </c>
      <c r="DB37" s="391">
        <v>57</v>
      </c>
      <c r="DC37" s="391">
        <v>6</v>
      </c>
      <c r="DD37" s="392">
        <v>180.5</v>
      </c>
      <c r="DE37" s="391">
        <v>12</v>
      </c>
      <c r="DF37" s="391">
        <v>4</v>
      </c>
      <c r="DG37" s="414">
        <v>900</v>
      </c>
      <c r="DH37" s="411">
        <v>6</v>
      </c>
      <c r="DI37" s="433">
        <v>147</v>
      </c>
      <c r="DJ37" s="197">
        <v>84</v>
      </c>
      <c r="DK37" s="391">
        <v>1</v>
      </c>
      <c r="DL37" s="415">
        <v>85.75</v>
      </c>
      <c r="DM37" s="391">
        <v>12</v>
      </c>
      <c r="DN37" s="391">
        <v>4</v>
      </c>
      <c r="DO37" s="411">
        <v>36000</v>
      </c>
      <c r="EZ37" s="2172"/>
      <c r="FA37" s="2175"/>
      <c r="FB37" s="470" t="s">
        <v>1048</v>
      </c>
      <c r="FC37" s="471"/>
      <c r="FD37" s="2177"/>
      <c r="FE37" s="2179"/>
      <c r="FF37" s="2181"/>
      <c r="FG37" s="2183"/>
      <c r="FH37" s="2170"/>
      <c r="FI37" s="2168"/>
      <c r="FJ37" s="2164"/>
      <c r="FK37" s="2162"/>
      <c r="FL37" s="2162"/>
      <c r="FM37" s="2166"/>
      <c r="FN37" s="2168"/>
      <c r="FO37" s="2164"/>
      <c r="FP37" s="2162"/>
      <c r="FQ37" s="2164"/>
      <c r="FR37" s="2166"/>
      <c r="FS37" s="2168"/>
      <c r="FT37" s="2164"/>
      <c r="FU37" s="2164"/>
      <c r="FV37" s="2164"/>
      <c r="FW37" s="2164"/>
      <c r="FX37" s="2202"/>
      <c r="FY37" s="2168"/>
      <c r="FZ37" s="2164"/>
      <c r="GA37" s="2164"/>
      <c r="GB37" s="2164"/>
      <c r="GC37" s="2164"/>
      <c r="GD37" s="2164"/>
      <c r="GE37" s="2164"/>
      <c r="GF37" s="2202"/>
      <c r="GG37" s="2168"/>
      <c r="GH37" s="2164"/>
      <c r="GI37" s="2204"/>
      <c r="GJ37" s="2206"/>
      <c r="GK37" s="2208"/>
      <c r="GL37" s="2193"/>
      <c r="GT37" s="2172"/>
      <c r="GU37" s="2175"/>
      <c r="GV37" s="470" t="s">
        <v>1048</v>
      </c>
      <c r="GW37" s="471"/>
      <c r="GX37" s="2177"/>
      <c r="GY37" s="2179"/>
      <c r="GZ37" s="2181"/>
      <c r="HA37" s="2183"/>
      <c r="HB37" s="2170"/>
      <c r="HC37" s="2168"/>
      <c r="HD37" s="2164"/>
      <c r="HE37" s="2162"/>
      <c r="HF37" s="2162"/>
      <c r="HG37" s="2166"/>
      <c r="HH37" s="2168"/>
      <c r="HI37" s="2164"/>
      <c r="HJ37" s="2162"/>
      <c r="HK37" s="2164"/>
      <c r="HL37" s="2166"/>
      <c r="HM37" s="2168"/>
      <c r="HN37" s="2164"/>
      <c r="HO37" s="2164"/>
      <c r="HP37" s="2164"/>
      <c r="HQ37" s="2164"/>
      <c r="HR37" s="2202"/>
      <c r="HS37" s="2168"/>
      <c r="HT37" s="2164"/>
      <c r="HU37" s="2164"/>
      <c r="HV37" s="2164"/>
      <c r="HW37" s="2164"/>
      <c r="HX37" s="2164"/>
      <c r="HY37" s="2164"/>
      <c r="HZ37" s="2202"/>
      <c r="IA37" s="2168"/>
      <c r="IB37" s="2164"/>
      <c r="IC37" s="2204"/>
      <c r="ID37" s="2206"/>
      <c r="IE37" s="2208"/>
      <c r="IF37" s="2193"/>
      <c r="KJ37" s="555" t="s">
        <v>1267</v>
      </c>
      <c r="KK37" s="554">
        <v>12</v>
      </c>
      <c r="KL37" s="554">
        <v>1</v>
      </c>
      <c r="KM37" s="299" t="s">
        <v>1262</v>
      </c>
      <c r="KN37" s="299">
        <v>1</v>
      </c>
      <c r="KO37" s="299" t="s">
        <v>1268</v>
      </c>
      <c r="KP37" s="551" t="s">
        <v>1269</v>
      </c>
      <c r="KQ37" s="555" t="s">
        <v>1270</v>
      </c>
      <c r="KR37" s="555" t="s">
        <v>1241</v>
      </c>
      <c r="KS37" s="555">
        <v>4800</v>
      </c>
      <c r="KT37" s="555" t="s">
        <v>1265</v>
      </c>
      <c r="KU37" s="555" t="s">
        <v>1266</v>
      </c>
      <c r="KV37" s="299">
        <v>6.4</v>
      </c>
      <c r="KW37"/>
      <c r="KY37" s="555" t="s">
        <v>1267</v>
      </c>
      <c r="KZ37" s="555">
        <v>12</v>
      </c>
      <c r="LA37" s="555">
        <v>1</v>
      </c>
      <c r="LB37" s="299" t="s">
        <v>1262</v>
      </c>
      <c r="LC37" s="299">
        <v>1</v>
      </c>
      <c r="LD37" s="299" t="s">
        <v>1268</v>
      </c>
      <c r="LE37" s="299" t="s">
        <v>1275</v>
      </c>
      <c r="LF37" s="555" t="s">
        <v>1270</v>
      </c>
      <c r="LG37" s="555" t="s">
        <v>1241</v>
      </c>
      <c r="LH37" s="555">
        <v>4800</v>
      </c>
      <c r="LI37" s="555" t="s">
        <v>1265</v>
      </c>
      <c r="LJ37" s="555" t="s">
        <v>1266</v>
      </c>
      <c r="LK37" s="299">
        <v>6.8</v>
      </c>
    </row>
    <row r="38" spans="61:323" ht="66.75" thickBot="1">
      <c r="BI38" s="357"/>
      <c r="BJ38" s="357"/>
      <c r="BK38" s="357"/>
      <c r="BL38" s="357"/>
      <c r="BM38" s="357"/>
      <c r="BN38" s="357"/>
      <c r="BO38" s="357"/>
      <c r="BP38" s="357"/>
      <c r="BQ38" s="357"/>
      <c r="BR38" s="357"/>
      <c r="BS38" s="357"/>
      <c r="BT38" s="357"/>
      <c r="BU38" s="357"/>
      <c r="BV38" s="357"/>
      <c r="BW38" s="357"/>
      <c r="BX38" s="357"/>
      <c r="BY38" s="357"/>
      <c r="BZ38" s="473"/>
      <c r="CB38" s="357"/>
      <c r="CC38" s="357"/>
      <c r="CD38" s="357"/>
      <c r="CE38" s="357"/>
      <c r="CF38" s="357"/>
      <c r="CG38" s="357"/>
      <c r="CH38" s="357"/>
      <c r="CI38" s="357"/>
      <c r="CJ38" s="357"/>
      <c r="CK38" s="357"/>
      <c r="CL38" s="357"/>
      <c r="CM38" s="357"/>
      <c r="CN38" s="357"/>
      <c r="CO38" s="357"/>
      <c r="CP38" s="357"/>
      <c r="CQ38" s="357"/>
      <c r="CW38" s="410">
        <v>32</v>
      </c>
      <c r="CX38" s="462" t="s">
        <v>942</v>
      </c>
      <c r="CY38" s="390" t="s">
        <v>711</v>
      </c>
      <c r="CZ38" s="412" t="s">
        <v>943</v>
      </c>
      <c r="DA38" s="390">
        <v>76</v>
      </c>
      <c r="DB38" s="463" t="s">
        <v>944</v>
      </c>
      <c r="DC38" s="463" t="s">
        <v>941</v>
      </c>
      <c r="DD38" s="392">
        <v>197.38888888888889</v>
      </c>
      <c r="DE38" s="391">
        <v>12</v>
      </c>
      <c r="DF38" s="391">
        <v>4</v>
      </c>
      <c r="DG38" s="414">
        <v>900</v>
      </c>
      <c r="DH38" s="411">
        <v>6</v>
      </c>
      <c r="DI38" s="433">
        <v>147</v>
      </c>
      <c r="DJ38" s="197">
        <v>84</v>
      </c>
      <c r="DK38" s="391">
        <v>1</v>
      </c>
      <c r="DL38" s="415">
        <v>85.75</v>
      </c>
      <c r="DM38" s="391">
        <v>12</v>
      </c>
      <c r="DN38" s="391">
        <v>6</v>
      </c>
      <c r="DO38" s="411">
        <v>40000</v>
      </c>
      <c r="EZ38" s="2172"/>
      <c r="FA38" s="2175"/>
      <c r="FB38" s="470" t="s">
        <v>1049</v>
      </c>
      <c r="FC38" s="471" t="s">
        <v>1050</v>
      </c>
      <c r="FD38" s="2177"/>
      <c r="FE38" s="2179"/>
      <c r="FF38" s="2181"/>
      <c r="FG38" s="2183"/>
      <c r="FH38" s="2170"/>
      <c r="FI38" s="2168"/>
      <c r="FJ38" s="2164"/>
      <c r="FK38" s="2162"/>
      <c r="FL38" s="2162"/>
      <c r="FM38" s="2166"/>
      <c r="FN38" s="2168"/>
      <c r="FO38" s="2164"/>
      <c r="FP38" s="2162"/>
      <c r="FQ38" s="2164"/>
      <c r="FR38" s="2166"/>
      <c r="FS38" s="2168"/>
      <c r="FT38" s="2164"/>
      <c r="FU38" s="2164"/>
      <c r="FV38" s="2164"/>
      <c r="FW38" s="2164"/>
      <c r="FX38" s="2202"/>
      <c r="FY38" s="2168"/>
      <c r="FZ38" s="2164"/>
      <c r="GA38" s="2164"/>
      <c r="GB38" s="2164"/>
      <c r="GC38" s="2164"/>
      <c r="GD38" s="2164"/>
      <c r="GE38" s="2164"/>
      <c r="GF38" s="2202"/>
      <c r="GG38" s="2168"/>
      <c r="GH38" s="2164"/>
      <c r="GI38" s="2204"/>
      <c r="GJ38" s="2206"/>
      <c r="GK38" s="2208"/>
      <c r="GL38" s="2193"/>
      <c r="GT38" s="2172"/>
      <c r="GU38" s="2175"/>
      <c r="GV38" s="470" t="s">
        <v>1049</v>
      </c>
      <c r="GW38" s="471" t="s">
        <v>1050</v>
      </c>
      <c r="GX38" s="2177"/>
      <c r="GY38" s="2179"/>
      <c r="GZ38" s="2181"/>
      <c r="HA38" s="2183"/>
      <c r="HB38" s="2170"/>
      <c r="HC38" s="2168"/>
      <c r="HD38" s="2164"/>
      <c r="HE38" s="2162"/>
      <c r="HF38" s="2162"/>
      <c r="HG38" s="2166"/>
      <c r="HH38" s="2168"/>
      <c r="HI38" s="2164"/>
      <c r="HJ38" s="2162"/>
      <c r="HK38" s="2164"/>
      <c r="HL38" s="2166"/>
      <c r="HM38" s="2168"/>
      <c r="HN38" s="2164"/>
      <c r="HO38" s="2164"/>
      <c r="HP38" s="2164"/>
      <c r="HQ38" s="2164"/>
      <c r="HR38" s="2202"/>
      <c r="HS38" s="2168"/>
      <c r="HT38" s="2164"/>
      <c r="HU38" s="2164"/>
      <c r="HV38" s="2164"/>
      <c r="HW38" s="2164"/>
      <c r="HX38" s="2164"/>
      <c r="HY38" s="2164"/>
      <c r="HZ38" s="2202"/>
      <c r="IA38" s="2168"/>
      <c r="IB38" s="2164"/>
      <c r="IC38" s="2204"/>
      <c r="ID38" s="2206"/>
      <c r="IE38" s="2208"/>
      <c r="IF38" s="2193"/>
      <c r="KJ38"/>
      <c r="KK38"/>
      <c r="KL38"/>
      <c r="KM38"/>
      <c r="KN38"/>
      <c r="KO38"/>
      <c r="KP38"/>
      <c r="KQ38"/>
      <c r="KR38"/>
      <c r="KS38"/>
      <c r="KT38"/>
      <c r="KU38"/>
      <c r="KV38"/>
      <c r="KW38"/>
    </row>
    <row r="39" spans="61:323" ht="18.75" thickBot="1">
      <c r="BI39" s="2024" t="s">
        <v>782</v>
      </c>
      <c r="BJ39" s="474" t="s">
        <v>1194</v>
      </c>
      <c r="BK39" s="474"/>
      <c r="BL39" s="474"/>
      <c r="BM39" s="474"/>
      <c r="BN39" s="475" t="s">
        <v>783</v>
      </c>
      <c r="BO39" s="476"/>
      <c r="BP39" s="477" t="s">
        <v>784</v>
      </c>
      <c r="BQ39" s="477" t="s">
        <v>785</v>
      </c>
      <c r="BR39" s="357"/>
      <c r="BS39" s="1999" t="s">
        <v>734</v>
      </c>
      <c r="BT39" s="2000"/>
      <c r="BU39" s="2000"/>
      <c r="BV39" s="2000" t="s">
        <v>786</v>
      </c>
      <c r="BW39" s="2001"/>
      <c r="BX39" s="357"/>
      <c r="BY39" s="357"/>
      <c r="BZ39" s="473"/>
      <c r="CB39" s="2024" t="s">
        <v>782</v>
      </c>
      <c r="CC39" s="474" t="s">
        <v>1195</v>
      </c>
      <c r="CD39" s="474"/>
      <c r="CE39" s="474"/>
      <c r="CF39" s="474"/>
      <c r="CG39" s="475" t="s">
        <v>869</v>
      </c>
      <c r="CH39" s="476"/>
      <c r="CI39" s="477" t="s">
        <v>784</v>
      </c>
      <c r="CJ39" s="477" t="s">
        <v>785</v>
      </c>
      <c r="CK39" s="357"/>
      <c r="CL39" s="1999" t="s">
        <v>734</v>
      </c>
      <c r="CM39" s="2000"/>
      <c r="CN39" s="2000"/>
      <c r="CO39" s="2000" t="s">
        <v>870</v>
      </c>
      <c r="CP39" s="2001"/>
      <c r="CQ39" s="357"/>
      <c r="CW39" s="410">
        <v>33</v>
      </c>
      <c r="CX39" s="462" t="s">
        <v>945</v>
      </c>
      <c r="CY39" s="390" t="s">
        <v>938</v>
      </c>
      <c r="CZ39" s="412" t="s">
        <v>941</v>
      </c>
      <c r="DA39" s="390">
        <v>76</v>
      </c>
      <c r="DB39" s="463">
        <v>65</v>
      </c>
      <c r="DC39" s="391">
        <v>6</v>
      </c>
      <c r="DD39" s="392">
        <v>205.83333333333334</v>
      </c>
      <c r="DE39" s="391">
        <v>12</v>
      </c>
      <c r="DF39" s="391">
        <v>4</v>
      </c>
      <c r="DG39" s="414">
        <v>900</v>
      </c>
      <c r="DH39" s="411">
        <v>6</v>
      </c>
      <c r="DI39" s="433">
        <v>147</v>
      </c>
      <c r="DJ39" s="197">
        <v>84</v>
      </c>
      <c r="DK39" s="391">
        <v>1</v>
      </c>
      <c r="DL39" s="415">
        <v>85.75</v>
      </c>
      <c r="DM39" s="391">
        <v>12</v>
      </c>
      <c r="DN39" s="391">
        <v>6</v>
      </c>
      <c r="DO39" s="411">
        <v>44000</v>
      </c>
      <c r="EZ39" s="2172"/>
      <c r="FA39" s="2175">
        <v>9</v>
      </c>
      <c r="FB39" s="470" t="s">
        <v>521</v>
      </c>
      <c r="FC39" s="471"/>
      <c r="FD39" s="2177" t="s">
        <v>1009</v>
      </c>
      <c r="FE39" s="2179" t="s">
        <v>1028</v>
      </c>
      <c r="FF39" s="2181">
        <v>45.341111111111111</v>
      </c>
      <c r="FG39" s="2183">
        <v>60</v>
      </c>
      <c r="FH39" s="2170">
        <v>1</v>
      </c>
      <c r="FI39" s="2168" t="s">
        <v>1051</v>
      </c>
      <c r="FJ39" s="2164">
        <v>10</v>
      </c>
      <c r="FK39" s="2162">
        <v>20</v>
      </c>
      <c r="FL39" s="2162">
        <v>125</v>
      </c>
      <c r="FM39" s="2166">
        <v>1</v>
      </c>
      <c r="FN39" s="2168">
        <v>800</v>
      </c>
      <c r="FO39" s="2164">
        <v>2.2000000000000002</v>
      </c>
      <c r="FP39" s="2162">
        <v>3.8</v>
      </c>
      <c r="FQ39" s="2164">
        <v>1200</v>
      </c>
      <c r="FR39" s="2166">
        <v>1</v>
      </c>
      <c r="FS39" s="2168">
        <v>3</v>
      </c>
      <c r="FT39" s="2164">
        <v>12</v>
      </c>
      <c r="FU39" s="2164">
        <v>1</v>
      </c>
      <c r="FV39" s="2164">
        <v>54</v>
      </c>
      <c r="FW39" s="2164">
        <v>48</v>
      </c>
      <c r="FX39" s="2202">
        <f>FU39*FV39*FW39/144</f>
        <v>18</v>
      </c>
      <c r="FY39" s="2168">
        <v>4000</v>
      </c>
      <c r="FZ39" s="2164">
        <v>1</v>
      </c>
      <c r="GA39" s="2164">
        <v>4</v>
      </c>
      <c r="GB39" s="2164">
        <v>12</v>
      </c>
      <c r="GC39" s="2164">
        <v>1</v>
      </c>
      <c r="GD39" s="2164">
        <v>54</v>
      </c>
      <c r="GE39" s="2164">
        <v>24</v>
      </c>
      <c r="GF39" s="2202">
        <f>GC39*GD39*GE39/144</f>
        <v>9</v>
      </c>
      <c r="GG39" s="2168">
        <v>1</v>
      </c>
      <c r="GH39" s="2164">
        <v>3</v>
      </c>
      <c r="GI39" s="2204">
        <v>5.43</v>
      </c>
      <c r="GJ39" s="2206">
        <v>9</v>
      </c>
      <c r="GK39" s="2208">
        <v>2</v>
      </c>
      <c r="GL39" s="2193">
        <f>((GJ39*1000)/GK39)/270</f>
        <v>16.666666666666668</v>
      </c>
      <c r="GT39" s="2172"/>
      <c r="GU39" s="2175">
        <v>9</v>
      </c>
      <c r="GV39" s="470" t="s">
        <v>521</v>
      </c>
      <c r="GW39" s="471"/>
      <c r="GX39" s="2177" t="s">
        <v>1009</v>
      </c>
      <c r="GY39" s="2179" t="s">
        <v>1100</v>
      </c>
      <c r="GZ39" s="2181">
        <v>50.653478260869562</v>
      </c>
      <c r="HA39" s="2183">
        <v>70</v>
      </c>
      <c r="HB39" s="2170">
        <v>1</v>
      </c>
      <c r="HC39" s="2168" t="s">
        <v>1051</v>
      </c>
      <c r="HD39" s="2164">
        <v>10</v>
      </c>
      <c r="HE39" s="2162">
        <v>20</v>
      </c>
      <c r="HF39" s="2162">
        <v>125</v>
      </c>
      <c r="HG39" s="2166">
        <v>1</v>
      </c>
      <c r="HH39" s="2168">
        <v>800</v>
      </c>
      <c r="HI39" s="2164">
        <v>2.2000000000000002</v>
      </c>
      <c r="HJ39" s="2162">
        <v>5.51</v>
      </c>
      <c r="HK39" s="2164">
        <v>1200</v>
      </c>
      <c r="HL39" s="2166">
        <v>1</v>
      </c>
      <c r="HM39" s="2168">
        <v>3</v>
      </c>
      <c r="HN39" s="2164">
        <v>12</v>
      </c>
      <c r="HO39" s="2164">
        <v>1</v>
      </c>
      <c r="HP39" s="2164">
        <v>54</v>
      </c>
      <c r="HQ39" s="2164">
        <v>48</v>
      </c>
      <c r="HR39" s="2202">
        <f>HO39*HP39*HQ39/144</f>
        <v>18</v>
      </c>
      <c r="HS39" s="2168">
        <v>4000</v>
      </c>
      <c r="HT39" s="2164">
        <v>1</v>
      </c>
      <c r="HU39" s="2164">
        <v>4</v>
      </c>
      <c r="HV39" s="2164">
        <v>12</v>
      </c>
      <c r="HW39" s="2164">
        <v>1</v>
      </c>
      <c r="HX39" s="2164">
        <v>54</v>
      </c>
      <c r="HY39" s="2164">
        <v>24</v>
      </c>
      <c r="HZ39" s="2202">
        <f>HW39*HX39*HY39/144</f>
        <v>9</v>
      </c>
      <c r="IA39" s="2168">
        <v>1</v>
      </c>
      <c r="IB39" s="2164">
        <v>3</v>
      </c>
      <c r="IC39" s="2204">
        <v>7.1</v>
      </c>
      <c r="ID39" s="2206">
        <v>9</v>
      </c>
      <c r="IE39" s="2208">
        <v>2</v>
      </c>
      <c r="IF39" s="2193">
        <v>19.565217391304348</v>
      </c>
      <c r="KJ39"/>
      <c r="KK39"/>
      <c r="KL39"/>
      <c r="KM39"/>
      <c r="KN39"/>
      <c r="KO39"/>
      <c r="KP39"/>
      <c r="KQ39"/>
      <c r="KR39"/>
      <c r="KS39"/>
      <c r="KT39"/>
      <c r="KU39"/>
      <c r="KV39"/>
      <c r="KW39"/>
    </row>
    <row r="40" spans="61:323" ht="18">
      <c r="BI40" s="2025"/>
      <c r="BJ40" s="480" t="s">
        <v>1196</v>
      </c>
      <c r="BK40" s="480"/>
      <c r="BL40" s="480"/>
      <c r="BM40" s="480"/>
      <c r="BN40" s="481" t="s">
        <v>783</v>
      </c>
      <c r="BO40" s="476"/>
      <c r="BP40" s="482" t="s">
        <v>787</v>
      </c>
      <c r="BQ40" s="2026"/>
      <c r="BR40" s="357"/>
      <c r="BS40" s="2002" t="s">
        <v>788</v>
      </c>
      <c r="BT40" s="2003"/>
      <c r="BU40" s="2003"/>
      <c r="BV40" s="2003">
        <v>650</v>
      </c>
      <c r="BW40" s="2006"/>
      <c r="BX40" s="357"/>
      <c r="BY40" s="357"/>
      <c r="BZ40" s="473"/>
      <c r="CB40" s="2025"/>
      <c r="CC40" s="480" t="s">
        <v>1197</v>
      </c>
      <c r="CD40" s="480"/>
      <c r="CE40" s="480"/>
      <c r="CF40" s="480"/>
      <c r="CG40" s="481" t="s">
        <v>869</v>
      </c>
      <c r="CH40" s="476"/>
      <c r="CI40" s="482" t="s">
        <v>787</v>
      </c>
      <c r="CJ40" s="2026"/>
      <c r="CK40" s="357"/>
      <c r="CL40" s="2002" t="s">
        <v>788</v>
      </c>
      <c r="CM40" s="2003"/>
      <c r="CN40" s="2003"/>
      <c r="CO40" s="2003">
        <v>2.6</v>
      </c>
      <c r="CP40" s="2006"/>
      <c r="CQ40" s="357"/>
      <c r="CW40" s="410">
        <v>34</v>
      </c>
      <c r="CX40" s="462" t="s">
        <v>946</v>
      </c>
      <c r="CY40" s="390" t="s">
        <v>706</v>
      </c>
      <c r="CZ40" s="412">
        <v>6</v>
      </c>
      <c r="DA40" s="390">
        <v>76</v>
      </c>
      <c r="DB40" s="463">
        <v>65</v>
      </c>
      <c r="DC40" s="391">
        <v>6</v>
      </c>
      <c r="DD40" s="392">
        <v>205.83333333333334</v>
      </c>
      <c r="DE40" s="391">
        <v>12</v>
      </c>
      <c r="DF40" s="391">
        <v>4</v>
      </c>
      <c r="DG40" s="414">
        <v>900</v>
      </c>
      <c r="DH40" s="411">
        <v>6</v>
      </c>
      <c r="DI40" s="433">
        <v>147</v>
      </c>
      <c r="DJ40" s="197">
        <v>84</v>
      </c>
      <c r="DK40" s="391">
        <v>1</v>
      </c>
      <c r="DL40" s="415">
        <v>85.75</v>
      </c>
      <c r="DM40" s="391">
        <v>12</v>
      </c>
      <c r="DN40" s="391">
        <v>6</v>
      </c>
      <c r="DO40" s="411">
        <v>48000</v>
      </c>
      <c r="EZ40" s="2172"/>
      <c r="FA40" s="2175"/>
      <c r="FB40" s="470" t="s">
        <v>978</v>
      </c>
      <c r="FC40" s="471"/>
      <c r="FD40" s="2177"/>
      <c r="FE40" s="2179"/>
      <c r="FF40" s="2181"/>
      <c r="FG40" s="2183"/>
      <c r="FH40" s="2170"/>
      <c r="FI40" s="2168"/>
      <c r="FJ40" s="2164"/>
      <c r="FK40" s="2162"/>
      <c r="FL40" s="2162"/>
      <c r="FM40" s="2166"/>
      <c r="FN40" s="2168"/>
      <c r="FO40" s="2164"/>
      <c r="FP40" s="2162"/>
      <c r="FQ40" s="2164"/>
      <c r="FR40" s="2166"/>
      <c r="FS40" s="2168"/>
      <c r="FT40" s="2164"/>
      <c r="FU40" s="2164"/>
      <c r="FV40" s="2164"/>
      <c r="FW40" s="2164"/>
      <c r="FX40" s="2202"/>
      <c r="FY40" s="2168"/>
      <c r="FZ40" s="2164"/>
      <c r="GA40" s="2164"/>
      <c r="GB40" s="2164"/>
      <c r="GC40" s="2164"/>
      <c r="GD40" s="2164"/>
      <c r="GE40" s="2164"/>
      <c r="GF40" s="2202"/>
      <c r="GG40" s="2168"/>
      <c r="GH40" s="2164"/>
      <c r="GI40" s="2204"/>
      <c r="GJ40" s="2206"/>
      <c r="GK40" s="2208"/>
      <c r="GL40" s="2193"/>
      <c r="GT40" s="2172"/>
      <c r="GU40" s="2175"/>
      <c r="GV40" s="470" t="s">
        <v>978</v>
      </c>
      <c r="GW40" s="471"/>
      <c r="GX40" s="2177"/>
      <c r="GY40" s="2179"/>
      <c r="GZ40" s="2181"/>
      <c r="HA40" s="2183"/>
      <c r="HB40" s="2170"/>
      <c r="HC40" s="2168"/>
      <c r="HD40" s="2164"/>
      <c r="HE40" s="2162"/>
      <c r="HF40" s="2162"/>
      <c r="HG40" s="2166"/>
      <c r="HH40" s="2168"/>
      <c r="HI40" s="2164"/>
      <c r="HJ40" s="2162"/>
      <c r="HK40" s="2164"/>
      <c r="HL40" s="2166"/>
      <c r="HM40" s="2168"/>
      <c r="HN40" s="2164"/>
      <c r="HO40" s="2164"/>
      <c r="HP40" s="2164"/>
      <c r="HQ40" s="2164"/>
      <c r="HR40" s="2202"/>
      <c r="HS40" s="2168"/>
      <c r="HT40" s="2164"/>
      <c r="HU40" s="2164"/>
      <c r="HV40" s="2164"/>
      <c r="HW40" s="2164"/>
      <c r="HX40" s="2164"/>
      <c r="HY40" s="2164"/>
      <c r="HZ40" s="2202"/>
      <c r="IA40" s="2168"/>
      <c r="IB40" s="2164"/>
      <c r="IC40" s="2204"/>
      <c r="ID40" s="2206"/>
      <c r="IE40" s="2208"/>
      <c r="IF40" s="2193"/>
      <c r="KJ40"/>
      <c r="KK40"/>
      <c r="KL40"/>
      <c r="KM40"/>
      <c r="KN40"/>
      <c r="KO40"/>
      <c r="KP40"/>
      <c r="KQ40"/>
      <c r="KR40"/>
      <c r="KS40"/>
      <c r="KT40"/>
      <c r="KU40"/>
      <c r="KV40"/>
      <c r="KW40"/>
    </row>
    <row r="41" spans="61:323" ht="17.25" thickBot="1">
      <c r="BI41" s="483" t="s">
        <v>789</v>
      </c>
      <c r="BJ41" s="484" t="s">
        <v>790</v>
      </c>
      <c r="BK41" s="484"/>
      <c r="BL41" s="484"/>
      <c r="BM41" s="484"/>
      <c r="BN41" s="485" t="s">
        <v>783</v>
      </c>
      <c r="BO41" s="476"/>
      <c r="BP41" s="411" t="s">
        <v>791</v>
      </c>
      <c r="BQ41" s="2026"/>
      <c r="BR41" s="357"/>
      <c r="BS41" s="1929" t="s">
        <v>792</v>
      </c>
      <c r="BT41" s="1928"/>
      <c r="BU41" s="1928"/>
      <c r="BV41" s="1928">
        <v>900</v>
      </c>
      <c r="BW41" s="2007"/>
      <c r="BX41" s="357"/>
      <c r="BY41" s="357"/>
      <c r="BZ41" s="473"/>
      <c r="CB41" s="483" t="s">
        <v>789</v>
      </c>
      <c r="CC41" s="484" t="s">
        <v>871</v>
      </c>
      <c r="CD41" s="484"/>
      <c r="CE41" s="484"/>
      <c r="CF41" s="484"/>
      <c r="CG41" s="485" t="s">
        <v>869</v>
      </c>
      <c r="CH41" s="476"/>
      <c r="CI41" s="411" t="s">
        <v>791</v>
      </c>
      <c r="CJ41" s="2026"/>
      <c r="CK41" s="357"/>
      <c r="CL41" s="1929" t="s">
        <v>792</v>
      </c>
      <c r="CM41" s="1928"/>
      <c r="CN41" s="1928"/>
      <c r="CO41" s="1928">
        <v>3.6</v>
      </c>
      <c r="CP41" s="2007"/>
      <c r="CQ41" s="357"/>
      <c r="CW41" s="486">
        <v>35</v>
      </c>
      <c r="CX41" s="487" t="s">
        <v>947</v>
      </c>
      <c r="CY41" s="435" t="s">
        <v>938</v>
      </c>
      <c r="CZ41" s="488" t="s">
        <v>725</v>
      </c>
      <c r="DA41" s="435">
        <v>76</v>
      </c>
      <c r="DB41" s="489">
        <v>65</v>
      </c>
      <c r="DC41" s="436">
        <v>8</v>
      </c>
      <c r="DD41" s="437">
        <v>274.44444444444446</v>
      </c>
      <c r="DE41" s="490">
        <v>12</v>
      </c>
      <c r="DF41" s="491">
        <v>4</v>
      </c>
      <c r="DG41" s="456">
        <v>900</v>
      </c>
      <c r="DH41" s="469">
        <v>8</v>
      </c>
      <c r="DI41" s="492">
        <v>99</v>
      </c>
      <c r="DJ41" s="491">
        <v>84</v>
      </c>
      <c r="DK41" s="436">
        <v>2</v>
      </c>
      <c r="DL41" s="493">
        <v>115.5</v>
      </c>
      <c r="DM41" s="436">
        <v>12</v>
      </c>
      <c r="DN41" s="491">
        <v>6</v>
      </c>
      <c r="DO41" s="488">
        <v>60000</v>
      </c>
      <c r="EZ41" s="2172"/>
      <c r="FA41" s="2175"/>
      <c r="FB41" s="470" t="s">
        <v>1052</v>
      </c>
      <c r="FC41" s="471"/>
      <c r="FD41" s="2177"/>
      <c r="FE41" s="2179"/>
      <c r="FF41" s="2181"/>
      <c r="FG41" s="2183"/>
      <c r="FH41" s="2170"/>
      <c r="FI41" s="2168"/>
      <c r="FJ41" s="2164"/>
      <c r="FK41" s="2162"/>
      <c r="FL41" s="2162"/>
      <c r="FM41" s="2166"/>
      <c r="FN41" s="2168"/>
      <c r="FO41" s="2164"/>
      <c r="FP41" s="2162"/>
      <c r="FQ41" s="2164"/>
      <c r="FR41" s="2166"/>
      <c r="FS41" s="2168"/>
      <c r="FT41" s="2164"/>
      <c r="FU41" s="2164"/>
      <c r="FV41" s="2164"/>
      <c r="FW41" s="2164"/>
      <c r="FX41" s="2202"/>
      <c r="FY41" s="2168"/>
      <c r="FZ41" s="2164"/>
      <c r="GA41" s="2164"/>
      <c r="GB41" s="2164"/>
      <c r="GC41" s="2164"/>
      <c r="GD41" s="2164"/>
      <c r="GE41" s="2164"/>
      <c r="GF41" s="2202"/>
      <c r="GG41" s="2168"/>
      <c r="GH41" s="2164"/>
      <c r="GI41" s="2204"/>
      <c r="GJ41" s="2206"/>
      <c r="GK41" s="2208"/>
      <c r="GL41" s="2193"/>
      <c r="GT41" s="2172"/>
      <c r="GU41" s="2175"/>
      <c r="GV41" s="470" t="s">
        <v>1052</v>
      </c>
      <c r="GW41" s="471"/>
      <c r="GX41" s="2177"/>
      <c r="GY41" s="2179"/>
      <c r="GZ41" s="2181"/>
      <c r="HA41" s="2183"/>
      <c r="HB41" s="2170"/>
      <c r="HC41" s="2168"/>
      <c r="HD41" s="2164"/>
      <c r="HE41" s="2162"/>
      <c r="HF41" s="2162"/>
      <c r="HG41" s="2166"/>
      <c r="HH41" s="2168"/>
      <c r="HI41" s="2164"/>
      <c r="HJ41" s="2162"/>
      <c r="HK41" s="2164"/>
      <c r="HL41" s="2166"/>
      <c r="HM41" s="2168"/>
      <c r="HN41" s="2164"/>
      <c r="HO41" s="2164"/>
      <c r="HP41" s="2164"/>
      <c r="HQ41" s="2164"/>
      <c r="HR41" s="2202"/>
      <c r="HS41" s="2168"/>
      <c r="HT41" s="2164"/>
      <c r="HU41" s="2164"/>
      <c r="HV41" s="2164"/>
      <c r="HW41" s="2164"/>
      <c r="HX41" s="2164"/>
      <c r="HY41" s="2164"/>
      <c r="HZ41" s="2202"/>
      <c r="IA41" s="2168"/>
      <c r="IB41" s="2164"/>
      <c r="IC41" s="2204"/>
      <c r="ID41" s="2206"/>
      <c r="IE41" s="2208"/>
      <c r="IF41" s="2193"/>
      <c r="KJ41"/>
      <c r="KK41"/>
      <c r="KL41"/>
      <c r="KM41"/>
      <c r="KN41"/>
      <c r="KO41"/>
      <c r="KP41"/>
      <c r="KQ41"/>
      <c r="KR41"/>
      <c r="KS41"/>
      <c r="KT41"/>
      <c r="KU41"/>
      <c r="KV41"/>
      <c r="KW41"/>
    </row>
    <row r="42" spans="61:323" ht="66.75" thickBot="1">
      <c r="BI42" s="357"/>
      <c r="BJ42" s="357"/>
      <c r="BK42" s="357"/>
      <c r="BL42" s="357"/>
      <c r="BM42" s="357"/>
      <c r="BN42" s="357"/>
      <c r="BO42" s="357"/>
      <c r="BP42" s="411" t="s">
        <v>793</v>
      </c>
      <c r="BQ42" s="2026"/>
      <c r="BR42" s="357"/>
      <c r="BS42" s="1929" t="s">
        <v>794</v>
      </c>
      <c r="BT42" s="1928"/>
      <c r="BU42" s="1928"/>
      <c r="BV42" s="1928">
        <v>1250</v>
      </c>
      <c r="BW42" s="2007"/>
      <c r="BX42" s="357"/>
      <c r="BY42" s="357"/>
      <c r="BZ42" s="473"/>
      <c r="CB42" s="357"/>
      <c r="CC42" s="357"/>
      <c r="CD42" s="357"/>
      <c r="CE42" s="357"/>
      <c r="CF42" s="357"/>
      <c r="CG42" s="357"/>
      <c r="CH42" s="357"/>
      <c r="CI42" s="411" t="s">
        <v>793</v>
      </c>
      <c r="CJ42" s="2026"/>
      <c r="CK42" s="357"/>
      <c r="CL42" s="1929" t="s">
        <v>794</v>
      </c>
      <c r="CM42" s="1928"/>
      <c r="CN42" s="1928"/>
      <c r="CO42" s="1928">
        <v>5</v>
      </c>
      <c r="CP42" s="2007"/>
      <c r="CQ42" s="357"/>
      <c r="EZ42" s="2173"/>
      <c r="FA42" s="2194"/>
      <c r="FB42" s="494" t="s">
        <v>1053</v>
      </c>
      <c r="FC42" s="495" t="s">
        <v>1054</v>
      </c>
      <c r="FD42" s="2195"/>
      <c r="FE42" s="2196"/>
      <c r="FF42" s="2197"/>
      <c r="FG42" s="2198"/>
      <c r="FH42" s="2199"/>
      <c r="FI42" s="2200"/>
      <c r="FJ42" s="2191"/>
      <c r="FK42" s="2190"/>
      <c r="FL42" s="2190"/>
      <c r="FM42" s="2235"/>
      <c r="FN42" s="2200"/>
      <c r="FO42" s="2191"/>
      <c r="FP42" s="2190"/>
      <c r="FQ42" s="2191"/>
      <c r="FR42" s="2235"/>
      <c r="FS42" s="2200"/>
      <c r="FT42" s="2191"/>
      <c r="FU42" s="2191"/>
      <c r="FV42" s="2191"/>
      <c r="FW42" s="2191"/>
      <c r="FX42" s="2233"/>
      <c r="FY42" s="2200"/>
      <c r="FZ42" s="2191"/>
      <c r="GA42" s="2191"/>
      <c r="GB42" s="2191"/>
      <c r="GC42" s="2191"/>
      <c r="GD42" s="2191"/>
      <c r="GE42" s="2191"/>
      <c r="GF42" s="2233"/>
      <c r="GG42" s="2200"/>
      <c r="GH42" s="2191"/>
      <c r="GI42" s="2234"/>
      <c r="GJ42" s="2209"/>
      <c r="GK42" s="2210"/>
      <c r="GL42" s="2211"/>
      <c r="GT42" s="2173"/>
      <c r="GU42" s="2194"/>
      <c r="GV42" s="494" t="s">
        <v>1053</v>
      </c>
      <c r="GW42" s="495" t="s">
        <v>1054</v>
      </c>
      <c r="GX42" s="2195"/>
      <c r="GY42" s="2196"/>
      <c r="GZ42" s="2197"/>
      <c r="HA42" s="2198"/>
      <c r="HB42" s="2199"/>
      <c r="HC42" s="2200"/>
      <c r="HD42" s="2191"/>
      <c r="HE42" s="2190"/>
      <c r="HF42" s="2190"/>
      <c r="HG42" s="2235"/>
      <c r="HH42" s="2200"/>
      <c r="HI42" s="2191"/>
      <c r="HJ42" s="2190"/>
      <c r="HK42" s="2191"/>
      <c r="HL42" s="2235"/>
      <c r="HM42" s="2200"/>
      <c r="HN42" s="2191"/>
      <c r="HO42" s="2191"/>
      <c r="HP42" s="2191"/>
      <c r="HQ42" s="2191"/>
      <c r="HR42" s="2233"/>
      <c r="HS42" s="2200"/>
      <c r="HT42" s="2191"/>
      <c r="HU42" s="2191"/>
      <c r="HV42" s="2191"/>
      <c r="HW42" s="2191"/>
      <c r="HX42" s="2191"/>
      <c r="HY42" s="2191"/>
      <c r="HZ42" s="2233"/>
      <c r="IA42" s="2200"/>
      <c r="IB42" s="2191"/>
      <c r="IC42" s="2234"/>
      <c r="ID42" s="2209"/>
      <c r="IE42" s="2210"/>
      <c r="IF42" s="2211"/>
      <c r="KJ42"/>
      <c r="KK42"/>
      <c r="KL42"/>
      <c r="KM42"/>
      <c r="KN42"/>
      <c r="KO42"/>
      <c r="KP42"/>
      <c r="KQ42"/>
      <c r="KR42"/>
      <c r="KS42"/>
      <c r="KT42"/>
      <c r="KU42"/>
      <c r="KV42"/>
      <c r="KW42"/>
    </row>
    <row r="43" spans="61:323" ht="17.25" thickBot="1">
      <c r="BI43" s="496" t="s">
        <v>795</v>
      </c>
      <c r="BJ43" s="497">
        <f>492.174/2.5</f>
        <v>196.86959999999999</v>
      </c>
      <c r="BK43" s="498" t="s">
        <v>796</v>
      </c>
      <c r="BL43" s="2015" t="s">
        <v>797</v>
      </c>
      <c r="BM43" s="2016"/>
      <c r="BN43" s="1992"/>
      <c r="BO43" s="499"/>
      <c r="BP43" s="411" t="s">
        <v>798</v>
      </c>
      <c r="BQ43" s="2026"/>
      <c r="BR43" s="357"/>
      <c r="BS43" s="1997" t="s">
        <v>799</v>
      </c>
      <c r="BT43" s="1998"/>
      <c r="BU43" s="1998"/>
      <c r="BV43" s="1998" t="s">
        <v>800</v>
      </c>
      <c r="BW43" s="2019"/>
      <c r="BX43" s="357"/>
      <c r="BY43" s="357"/>
      <c r="BZ43" s="473"/>
      <c r="CB43" s="496" t="s">
        <v>795</v>
      </c>
      <c r="CC43" s="497">
        <f>492.174/2.5</f>
        <v>196.86959999999999</v>
      </c>
      <c r="CD43" s="498" t="s">
        <v>796</v>
      </c>
      <c r="CE43" s="2015" t="s">
        <v>872</v>
      </c>
      <c r="CF43" s="2016"/>
      <c r="CG43" s="1992"/>
      <c r="CH43" s="499"/>
      <c r="CI43" s="411" t="s">
        <v>798</v>
      </c>
      <c r="CJ43" s="2026"/>
      <c r="CK43" s="357"/>
      <c r="CL43" s="1997" t="s">
        <v>799</v>
      </c>
      <c r="CM43" s="1998"/>
      <c r="CN43" s="1998"/>
      <c r="CO43" s="1998" t="s">
        <v>800</v>
      </c>
      <c r="CP43" s="2019"/>
      <c r="CQ43" s="357"/>
      <c r="EZ43" s="2212">
        <v>4</v>
      </c>
      <c r="FA43" s="2215">
        <v>10</v>
      </c>
      <c r="FB43" s="500" t="s">
        <v>527</v>
      </c>
      <c r="FC43" s="501"/>
      <c r="FD43" s="2218" t="s">
        <v>1009</v>
      </c>
      <c r="FE43" s="2221" t="s">
        <v>1028</v>
      </c>
      <c r="FF43" s="2224">
        <v>72.3</v>
      </c>
      <c r="FG43" s="2227">
        <v>100</v>
      </c>
      <c r="FH43" s="2230">
        <v>1</v>
      </c>
      <c r="FI43" s="2254" t="s">
        <v>1055</v>
      </c>
      <c r="FJ43" s="2236">
        <v>15</v>
      </c>
      <c r="FK43" s="2275">
        <v>30</v>
      </c>
      <c r="FL43" s="2236">
        <v>173</v>
      </c>
      <c r="FM43" s="2278">
        <v>1</v>
      </c>
      <c r="FN43" s="2254">
        <v>800</v>
      </c>
      <c r="FO43" s="2236">
        <v>2.2000000000000002</v>
      </c>
      <c r="FP43" s="2275">
        <v>3.8</v>
      </c>
      <c r="FQ43" s="2275">
        <v>1200</v>
      </c>
      <c r="FR43" s="2278">
        <v>2</v>
      </c>
      <c r="FS43" s="2254">
        <v>3</v>
      </c>
      <c r="FT43" s="2236">
        <v>12</v>
      </c>
      <c r="FU43" s="2236">
        <v>1</v>
      </c>
      <c r="FV43" s="2236">
        <v>76</v>
      </c>
      <c r="FW43" s="2236">
        <v>59</v>
      </c>
      <c r="FX43" s="2251">
        <f>FU43*FV43*FW43/144</f>
        <v>31.138888888888889</v>
      </c>
      <c r="FY43" s="2254">
        <v>6500</v>
      </c>
      <c r="FZ43" s="2236">
        <v>1.5</v>
      </c>
      <c r="GA43" s="2236">
        <v>4</v>
      </c>
      <c r="GB43" s="2236">
        <v>12</v>
      </c>
      <c r="GC43" s="2236">
        <v>1</v>
      </c>
      <c r="GD43" s="2236">
        <v>76</v>
      </c>
      <c r="GE43" s="2236">
        <v>34</v>
      </c>
      <c r="GF43" s="2251">
        <f>GC43*GD43*GE43/144</f>
        <v>17.944444444444443</v>
      </c>
      <c r="GG43" s="2254">
        <v>1</v>
      </c>
      <c r="GH43" s="2236">
        <v>5.5</v>
      </c>
      <c r="GI43" s="2239">
        <v>10</v>
      </c>
      <c r="GJ43" s="2242">
        <v>14</v>
      </c>
      <c r="GK43" s="2245">
        <v>2</v>
      </c>
      <c r="GL43" s="2248">
        <f>((GJ43*1000)/GK43)/270</f>
        <v>25.925925925925927</v>
      </c>
      <c r="GT43" s="2212">
        <v>4</v>
      </c>
      <c r="GU43" s="2215">
        <v>10</v>
      </c>
      <c r="GV43" s="500" t="s">
        <v>527</v>
      </c>
      <c r="GW43" s="501"/>
      <c r="GX43" s="2218" t="s">
        <v>1009</v>
      </c>
      <c r="GY43" s="2221" t="s">
        <v>1100</v>
      </c>
      <c r="GZ43" s="2224">
        <v>77.884855072463765</v>
      </c>
      <c r="HA43" s="2227">
        <v>100</v>
      </c>
      <c r="HB43" s="2230">
        <v>1</v>
      </c>
      <c r="HC43" s="2254" t="s">
        <v>1055</v>
      </c>
      <c r="HD43" s="2236">
        <v>15</v>
      </c>
      <c r="HE43" s="2275">
        <v>30</v>
      </c>
      <c r="HF43" s="2236">
        <v>173</v>
      </c>
      <c r="HG43" s="2278">
        <v>1</v>
      </c>
      <c r="HH43" s="2254">
        <v>800</v>
      </c>
      <c r="HI43" s="2236">
        <v>2.2000000000000002</v>
      </c>
      <c r="HJ43" s="2275">
        <v>5.51</v>
      </c>
      <c r="HK43" s="2275">
        <v>1200</v>
      </c>
      <c r="HL43" s="2278">
        <v>2</v>
      </c>
      <c r="HM43" s="2254">
        <v>3</v>
      </c>
      <c r="HN43" s="2236">
        <v>12</v>
      </c>
      <c r="HO43" s="2236">
        <v>1</v>
      </c>
      <c r="HP43" s="2236">
        <v>76</v>
      </c>
      <c r="HQ43" s="2236">
        <v>59</v>
      </c>
      <c r="HR43" s="2251">
        <f>HO43*HP43*HQ43/144</f>
        <v>31.138888888888889</v>
      </c>
      <c r="HS43" s="2254">
        <v>6500</v>
      </c>
      <c r="HT43" s="2236">
        <v>1.5</v>
      </c>
      <c r="HU43" s="2236">
        <v>4</v>
      </c>
      <c r="HV43" s="2236">
        <v>12</v>
      </c>
      <c r="HW43" s="2236">
        <v>1</v>
      </c>
      <c r="HX43" s="2236">
        <v>76</v>
      </c>
      <c r="HY43" s="2236">
        <v>34</v>
      </c>
      <c r="HZ43" s="2251">
        <f>HW43*HX43*HY43/144</f>
        <v>17.944444444444443</v>
      </c>
      <c r="IA43" s="2254">
        <v>1</v>
      </c>
      <c r="IB43" s="2236">
        <v>5.5</v>
      </c>
      <c r="IC43" s="2239">
        <v>11.7</v>
      </c>
      <c r="ID43" s="2242">
        <v>14</v>
      </c>
      <c r="IE43" s="2245">
        <v>2</v>
      </c>
      <c r="IF43" s="2248">
        <v>30.434782608695652</v>
      </c>
      <c r="KJ43"/>
      <c r="KK43"/>
      <c r="KL43"/>
      <c r="KM43"/>
      <c r="KN43"/>
      <c r="KO43"/>
      <c r="KP43"/>
      <c r="KQ43"/>
      <c r="KR43"/>
      <c r="KS43"/>
      <c r="KT43"/>
      <c r="KU43"/>
      <c r="KV43"/>
      <c r="KW43"/>
    </row>
    <row r="44" spans="61:323" ht="17.25" thickBot="1">
      <c r="BI44" s="502" t="s">
        <v>801</v>
      </c>
      <c r="BJ44" s="503" t="s">
        <v>802</v>
      </c>
      <c r="BK44" s="504" t="s">
        <v>803</v>
      </c>
      <c r="BL44" s="2017"/>
      <c r="BM44" s="2018"/>
      <c r="BN44" s="1996"/>
      <c r="BO44" s="499"/>
      <c r="BP44" s="411" t="s">
        <v>804</v>
      </c>
      <c r="BQ44" s="2026"/>
      <c r="BR44" s="357"/>
      <c r="BS44" s="357"/>
      <c r="BT44" s="357"/>
      <c r="BU44" s="357"/>
      <c r="BV44" s="357"/>
      <c r="BW44" s="357"/>
      <c r="BX44" s="357"/>
      <c r="BY44" s="357"/>
      <c r="BZ44" s="473"/>
      <c r="CB44" s="502" t="s">
        <v>801</v>
      </c>
      <c r="CC44" s="503" t="s">
        <v>802</v>
      </c>
      <c r="CD44" s="504" t="s">
        <v>803</v>
      </c>
      <c r="CE44" s="2017"/>
      <c r="CF44" s="2018"/>
      <c r="CG44" s="1996"/>
      <c r="CH44" s="499"/>
      <c r="CI44" s="411" t="s">
        <v>804</v>
      </c>
      <c r="CJ44" s="2026"/>
      <c r="CK44" s="357"/>
      <c r="CL44" s="357"/>
      <c r="CM44" s="357"/>
      <c r="CN44" s="357"/>
      <c r="CO44" s="357"/>
      <c r="CP44" s="357"/>
      <c r="CQ44" s="357"/>
      <c r="EZ44" s="2213"/>
      <c r="FA44" s="2216"/>
      <c r="FB44" s="505" t="s">
        <v>1056</v>
      </c>
      <c r="FC44" s="506"/>
      <c r="FD44" s="2219"/>
      <c r="FE44" s="2222"/>
      <c r="FF44" s="2225"/>
      <c r="FG44" s="2228"/>
      <c r="FH44" s="2231"/>
      <c r="FI44" s="2255"/>
      <c r="FJ44" s="2237"/>
      <c r="FK44" s="2276"/>
      <c r="FL44" s="2237"/>
      <c r="FM44" s="2279"/>
      <c r="FN44" s="2255"/>
      <c r="FO44" s="2237"/>
      <c r="FP44" s="2276"/>
      <c r="FQ44" s="2276"/>
      <c r="FR44" s="2279"/>
      <c r="FS44" s="2255"/>
      <c r="FT44" s="2237"/>
      <c r="FU44" s="2237"/>
      <c r="FV44" s="2237"/>
      <c r="FW44" s="2237"/>
      <c r="FX44" s="2252"/>
      <c r="FY44" s="2255"/>
      <c r="FZ44" s="2237"/>
      <c r="GA44" s="2237"/>
      <c r="GB44" s="2237"/>
      <c r="GC44" s="2237"/>
      <c r="GD44" s="2237"/>
      <c r="GE44" s="2237"/>
      <c r="GF44" s="2252"/>
      <c r="GG44" s="2255"/>
      <c r="GH44" s="2237"/>
      <c r="GI44" s="2240"/>
      <c r="GJ44" s="2243"/>
      <c r="GK44" s="2246"/>
      <c r="GL44" s="2249"/>
      <c r="GT44" s="2213"/>
      <c r="GU44" s="2216"/>
      <c r="GV44" s="505" t="s">
        <v>1056</v>
      </c>
      <c r="GW44" s="506"/>
      <c r="GX44" s="2219"/>
      <c r="GY44" s="2222"/>
      <c r="GZ44" s="2225"/>
      <c r="HA44" s="2228"/>
      <c r="HB44" s="2231"/>
      <c r="HC44" s="2255"/>
      <c r="HD44" s="2237"/>
      <c r="HE44" s="2276"/>
      <c r="HF44" s="2237"/>
      <c r="HG44" s="2279"/>
      <c r="HH44" s="2255"/>
      <c r="HI44" s="2237"/>
      <c r="HJ44" s="2276"/>
      <c r="HK44" s="2276"/>
      <c r="HL44" s="2279"/>
      <c r="HM44" s="2255"/>
      <c r="HN44" s="2237"/>
      <c r="HO44" s="2237"/>
      <c r="HP44" s="2237"/>
      <c r="HQ44" s="2237"/>
      <c r="HR44" s="2252"/>
      <c r="HS44" s="2255"/>
      <c r="HT44" s="2237"/>
      <c r="HU44" s="2237"/>
      <c r="HV44" s="2237"/>
      <c r="HW44" s="2237"/>
      <c r="HX44" s="2237"/>
      <c r="HY44" s="2237"/>
      <c r="HZ44" s="2252"/>
      <c r="IA44" s="2255"/>
      <c r="IB44" s="2237"/>
      <c r="IC44" s="2240"/>
      <c r="ID44" s="2243"/>
      <c r="IE44" s="2246"/>
      <c r="IF44" s="2249"/>
      <c r="KJ44"/>
      <c r="KK44"/>
      <c r="KL44"/>
      <c r="KM44"/>
      <c r="KN44"/>
      <c r="KO44"/>
      <c r="KP44"/>
      <c r="KQ44"/>
      <c r="KR44"/>
      <c r="KS44"/>
      <c r="KT44"/>
      <c r="KU44"/>
      <c r="KV44"/>
      <c r="KW44"/>
    </row>
    <row r="45" spans="61:323" ht="17.25" thickBot="1">
      <c r="BI45" s="502" t="s">
        <v>805</v>
      </c>
      <c r="BJ45" s="503" t="s">
        <v>802</v>
      </c>
      <c r="BK45" s="504" t="s">
        <v>806</v>
      </c>
      <c r="BL45" s="357"/>
      <c r="BM45" s="357"/>
      <c r="BN45" s="357"/>
      <c r="BO45" s="357"/>
      <c r="BP45" s="411" t="s">
        <v>807</v>
      </c>
      <c r="BQ45" s="2026"/>
      <c r="BR45" s="357"/>
      <c r="BS45" s="1999" t="s">
        <v>808</v>
      </c>
      <c r="BT45" s="2000"/>
      <c r="BU45" s="2000"/>
      <c r="BV45" s="2000"/>
      <c r="BW45" s="2001"/>
      <c r="BX45" s="357"/>
      <c r="BY45" s="357"/>
      <c r="BZ45" s="473"/>
      <c r="CB45" s="502" t="s">
        <v>805</v>
      </c>
      <c r="CC45" s="503" t="s">
        <v>802</v>
      </c>
      <c r="CD45" s="504" t="s">
        <v>806</v>
      </c>
      <c r="CE45" s="357"/>
      <c r="CF45" s="357"/>
      <c r="CG45" s="357"/>
      <c r="CH45" s="357"/>
      <c r="CI45" s="411" t="s">
        <v>807</v>
      </c>
      <c r="CJ45" s="2026"/>
      <c r="CK45" s="357"/>
      <c r="CL45" s="1999" t="s">
        <v>808</v>
      </c>
      <c r="CM45" s="2000"/>
      <c r="CN45" s="2000"/>
      <c r="CO45" s="2000"/>
      <c r="CP45" s="2001"/>
      <c r="CQ45" s="357"/>
      <c r="EZ45" s="2213"/>
      <c r="FA45" s="2216"/>
      <c r="FB45" s="505" t="s">
        <v>1057</v>
      </c>
      <c r="FC45" s="506"/>
      <c r="FD45" s="2219"/>
      <c r="FE45" s="2222"/>
      <c r="FF45" s="2225"/>
      <c r="FG45" s="2228"/>
      <c r="FH45" s="2231"/>
      <c r="FI45" s="2255"/>
      <c r="FJ45" s="2237"/>
      <c r="FK45" s="2276"/>
      <c r="FL45" s="2237"/>
      <c r="FM45" s="2279"/>
      <c r="FN45" s="2255"/>
      <c r="FO45" s="2237"/>
      <c r="FP45" s="2276"/>
      <c r="FQ45" s="2276"/>
      <c r="FR45" s="2279"/>
      <c r="FS45" s="2255"/>
      <c r="FT45" s="2237"/>
      <c r="FU45" s="2237"/>
      <c r="FV45" s="2237"/>
      <c r="FW45" s="2237"/>
      <c r="FX45" s="2252"/>
      <c r="FY45" s="2255"/>
      <c r="FZ45" s="2237"/>
      <c r="GA45" s="2237"/>
      <c r="GB45" s="2237"/>
      <c r="GC45" s="2237"/>
      <c r="GD45" s="2237"/>
      <c r="GE45" s="2237"/>
      <c r="GF45" s="2252"/>
      <c r="GG45" s="2255"/>
      <c r="GH45" s="2237"/>
      <c r="GI45" s="2240"/>
      <c r="GJ45" s="2243"/>
      <c r="GK45" s="2246"/>
      <c r="GL45" s="2249"/>
      <c r="GT45" s="2213"/>
      <c r="GU45" s="2216"/>
      <c r="GV45" s="505" t="s">
        <v>1057</v>
      </c>
      <c r="GW45" s="506"/>
      <c r="GX45" s="2219"/>
      <c r="GY45" s="2222"/>
      <c r="GZ45" s="2225"/>
      <c r="HA45" s="2228"/>
      <c r="HB45" s="2231"/>
      <c r="HC45" s="2255"/>
      <c r="HD45" s="2237"/>
      <c r="HE45" s="2276"/>
      <c r="HF45" s="2237"/>
      <c r="HG45" s="2279"/>
      <c r="HH45" s="2255"/>
      <c r="HI45" s="2237"/>
      <c r="HJ45" s="2276"/>
      <c r="HK45" s="2276"/>
      <c r="HL45" s="2279"/>
      <c r="HM45" s="2255"/>
      <c r="HN45" s="2237"/>
      <c r="HO45" s="2237"/>
      <c r="HP45" s="2237"/>
      <c r="HQ45" s="2237"/>
      <c r="HR45" s="2252"/>
      <c r="HS45" s="2255"/>
      <c r="HT45" s="2237"/>
      <c r="HU45" s="2237"/>
      <c r="HV45" s="2237"/>
      <c r="HW45" s="2237"/>
      <c r="HX45" s="2237"/>
      <c r="HY45" s="2237"/>
      <c r="HZ45" s="2252"/>
      <c r="IA45" s="2255"/>
      <c r="IB45" s="2237"/>
      <c r="IC45" s="2240"/>
      <c r="ID45" s="2243"/>
      <c r="IE45" s="2246"/>
      <c r="IF45" s="2249"/>
      <c r="KJ45"/>
      <c r="KK45"/>
      <c r="KL45"/>
      <c r="KM45"/>
      <c r="KN45"/>
      <c r="KO45"/>
      <c r="KP45"/>
      <c r="KQ45"/>
      <c r="KR45"/>
      <c r="KS45"/>
      <c r="KT45"/>
      <c r="KU45"/>
      <c r="KV45"/>
      <c r="KW45"/>
    </row>
    <row r="46" spans="61:323" ht="66.75" thickBot="1">
      <c r="BI46" s="357"/>
      <c r="BJ46" s="357"/>
      <c r="BK46" s="357"/>
      <c r="BL46" s="357"/>
      <c r="BM46" s="357"/>
      <c r="BN46" s="357"/>
      <c r="BO46" s="357"/>
      <c r="BP46" s="411" t="s">
        <v>809</v>
      </c>
      <c r="BQ46" s="2002"/>
      <c r="BR46" s="357"/>
      <c r="BS46" s="2002" t="s">
        <v>788</v>
      </c>
      <c r="BT46" s="2003"/>
      <c r="BU46" s="2003"/>
      <c r="BV46" s="2003" t="s">
        <v>810</v>
      </c>
      <c r="BW46" s="2006"/>
      <c r="BX46" s="357"/>
      <c r="BY46" s="357"/>
      <c r="BZ46" s="473"/>
      <c r="CB46" s="357"/>
      <c r="CC46" s="357"/>
      <c r="CD46" s="357"/>
      <c r="CE46" s="357"/>
      <c r="CF46" s="357"/>
      <c r="CG46" s="357"/>
      <c r="CH46" s="357"/>
      <c r="CI46" s="411" t="s">
        <v>809</v>
      </c>
      <c r="CJ46" s="2002"/>
      <c r="CK46" s="357"/>
      <c r="CL46" s="2002" t="s">
        <v>788</v>
      </c>
      <c r="CM46" s="2003"/>
      <c r="CN46" s="2003"/>
      <c r="CO46" s="2003" t="s">
        <v>810</v>
      </c>
      <c r="CP46" s="2006"/>
      <c r="CQ46" s="357"/>
      <c r="EZ46" s="2214"/>
      <c r="FA46" s="2217"/>
      <c r="FB46" s="507" t="s">
        <v>1058</v>
      </c>
      <c r="FC46" s="508" t="s">
        <v>1059</v>
      </c>
      <c r="FD46" s="2220"/>
      <c r="FE46" s="2223"/>
      <c r="FF46" s="2226"/>
      <c r="FG46" s="2229"/>
      <c r="FH46" s="2232"/>
      <c r="FI46" s="2256"/>
      <c r="FJ46" s="2238"/>
      <c r="FK46" s="2277"/>
      <c r="FL46" s="2238"/>
      <c r="FM46" s="2280"/>
      <c r="FN46" s="2256"/>
      <c r="FO46" s="2238"/>
      <c r="FP46" s="2277"/>
      <c r="FQ46" s="2277"/>
      <c r="FR46" s="2280"/>
      <c r="FS46" s="2256"/>
      <c r="FT46" s="2238"/>
      <c r="FU46" s="2238"/>
      <c r="FV46" s="2238"/>
      <c r="FW46" s="2238"/>
      <c r="FX46" s="2253"/>
      <c r="FY46" s="2256"/>
      <c r="FZ46" s="2238"/>
      <c r="GA46" s="2238"/>
      <c r="GB46" s="2238"/>
      <c r="GC46" s="2238"/>
      <c r="GD46" s="2238"/>
      <c r="GE46" s="2238"/>
      <c r="GF46" s="2253"/>
      <c r="GG46" s="2256"/>
      <c r="GH46" s="2238"/>
      <c r="GI46" s="2241"/>
      <c r="GJ46" s="2244"/>
      <c r="GK46" s="2247"/>
      <c r="GL46" s="2250"/>
      <c r="GT46" s="2214"/>
      <c r="GU46" s="2217"/>
      <c r="GV46" s="507" t="s">
        <v>1058</v>
      </c>
      <c r="GW46" s="508" t="s">
        <v>1059</v>
      </c>
      <c r="GX46" s="2220"/>
      <c r="GY46" s="2223"/>
      <c r="GZ46" s="2226"/>
      <c r="HA46" s="2229"/>
      <c r="HB46" s="2232"/>
      <c r="HC46" s="2256"/>
      <c r="HD46" s="2238"/>
      <c r="HE46" s="2277"/>
      <c r="HF46" s="2238"/>
      <c r="HG46" s="2280"/>
      <c r="HH46" s="2256"/>
      <c r="HI46" s="2238"/>
      <c r="HJ46" s="2277"/>
      <c r="HK46" s="2277"/>
      <c r="HL46" s="2280"/>
      <c r="HM46" s="2256"/>
      <c r="HN46" s="2238"/>
      <c r="HO46" s="2238"/>
      <c r="HP46" s="2238"/>
      <c r="HQ46" s="2238"/>
      <c r="HR46" s="2253"/>
      <c r="HS46" s="2256"/>
      <c r="HT46" s="2238"/>
      <c r="HU46" s="2238"/>
      <c r="HV46" s="2238"/>
      <c r="HW46" s="2238"/>
      <c r="HX46" s="2238"/>
      <c r="HY46" s="2238"/>
      <c r="HZ46" s="2253"/>
      <c r="IA46" s="2256"/>
      <c r="IB46" s="2238"/>
      <c r="IC46" s="2241"/>
      <c r="ID46" s="2244"/>
      <c r="IE46" s="2247"/>
      <c r="IF46" s="2250"/>
      <c r="KJ46"/>
      <c r="KK46"/>
      <c r="KL46"/>
      <c r="KM46"/>
      <c r="KN46"/>
      <c r="KO46"/>
      <c r="KP46"/>
      <c r="KQ46"/>
      <c r="KR46"/>
      <c r="KS46"/>
      <c r="KT46"/>
      <c r="KU46"/>
      <c r="KV46"/>
      <c r="KW46"/>
      <c r="KX46"/>
      <c r="KY46"/>
      <c r="KZ46"/>
      <c r="LA46"/>
      <c r="LB46"/>
      <c r="LC46"/>
      <c r="LD46"/>
      <c r="LE46"/>
      <c r="LF46"/>
      <c r="LG46"/>
      <c r="LH46"/>
      <c r="LI46"/>
      <c r="LJ46"/>
    </row>
    <row r="47" spans="61:323" ht="17.25" thickBot="1">
      <c r="BI47" s="1999" t="s">
        <v>811</v>
      </c>
      <c r="BJ47" s="2000"/>
      <c r="BK47" s="461" t="s">
        <v>0</v>
      </c>
      <c r="BL47" s="461" t="s">
        <v>812</v>
      </c>
      <c r="BM47" s="479" t="s">
        <v>813</v>
      </c>
      <c r="BN47" s="479" t="s">
        <v>814</v>
      </c>
      <c r="BO47" s="335"/>
      <c r="BP47" s="469" t="s">
        <v>815</v>
      </c>
      <c r="BQ47" s="435" t="s">
        <v>816</v>
      </c>
      <c r="BR47" s="357"/>
      <c r="BS47" s="1929"/>
      <c r="BT47" s="1928"/>
      <c r="BU47" s="1928"/>
      <c r="BV47" s="1928" t="s">
        <v>817</v>
      </c>
      <c r="BW47" s="2007"/>
      <c r="BX47" s="357"/>
      <c r="BY47" s="357"/>
      <c r="BZ47" s="473"/>
      <c r="CB47" s="1999" t="s">
        <v>811</v>
      </c>
      <c r="CC47" s="2000"/>
      <c r="CD47" s="461" t="s">
        <v>0</v>
      </c>
      <c r="CE47" s="461" t="s">
        <v>873</v>
      </c>
      <c r="CF47" s="479" t="s">
        <v>813</v>
      </c>
      <c r="CG47" s="479" t="s">
        <v>814</v>
      </c>
      <c r="CH47" s="335"/>
      <c r="CI47" s="469" t="s">
        <v>815</v>
      </c>
      <c r="CJ47" s="435" t="s">
        <v>816</v>
      </c>
      <c r="CK47" s="357"/>
      <c r="CL47" s="1929"/>
      <c r="CM47" s="1928"/>
      <c r="CN47" s="1928"/>
      <c r="CO47" s="1928" t="s">
        <v>817</v>
      </c>
      <c r="CP47" s="2007"/>
      <c r="CQ47" s="357"/>
      <c r="EZ47" s="2265">
        <v>5</v>
      </c>
      <c r="FA47" s="2267">
        <v>11</v>
      </c>
      <c r="FB47" s="509" t="s">
        <v>529</v>
      </c>
      <c r="FC47" s="510"/>
      <c r="FD47" s="2263" t="s">
        <v>1009</v>
      </c>
      <c r="FE47" s="2269" t="s">
        <v>1028</v>
      </c>
      <c r="FF47" s="2271">
        <v>91.3</v>
      </c>
      <c r="FG47" s="2273">
        <v>110</v>
      </c>
      <c r="FH47" s="2263">
        <v>2</v>
      </c>
      <c r="FI47" s="2261" t="s">
        <v>1051</v>
      </c>
      <c r="FJ47" s="2257">
        <v>10</v>
      </c>
      <c r="FK47" s="2257">
        <v>20</v>
      </c>
      <c r="FL47" s="2257">
        <v>125</v>
      </c>
      <c r="FM47" s="2259">
        <v>2</v>
      </c>
      <c r="FN47" s="2261">
        <v>800</v>
      </c>
      <c r="FO47" s="2257">
        <v>2.2000000000000002</v>
      </c>
      <c r="FP47" s="2257">
        <v>3.8</v>
      </c>
      <c r="FQ47" s="2257">
        <v>1200</v>
      </c>
      <c r="FR47" s="2259">
        <v>2</v>
      </c>
      <c r="FS47" s="2261">
        <v>3</v>
      </c>
      <c r="FT47" s="2257">
        <v>12</v>
      </c>
      <c r="FU47" s="2257">
        <v>1</v>
      </c>
      <c r="FV47" s="2257">
        <v>76</v>
      </c>
      <c r="FW47" s="2257">
        <v>59</v>
      </c>
      <c r="FX47" s="2284">
        <v>31.1</v>
      </c>
      <c r="FY47" s="2261">
        <v>9000</v>
      </c>
      <c r="FZ47" s="2257">
        <v>2</v>
      </c>
      <c r="GA47" s="2257">
        <v>4</v>
      </c>
      <c r="GB47" s="2257">
        <v>12</v>
      </c>
      <c r="GC47" s="2257">
        <v>1</v>
      </c>
      <c r="GD47" s="2257">
        <v>76</v>
      </c>
      <c r="GE47" s="2257">
        <v>34</v>
      </c>
      <c r="GF47" s="2284">
        <f>GC47*GD47*GE47/144</f>
        <v>17.944444444444443</v>
      </c>
      <c r="GG47" s="2261">
        <v>1</v>
      </c>
      <c r="GH47" s="2257">
        <v>9</v>
      </c>
      <c r="GI47" s="2284">
        <v>16.5</v>
      </c>
      <c r="GJ47" s="2296">
        <v>18</v>
      </c>
      <c r="GK47" s="2257">
        <v>3</v>
      </c>
      <c r="GL47" s="2284">
        <f>((GJ47*1000)/GK47)/270</f>
        <v>22.222222222222221</v>
      </c>
      <c r="GT47" s="2265">
        <v>5</v>
      </c>
      <c r="GU47" s="2267">
        <v>11</v>
      </c>
      <c r="GV47" s="509" t="s">
        <v>529</v>
      </c>
      <c r="GW47" s="510"/>
      <c r="GX47" s="2263" t="s">
        <v>1009</v>
      </c>
      <c r="GY47" s="2269" t="s">
        <v>1100</v>
      </c>
      <c r="GZ47" s="2271">
        <v>100.30695652173912</v>
      </c>
      <c r="HA47" s="2273">
        <v>110</v>
      </c>
      <c r="HB47" s="2263">
        <v>2</v>
      </c>
      <c r="HC47" s="2261" t="s">
        <v>1051</v>
      </c>
      <c r="HD47" s="2257">
        <v>10</v>
      </c>
      <c r="HE47" s="2257">
        <v>20</v>
      </c>
      <c r="HF47" s="2257">
        <v>125</v>
      </c>
      <c r="HG47" s="2259">
        <v>2</v>
      </c>
      <c r="HH47" s="2261">
        <v>800</v>
      </c>
      <c r="HI47" s="2257">
        <v>2.2000000000000002</v>
      </c>
      <c r="HJ47" s="2257">
        <v>5.51</v>
      </c>
      <c r="HK47" s="2257">
        <v>1200</v>
      </c>
      <c r="HL47" s="2259">
        <v>2</v>
      </c>
      <c r="HM47" s="2261">
        <v>3</v>
      </c>
      <c r="HN47" s="2257">
        <v>12</v>
      </c>
      <c r="HO47" s="2257">
        <v>1</v>
      </c>
      <c r="HP47" s="2257">
        <v>76</v>
      </c>
      <c r="HQ47" s="2257">
        <v>59</v>
      </c>
      <c r="HR47" s="2284">
        <v>31.1</v>
      </c>
      <c r="HS47" s="2261">
        <v>9000</v>
      </c>
      <c r="HT47" s="2257">
        <v>2</v>
      </c>
      <c r="HU47" s="2257">
        <v>4</v>
      </c>
      <c r="HV47" s="2257">
        <v>12</v>
      </c>
      <c r="HW47" s="2257">
        <v>1</v>
      </c>
      <c r="HX47" s="2257">
        <v>76</v>
      </c>
      <c r="HY47" s="2257">
        <v>34</v>
      </c>
      <c r="HZ47" s="2284">
        <f>HW47*HX47*HY47/144</f>
        <v>17.944444444444443</v>
      </c>
      <c r="IA47" s="2261">
        <v>1</v>
      </c>
      <c r="IB47" s="2257">
        <v>9</v>
      </c>
      <c r="IC47" s="2284">
        <v>18.2</v>
      </c>
      <c r="ID47" s="2296">
        <v>18</v>
      </c>
      <c r="IE47" s="2257">
        <v>3</v>
      </c>
      <c r="IF47" s="2284">
        <v>26.086956521739129</v>
      </c>
      <c r="KJ47"/>
      <c r="KK47"/>
      <c r="KL47"/>
      <c r="KM47"/>
      <c r="KN47"/>
      <c r="KO47"/>
      <c r="KP47"/>
      <c r="KQ47"/>
      <c r="KR47"/>
      <c r="KS47"/>
      <c r="KT47"/>
      <c r="KU47"/>
      <c r="KV47"/>
      <c r="KW47"/>
    </row>
    <row r="48" spans="61:323" ht="17.25" thickBot="1">
      <c r="BI48" s="2002" t="s">
        <v>818</v>
      </c>
      <c r="BJ48" s="2003"/>
      <c r="BK48" s="384" t="s">
        <v>819</v>
      </c>
      <c r="BL48" s="2003" t="s">
        <v>820</v>
      </c>
      <c r="BM48" s="381" t="s">
        <v>821</v>
      </c>
      <c r="BN48" s="381" t="s">
        <v>821</v>
      </c>
      <c r="BO48" s="335"/>
      <c r="BP48" s="357"/>
      <c r="BQ48" s="357"/>
      <c r="BR48" s="357"/>
      <c r="BS48" s="1929"/>
      <c r="BT48" s="1928"/>
      <c r="BU48" s="1928"/>
      <c r="BV48" s="1928" t="s">
        <v>822</v>
      </c>
      <c r="BW48" s="2007"/>
      <c r="BX48" s="357"/>
      <c r="BY48" s="357"/>
      <c r="BZ48" s="473"/>
      <c r="CB48" s="2002" t="s">
        <v>818</v>
      </c>
      <c r="CC48" s="2003"/>
      <c r="CD48" s="384" t="s">
        <v>819</v>
      </c>
      <c r="CE48" s="2003" t="s">
        <v>874</v>
      </c>
      <c r="CF48" s="381" t="s">
        <v>821</v>
      </c>
      <c r="CG48" s="381" t="s">
        <v>821</v>
      </c>
      <c r="CH48" s="335"/>
      <c r="CI48" s="357"/>
      <c r="CJ48" s="357"/>
      <c r="CK48" s="357"/>
      <c r="CL48" s="1929"/>
      <c r="CM48" s="1928"/>
      <c r="CN48" s="1928"/>
      <c r="CO48" s="1928" t="s">
        <v>822</v>
      </c>
      <c r="CP48" s="2007"/>
      <c r="CQ48" s="357"/>
      <c r="EZ48" s="2266"/>
      <c r="FA48" s="2268"/>
      <c r="FB48" s="511" t="s">
        <v>1060</v>
      </c>
      <c r="FC48" s="512"/>
      <c r="FD48" s="2264"/>
      <c r="FE48" s="2270"/>
      <c r="FF48" s="2272"/>
      <c r="FG48" s="2274"/>
      <c r="FH48" s="2264"/>
      <c r="FI48" s="2262"/>
      <c r="FJ48" s="2258"/>
      <c r="FK48" s="2258"/>
      <c r="FL48" s="2258"/>
      <c r="FM48" s="2260"/>
      <c r="FN48" s="2262"/>
      <c r="FO48" s="2258"/>
      <c r="FP48" s="2258"/>
      <c r="FQ48" s="2258"/>
      <c r="FR48" s="2260"/>
      <c r="FS48" s="2262"/>
      <c r="FT48" s="2258"/>
      <c r="FU48" s="2258"/>
      <c r="FV48" s="2258"/>
      <c r="FW48" s="2258"/>
      <c r="FX48" s="2285"/>
      <c r="FY48" s="2262"/>
      <c r="FZ48" s="2258"/>
      <c r="GA48" s="2258"/>
      <c r="GB48" s="2258"/>
      <c r="GC48" s="2258"/>
      <c r="GD48" s="2258"/>
      <c r="GE48" s="2258"/>
      <c r="GF48" s="2285"/>
      <c r="GG48" s="2262"/>
      <c r="GH48" s="2258"/>
      <c r="GI48" s="2285"/>
      <c r="GJ48" s="2297"/>
      <c r="GK48" s="2258"/>
      <c r="GL48" s="2285"/>
      <c r="GT48" s="2266"/>
      <c r="GU48" s="2268"/>
      <c r="GV48" s="511" t="s">
        <v>1060</v>
      </c>
      <c r="GW48" s="512"/>
      <c r="GX48" s="2264"/>
      <c r="GY48" s="2270"/>
      <c r="GZ48" s="2272"/>
      <c r="HA48" s="2274"/>
      <c r="HB48" s="2264"/>
      <c r="HC48" s="2262"/>
      <c r="HD48" s="2258"/>
      <c r="HE48" s="2258"/>
      <c r="HF48" s="2258"/>
      <c r="HG48" s="2260"/>
      <c r="HH48" s="2262"/>
      <c r="HI48" s="2258"/>
      <c r="HJ48" s="2258"/>
      <c r="HK48" s="2258"/>
      <c r="HL48" s="2260"/>
      <c r="HM48" s="2262"/>
      <c r="HN48" s="2258"/>
      <c r="HO48" s="2258"/>
      <c r="HP48" s="2258"/>
      <c r="HQ48" s="2258"/>
      <c r="HR48" s="2285"/>
      <c r="HS48" s="2262"/>
      <c r="HT48" s="2258"/>
      <c r="HU48" s="2258"/>
      <c r="HV48" s="2258"/>
      <c r="HW48" s="2258"/>
      <c r="HX48" s="2258"/>
      <c r="HY48" s="2258"/>
      <c r="HZ48" s="2285"/>
      <c r="IA48" s="2262"/>
      <c r="IB48" s="2258"/>
      <c r="IC48" s="2285"/>
      <c r="ID48" s="2297"/>
      <c r="IE48" s="2258"/>
      <c r="IF48" s="2285"/>
      <c r="KJ48"/>
      <c r="KK48"/>
      <c r="KL48"/>
      <c r="KM48"/>
      <c r="KN48"/>
      <c r="KO48"/>
      <c r="KP48"/>
      <c r="KQ48"/>
      <c r="KR48"/>
      <c r="KS48"/>
      <c r="KT48"/>
      <c r="KU48"/>
      <c r="KV48"/>
      <c r="KW48"/>
    </row>
    <row r="49" spans="61:322" ht="17.25" thickBot="1">
      <c r="BI49" s="1929" t="s">
        <v>823</v>
      </c>
      <c r="BJ49" s="1928"/>
      <c r="BK49" s="391" t="s">
        <v>824</v>
      </c>
      <c r="BL49" s="1928"/>
      <c r="BM49" s="381" t="s">
        <v>821</v>
      </c>
      <c r="BN49" s="411" t="s">
        <v>821</v>
      </c>
      <c r="BO49" s="335"/>
      <c r="BP49" s="478" t="s">
        <v>825</v>
      </c>
      <c r="BQ49" s="479" t="s">
        <v>737</v>
      </c>
      <c r="BR49" s="357"/>
      <c r="BS49" s="2004"/>
      <c r="BT49" s="2005"/>
      <c r="BU49" s="2005"/>
      <c r="BV49" s="2005" t="s">
        <v>826</v>
      </c>
      <c r="BW49" s="2008"/>
      <c r="BX49" s="357"/>
      <c r="BY49" s="357"/>
      <c r="BZ49" s="473"/>
      <c r="CB49" s="1929" t="s">
        <v>823</v>
      </c>
      <c r="CC49" s="1928"/>
      <c r="CD49" s="391" t="s">
        <v>824</v>
      </c>
      <c r="CE49" s="1928"/>
      <c r="CF49" s="381" t="s">
        <v>821</v>
      </c>
      <c r="CG49" s="411" t="s">
        <v>821</v>
      </c>
      <c r="CH49" s="335"/>
      <c r="CI49" s="478" t="s">
        <v>825</v>
      </c>
      <c r="CJ49" s="479" t="s">
        <v>737</v>
      </c>
      <c r="CK49" s="357"/>
      <c r="CL49" s="2004"/>
      <c r="CM49" s="2005"/>
      <c r="CN49" s="2005"/>
      <c r="CO49" s="2005" t="s">
        <v>826</v>
      </c>
      <c r="CP49" s="2008"/>
      <c r="CQ49" s="357"/>
      <c r="EZ49" s="2266"/>
      <c r="FA49" s="2268"/>
      <c r="FB49" s="511" t="s">
        <v>1061</v>
      </c>
      <c r="FC49" s="512"/>
      <c r="FD49" s="2264"/>
      <c r="FE49" s="2270"/>
      <c r="FF49" s="2272"/>
      <c r="FG49" s="2274"/>
      <c r="FH49" s="2264"/>
      <c r="FI49" s="2262"/>
      <c r="FJ49" s="2258"/>
      <c r="FK49" s="2258"/>
      <c r="FL49" s="2258"/>
      <c r="FM49" s="2260"/>
      <c r="FN49" s="2262"/>
      <c r="FO49" s="2258"/>
      <c r="FP49" s="2258"/>
      <c r="FQ49" s="2258"/>
      <c r="FR49" s="2260"/>
      <c r="FS49" s="2262"/>
      <c r="FT49" s="2258"/>
      <c r="FU49" s="2258"/>
      <c r="FV49" s="2258"/>
      <c r="FW49" s="2258"/>
      <c r="FX49" s="2285"/>
      <c r="FY49" s="2262"/>
      <c r="FZ49" s="2258"/>
      <c r="GA49" s="2258"/>
      <c r="GB49" s="2258"/>
      <c r="GC49" s="2258"/>
      <c r="GD49" s="2258"/>
      <c r="GE49" s="2258"/>
      <c r="GF49" s="2285"/>
      <c r="GG49" s="2262"/>
      <c r="GH49" s="2258"/>
      <c r="GI49" s="2285"/>
      <c r="GJ49" s="2297"/>
      <c r="GK49" s="2258"/>
      <c r="GL49" s="2285"/>
      <c r="GT49" s="2266"/>
      <c r="GU49" s="2268"/>
      <c r="GV49" s="511" t="s">
        <v>1061</v>
      </c>
      <c r="GW49" s="512"/>
      <c r="GX49" s="2264"/>
      <c r="GY49" s="2270"/>
      <c r="GZ49" s="2272"/>
      <c r="HA49" s="2274"/>
      <c r="HB49" s="2264"/>
      <c r="HC49" s="2262"/>
      <c r="HD49" s="2258"/>
      <c r="HE49" s="2258"/>
      <c r="HF49" s="2258"/>
      <c r="HG49" s="2260"/>
      <c r="HH49" s="2262"/>
      <c r="HI49" s="2258"/>
      <c r="HJ49" s="2258"/>
      <c r="HK49" s="2258"/>
      <c r="HL49" s="2260"/>
      <c r="HM49" s="2262"/>
      <c r="HN49" s="2258"/>
      <c r="HO49" s="2258"/>
      <c r="HP49" s="2258"/>
      <c r="HQ49" s="2258"/>
      <c r="HR49" s="2285"/>
      <c r="HS49" s="2262"/>
      <c r="HT49" s="2258"/>
      <c r="HU49" s="2258"/>
      <c r="HV49" s="2258"/>
      <c r="HW49" s="2258"/>
      <c r="HX49" s="2258"/>
      <c r="HY49" s="2258"/>
      <c r="HZ49" s="2285"/>
      <c r="IA49" s="2262"/>
      <c r="IB49" s="2258"/>
      <c r="IC49" s="2285"/>
      <c r="ID49" s="2297"/>
      <c r="IE49" s="2258"/>
      <c r="IF49" s="2285"/>
      <c r="KJ49"/>
      <c r="KK49"/>
      <c r="KL49"/>
      <c r="KM49"/>
      <c r="KN49"/>
      <c r="KO49"/>
      <c r="KP49"/>
      <c r="KQ49"/>
      <c r="KR49"/>
      <c r="KS49"/>
      <c r="KT49"/>
      <c r="KU49"/>
      <c r="KV49"/>
      <c r="KW49"/>
    </row>
    <row r="50" spans="61:322" ht="66">
      <c r="BI50" s="1929" t="s">
        <v>823</v>
      </c>
      <c r="BJ50" s="1928"/>
      <c r="BK50" s="391" t="s">
        <v>827</v>
      </c>
      <c r="BL50" s="391" t="s">
        <v>828</v>
      </c>
      <c r="BM50" s="411" t="s">
        <v>829</v>
      </c>
      <c r="BN50" s="411" t="s">
        <v>821</v>
      </c>
      <c r="BO50" s="335"/>
      <c r="BP50" s="382">
        <v>24</v>
      </c>
      <c r="BQ50" s="381">
        <v>0.7</v>
      </c>
      <c r="BR50" s="357"/>
      <c r="BS50" s="1985" t="s">
        <v>830</v>
      </c>
      <c r="BT50" s="1986"/>
      <c r="BU50" s="1986"/>
      <c r="BV50" s="1991" t="s">
        <v>831</v>
      </c>
      <c r="BW50" s="1992"/>
      <c r="BX50" s="357"/>
      <c r="BY50" s="357"/>
      <c r="BZ50" s="473"/>
      <c r="CB50" s="1929" t="s">
        <v>823</v>
      </c>
      <c r="CC50" s="1928"/>
      <c r="CD50" s="391" t="s">
        <v>827</v>
      </c>
      <c r="CE50" s="391" t="s">
        <v>875</v>
      </c>
      <c r="CF50" s="411" t="s">
        <v>829</v>
      </c>
      <c r="CG50" s="411" t="s">
        <v>821</v>
      </c>
      <c r="CH50" s="335"/>
      <c r="CI50" s="382">
        <v>24</v>
      </c>
      <c r="CJ50" s="381">
        <v>0.7</v>
      </c>
      <c r="CK50" s="357"/>
      <c r="CL50" s="1985" t="s">
        <v>830</v>
      </c>
      <c r="CM50" s="1986"/>
      <c r="CN50" s="1986"/>
      <c r="CO50" s="1991" t="s">
        <v>876</v>
      </c>
      <c r="CP50" s="1992"/>
      <c r="CQ50" s="357"/>
      <c r="EZ50" s="2266"/>
      <c r="FA50" s="2268"/>
      <c r="FB50" s="511" t="s">
        <v>1062</v>
      </c>
      <c r="FC50" s="512" t="s">
        <v>1063</v>
      </c>
      <c r="FD50" s="2264"/>
      <c r="FE50" s="2270"/>
      <c r="FF50" s="2272"/>
      <c r="FG50" s="2274"/>
      <c r="FH50" s="2264"/>
      <c r="FI50" s="2262"/>
      <c r="FJ50" s="2258"/>
      <c r="FK50" s="2258"/>
      <c r="FL50" s="2258"/>
      <c r="FM50" s="2260"/>
      <c r="FN50" s="2262"/>
      <c r="FO50" s="2258"/>
      <c r="FP50" s="2258"/>
      <c r="FQ50" s="2258"/>
      <c r="FR50" s="2260"/>
      <c r="FS50" s="2262"/>
      <c r="FT50" s="2258"/>
      <c r="FU50" s="2258"/>
      <c r="FV50" s="2258"/>
      <c r="FW50" s="2258"/>
      <c r="FX50" s="2285"/>
      <c r="FY50" s="2262"/>
      <c r="FZ50" s="2258"/>
      <c r="GA50" s="2258"/>
      <c r="GB50" s="2258"/>
      <c r="GC50" s="2258"/>
      <c r="GD50" s="2258"/>
      <c r="GE50" s="2258"/>
      <c r="GF50" s="2285"/>
      <c r="GG50" s="2262"/>
      <c r="GH50" s="2258"/>
      <c r="GI50" s="2285"/>
      <c r="GJ50" s="2297"/>
      <c r="GK50" s="2258"/>
      <c r="GL50" s="2285"/>
      <c r="GT50" s="2266"/>
      <c r="GU50" s="2268"/>
      <c r="GV50" s="511" t="s">
        <v>1062</v>
      </c>
      <c r="GW50" s="512" t="s">
        <v>1063</v>
      </c>
      <c r="GX50" s="2264"/>
      <c r="GY50" s="2270"/>
      <c r="GZ50" s="2272"/>
      <c r="HA50" s="2274"/>
      <c r="HB50" s="2264"/>
      <c r="HC50" s="2262"/>
      <c r="HD50" s="2258"/>
      <c r="HE50" s="2258"/>
      <c r="HF50" s="2258"/>
      <c r="HG50" s="2260"/>
      <c r="HH50" s="2262"/>
      <c r="HI50" s="2258"/>
      <c r="HJ50" s="2258"/>
      <c r="HK50" s="2258"/>
      <c r="HL50" s="2260"/>
      <c r="HM50" s="2262"/>
      <c r="HN50" s="2258"/>
      <c r="HO50" s="2258"/>
      <c r="HP50" s="2258"/>
      <c r="HQ50" s="2258"/>
      <c r="HR50" s="2285"/>
      <c r="HS50" s="2262"/>
      <c r="HT50" s="2258"/>
      <c r="HU50" s="2258"/>
      <c r="HV50" s="2258"/>
      <c r="HW50" s="2258"/>
      <c r="HX50" s="2258"/>
      <c r="HY50" s="2258"/>
      <c r="HZ50" s="2285"/>
      <c r="IA50" s="2262"/>
      <c r="IB50" s="2258"/>
      <c r="IC50" s="2285"/>
      <c r="ID50" s="2297"/>
      <c r="IE50" s="2258"/>
      <c r="IF50" s="2285"/>
      <c r="KJ50"/>
      <c r="KK50"/>
      <c r="KL50"/>
      <c r="KM50"/>
      <c r="KN50"/>
      <c r="KO50"/>
      <c r="KP50"/>
      <c r="KQ50"/>
      <c r="KR50"/>
      <c r="KS50"/>
      <c r="KT50"/>
      <c r="KU50"/>
      <c r="KV50"/>
      <c r="KW50"/>
    </row>
    <row r="51" spans="61:322">
      <c r="BI51" s="1929" t="s">
        <v>823</v>
      </c>
      <c r="BJ51" s="1928"/>
      <c r="BK51" s="391" t="s">
        <v>832</v>
      </c>
      <c r="BL51" s="391" t="s">
        <v>833</v>
      </c>
      <c r="BM51" s="411" t="s">
        <v>829</v>
      </c>
      <c r="BN51" s="411" t="s">
        <v>829</v>
      </c>
      <c r="BO51" s="335"/>
      <c r="BP51" s="390">
        <v>23</v>
      </c>
      <c r="BQ51" s="411">
        <v>0.77700000000000002</v>
      </c>
      <c r="BR51" s="357"/>
      <c r="BS51" s="1987"/>
      <c r="BT51" s="1988"/>
      <c r="BU51" s="1988"/>
      <c r="BV51" s="1993"/>
      <c r="BW51" s="1994"/>
      <c r="BX51" s="357"/>
      <c r="BY51" s="357"/>
      <c r="BZ51" s="473"/>
      <c r="CB51" s="1929" t="s">
        <v>823</v>
      </c>
      <c r="CC51" s="1928"/>
      <c r="CD51" s="391" t="s">
        <v>832</v>
      </c>
      <c r="CE51" s="391" t="s">
        <v>877</v>
      </c>
      <c r="CF51" s="411" t="s">
        <v>829</v>
      </c>
      <c r="CG51" s="411" t="s">
        <v>829</v>
      </c>
      <c r="CH51" s="335"/>
      <c r="CI51" s="390">
        <v>23</v>
      </c>
      <c r="CJ51" s="411">
        <v>0.77700000000000002</v>
      </c>
      <c r="CK51" s="357"/>
      <c r="CL51" s="1987"/>
      <c r="CM51" s="1988"/>
      <c r="CN51" s="1988"/>
      <c r="CO51" s="1993"/>
      <c r="CP51" s="1994"/>
      <c r="CQ51" s="357"/>
      <c r="EZ51" s="2266"/>
      <c r="FA51" s="2268">
        <v>12</v>
      </c>
      <c r="FB51" s="511" t="s">
        <v>530</v>
      </c>
      <c r="FC51" s="512"/>
      <c r="FD51" s="2264" t="s">
        <v>1009</v>
      </c>
      <c r="FE51" s="2270" t="s">
        <v>1028</v>
      </c>
      <c r="FF51" s="2290">
        <v>98.8</v>
      </c>
      <c r="FG51" s="2274">
        <v>110</v>
      </c>
      <c r="FH51" s="2293">
        <v>2</v>
      </c>
      <c r="FI51" s="2262" t="s">
        <v>1064</v>
      </c>
      <c r="FJ51" s="2258">
        <v>12</v>
      </c>
      <c r="FK51" s="2258">
        <v>20.7</v>
      </c>
      <c r="FL51" s="2258">
        <v>125</v>
      </c>
      <c r="FM51" s="2326">
        <v>2</v>
      </c>
      <c r="FN51" s="2324">
        <v>800</v>
      </c>
      <c r="FO51" s="2282">
        <v>2.2000000000000002</v>
      </c>
      <c r="FP51" s="2258">
        <v>3.8</v>
      </c>
      <c r="FQ51" s="2282">
        <v>1200</v>
      </c>
      <c r="FR51" s="2326">
        <v>2</v>
      </c>
      <c r="FS51" s="2324">
        <v>4</v>
      </c>
      <c r="FT51" s="2282">
        <v>12</v>
      </c>
      <c r="FU51" s="2282">
        <v>1</v>
      </c>
      <c r="FV51" s="2282">
        <v>79</v>
      </c>
      <c r="FW51" s="2282">
        <v>65</v>
      </c>
      <c r="FX51" s="2322">
        <v>35.700000000000003</v>
      </c>
      <c r="FY51" s="2324">
        <v>10000</v>
      </c>
      <c r="FZ51" s="2282">
        <v>2</v>
      </c>
      <c r="GA51" s="2282">
        <v>4</v>
      </c>
      <c r="GB51" s="2282">
        <v>12</v>
      </c>
      <c r="GC51" s="2282">
        <v>1</v>
      </c>
      <c r="GD51" s="2282">
        <v>76</v>
      </c>
      <c r="GE51" s="2282">
        <v>38</v>
      </c>
      <c r="GF51" s="2322">
        <f>GC51*GD51*GE51/144</f>
        <v>20.055555555555557</v>
      </c>
      <c r="GG51" s="2324">
        <v>1</v>
      </c>
      <c r="GH51" s="2282">
        <v>11</v>
      </c>
      <c r="GI51" s="2285">
        <v>18.7</v>
      </c>
      <c r="GJ51" s="2298">
        <v>21</v>
      </c>
      <c r="GK51" s="2282">
        <v>3</v>
      </c>
      <c r="GL51" s="2285">
        <f>((GJ51*1000)/GK51)/270</f>
        <v>25.925925925925927</v>
      </c>
      <c r="GT51" s="2266"/>
      <c r="GU51" s="2268">
        <v>12</v>
      </c>
      <c r="GV51" s="511" t="s">
        <v>530</v>
      </c>
      <c r="GW51" s="512"/>
      <c r="GX51" s="2264" t="s">
        <v>1009</v>
      </c>
      <c r="GY51" s="2288" t="s">
        <v>1100</v>
      </c>
      <c r="GZ51" s="2290">
        <v>109.52978260869565</v>
      </c>
      <c r="HA51" s="2274">
        <v>125</v>
      </c>
      <c r="HB51" s="2293">
        <v>2</v>
      </c>
      <c r="HC51" s="2262" t="s">
        <v>1064</v>
      </c>
      <c r="HD51" s="2258">
        <v>12</v>
      </c>
      <c r="HE51" s="2258">
        <v>20.7</v>
      </c>
      <c r="HF51" s="2258">
        <v>125</v>
      </c>
      <c r="HG51" s="2326">
        <v>2</v>
      </c>
      <c r="HH51" s="2324">
        <v>800</v>
      </c>
      <c r="HI51" s="2282">
        <v>2.2000000000000002</v>
      </c>
      <c r="HJ51" s="2258">
        <v>5.51</v>
      </c>
      <c r="HK51" s="2282">
        <v>1200</v>
      </c>
      <c r="HL51" s="2326">
        <v>2</v>
      </c>
      <c r="HM51" s="2324">
        <v>4</v>
      </c>
      <c r="HN51" s="2282">
        <v>12</v>
      </c>
      <c r="HO51" s="2282">
        <v>1</v>
      </c>
      <c r="HP51" s="2282">
        <v>79</v>
      </c>
      <c r="HQ51" s="2282">
        <v>65</v>
      </c>
      <c r="HR51" s="2322">
        <v>35.700000000000003</v>
      </c>
      <c r="HS51" s="2324">
        <v>10000</v>
      </c>
      <c r="HT51" s="2282">
        <v>2</v>
      </c>
      <c r="HU51" s="2282">
        <v>4</v>
      </c>
      <c r="HV51" s="2282">
        <v>12</v>
      </c>
      <c r="HW51" s="2282">
        <v>1</v>
      </c>
      <c r="HX51" s="2282">
        <v>76</v>
      </c>
      <c r="HY51" s="2282">
        <v>38</v>
      </c>
      <c r="HZ51" s="2322">
        <f>HW51*HX51*HY51/144</f>
        <v>20.055555555555557</v>
      </c>
      <c r="IA51" s="2324">
        <v>1</v>
      </c>
      <c r="IB51" s="2282">
        <v>11</v>
      </c>
      <c r="IC51" s="2285">
        <v>21.5</v>
      </c>
      <c r="ID51" s="2298">
        <v>21</v>
      </c>
      <c r="IE51" s="2282">
        <v>3</v>
      </c>
      <c r="IF51" s="2285">
        <v>30.434782608695652</v>
      </c>
      <c r="KJ51"/>
      <c r="KK51"/>
      <c r="KL51"/>
      <c r="KM51"/>
      <c r="KN51"/>
      <c r="KO51"/>
      <c r="KP51"/>
      <c r="KQ51"/>
      <c r="KR51"/>
      <c r="KS51"/>
      <c r="KT51"/>
      <c r="KU51"/>
      <c r="KV51"/>
      <c r="KW51"/>
    </row>
    <row r="52" spans="61:322" ht="17.25" thickBot="1">
      <c r="BI52" s="1997" t="s">
        <v>834</v>
      </c>
      <c r="BJ52" s="1998"/>
      <c r="BK52" s="436" t="s">
        <v>835</v>
      </c>
      <c r="BL52" s="436" t="s">
        <v>836</v>
      </c>
      <c r="BM52" s="469" t="s">
        <v>770</v>
      </c>
      <c r="BN52" s="469" t="s">
        <v>770</v>
      </c>
      <c r="BO52" s="335"/>
      <c r="BP52" s="390">
        <v>22</v>
      </c>
      <c r="BQ52" s="411">
        <v>0.85</v>
      </c>
      <c r="BR52" s="357"/>
      <c r="BS52" s="1987"/>
      <c r="BT52" s="1988"/>
      <c r="BU52" s="1988"/>
      <c r="BV52" s="1993"/>
      <c r="BW52" s="1994"/>
      <c r="BX52" s="357"/>
      <c r="BY52" s="357"/>
      <c r="BZ52" s="473"/>
      <c r="CB52" s="1997" t="s">
        <v>834</v>
      </c>
      <c r="CC52" s="1998"/>
      <c r="CD52" s="436" t="s">
        <v>835</v>
      </c>
      <c r="CE52" s="436" t="s">
        <v>878</v>
      </c>
      <c r="CF52" s="469" t="s">
        <v>770</v>
      </c>
      <c r="CG52" s="469" t="s">
        <v>770</v>
      </c>
      <c r="CH52" s="335"/>
      <c r="CI52" s="390">
        <v>22</v>
      </c>
      <c r="CJ52" s="411">
        <v>0.85</v>
      </c>
      <c r="CK52" s="357"/>
      <c r="CL52" s="1987"/>
      <c r="CM52" s="1988"/>
      <c r="CN52" s="1988"/>
      <c r="CO52" s="1993"/>
      <c r="CP52" s="1994"/>
      <c r="CQ52" s="357"/>
      <c r="EZ52" s="2266"/>
      <c r="FA52" s="2268"/>
      <c r="FB52" s="511" t="s">
        <v>1065</v>
      </c>
      <c r="FC52" s="512"/>
      <c r="FD52" s="2264"/>
      <c r="FE52" s="2288"/>
      <c r="FF52" s="2290"/>
      <c r="FG52" s="2274"/>
      <c r="FH52" s="2293"/>
      <c r="FI52" s="2262"/>
      <c r="FJ52" s="2258"/>
      <c r="FK52" s="2258"/>
      <c r="FL52" s="2258"/>
      <c r="FM52" s="2326"/>
      <c r="FN52" s="2324"/>
      <c r="FO52" s="2282"/>
      <c r="FP52" s="2258"/>
      <c r="FQ52" s="2282"/>
      <c r="FR52" s="2326"/>
      <c r="FS52" s="2324"/>
      <c r="FT52" s="2282"/>
      <c r="FU52" s="2282"/>
      <c r="FV52" s="2282"/>
      <c r="FW52" s="2282"/>
      <c r="FX52" s="2322"/>
      <c r="FY52" s="2324"/>
      <c r="FZ52" s="2282"/>
      <c r="GA52" s="2282"/>
      <c r="GB52" s="2282"/>
      <c r="GC52" s="2282"/>
      <c r="GD52" s="2282"/>
      <c r="GE52" s="2282"/>
      <c r="GF52" s="2322"/>
      <c r="GG52" s="2324"/>
      <c r="GH52" s="2282"/>
      <c r="GI52" s="2285"/>
      <c r="GJ52" s="2298"/>
      <c r="GK52" s="2282"/>
      <c r="GL52" s="2285"/>
      <c r="GT52" s="2266"/>
      <c r="GU52" s="2268"/>
      <c r="GV52" s="511" t="s">
        <v>1065</v>
      </c>
      <c r="GW52" s="512"/>
      <c r="GX52" s="2264"/>
      <c r="GY52" s="2288"/>
      <c r="GZ52" s="2290"/>
      <c r="HA52" s="2274"/>
      <c r="HB52" s="2293"/>
      <c r="HC52" s="2262"/>
      <c r="HD52" s="2258"/>
      <c r="HE52" s="2258"/>
      <c r="HF52" s="2258"/>
      <c r="HG52" s="2326"/>
      <c r="HH52" s="2324"/>
      <c r="HI52" s="2282"/>
      <c r="HJ52" s="2258"/>
      <c r="HK52" s="2282"/>
      <c r="HL52" s="2326"/>
      <c r="HM52" s="2324"/>
      <c r="HN52" s="2282"/>
      <c r="HO52" s="2282"/>
      <c r="HP52" s="2282"/>
      <c r="HQ52" s="2282"/>
      <c r="HR52" s="2322"/>
      <c r="HS52" s="2324"/>
      <c r="HT52" s="2282"/>
      <c r="HU52" s="2282"/>
      <c r="HV52" s="2282"/>
      <c r="HW52" s="2282"/>
      <c r="HX52" s="2282"/>
      <c r="HY52" s="2282"/>
      <c r="HZ52" s="2322"/>
      <c r="IA52" s="2324"/>
      <c r="IB52" s="2282"/>
      <c r="IC52" s="2285"/>
      <c r="ID52" s="2298"/>
      <c r="IE52" s="2282"/>
      <c r="IF52" s="2285"/>
      <c r="KJ52"/>
      <c r="KK52"/>
      <c r="KL52"/>
      <c r="KM52"/>
      <c r="KN52"/>
      <c r="KO52"/>
      <c r="KP52"/>
      <c r="KQ52"/>
      <c r="KR52"/>
      <c r="KS52"/>
      <c r="KT52"/>
      <c r="KU52"/>
      <c r="KV52"/>
      <c r="KW52"/>
    </row>
    <row r="53" spans="61:322" ht="17.25" thickBot="1">
      <c r="BI53" s="357"/>
      <c r="BJ53" s="357"/>
      <c r="BK53" s="357"/>
      <c r="BL53" s="357"/>
      <c r="BM53" s="357"/>
      <c r="BN53" s="357"/>
      <c r="BO53" s="357"/>
      <c r="BP53" s="390">
        <v>21</v>
      </c>
      <c r="BQ53" s="411">
        <v>0.93</v>
      </c>
      <c r="BR53" s="357"/>
      <c r="BS53" s="1989"/>
      <c r="BT53" s="1990"/>
      <c r="BU53" s="1990"/>
      <c r="BV53" s="1995"/>
      <c r="BW53" s="1996"/>
      <c r="BX53" s="357"/>
      <c r="BY53" s="357"/>
      <c r="BZ53" s="473"/>
      <c r="CB53" s="357"/>
      <c r="CC53" s="357"/>
      <c r="CD53" s="357"/>
      <c r="CE53" s="357"/>
      <c r="CF53" s="357"/>
      <c r="CG53" s="357"/>
      <c r="CH53" s="357"/>
      <c r="CI53" s="390">
        <v>21</v>
      </c>
      <c r="CJ53" s="411">
        <v>0.93</v>
      </c>
      <c r="CK53" s="357"/>
      <c r="CL53" s="1989"/>
      <c r="CM53" s="1990"/>
      <c r="CN53" s="1990"/>
      <c r="CO53" s="1995"/>
      <c r="CP53" s="1996"/>
      <c r="CQ53" s="357"/>
      <c r="EZ53" s="2266"/>
      <c r="FA53" s="2268"/>
      <c r="FB53" s="511" t="s">
        <v>1066</v>
      </c>
      <c r="FC53" s="512"/>
      <c r="FD53" s="2264"/>
      <c r="FE53" s="2288"/>
      <c r="FF53" s="2290"/>
      <c r="FG53" s="2274"/>
      <c r="FH53" s="2293"/>
      <c r="FI53" s="2262"/>
      <c r="FJ53" s="2258"/>
      <c r="FK53" s="2258"/>
      <c r="FL53" s="2258"/>
      <c r="FM53" s="2326"/>
      <c r="FN53" s="2324"/>
      <c r="FO53" s="2282"/>
      <c r="FP53" s="2258"/>
      <c r="FQ53" s="2282"/>
      <c r="FR53" s="2326"/>
      <c r="FS53" s="2324"/>
      <c r="FT53" s="2282"/>
      <c r="FU53" s="2282"/>
      <c r="FV53" s="2282"/>
      <c r="FW53" s="2282"/>
      <c r="FX53" s="2322"/>
      <c r="FY53" s="2324"/>
      <c r="FZ53" s="2282"/>
      <c r="GA53" s="2282"/>
      <c r="GB53" s="2282"/>
      <c r="GC53" s="2282"/>
      <c r="GD53" s="2282"/>
      <c r="GE53" s="2282"/>
      <c r="GF53" s="2322"/>
      <c r="GG53" s="2324"/>
      <c r="GH53" s="2282"/>
      <c r="GI53" s="2285"/>
      <c r="GJ53" s="2298"/>
      <c r="GK53" s="2282"/>
      <c r="GL53" s="2285"/>
      <c r="GT53" s="2266"/>
      <c r="GU53" s="2268"/>
      <c r="GV53" s="511" t="s">
        <v>1066</v>
      </c>
      <c r="GW53" s="512"/>
      <c r="GX53" s="2264"/>
      <c r="GY53" s="2288"/>
      <c r="GZ53" s="2290"/>
      <c r="HA53" s="2274"/>
      <c r="HB53" s="2293"/>
      <c r="HC53" s="2262"/>
      <c r="HD53" s="2258"/>
      <c r="HE53" s="2258"/>
      <c r="HF53" s="2258"/>
      <c r="HG53" s="2326"/>
      <c r="HH53" s="2324"/>
      <c r="HI53" s="2282"/>
      <c r="HJ53" s="2258"/>
      <c r="HK53" s="2282"/>
      <c r="HL53" s="2326"/>
      <c r="HM53" s="2324"/>
      <c r="HN53" s="2282"/>
      <c r="HO53" s="2282"/>
      <c r="HP53" s="2282"/>
      <c r="HQ53" s="2282"/>
      <c r="HR53" s="2322"/>
      <c r="HS53" s="2324"/>
      <c r="HT53" s="2282"/>
      <c r="HU53" s="2282"/>
      <c r="HV53" s="2282"/>
      <c r="HW53" s="2282"/>
      <c r="HX53" s="2282"/>
      <c r="HY53" s="2282"/>
      <c r="HZ53" s="2322"/>
      <c r="IA53" s="2324"/>
      <c r="IB53" s="2282"/>
      <c r="IC53" s="2285"/>
      <c r="ID53" s="2298"/>
      <c r="IE53" s="2282"/>
      <c r="IF53" s="2285"/>
      <c r="KJ53"/>
      <c r="KK53"/>
      <c r="KL53"/>
      <c r="KM53"/>
      <c r="KN53"/>
      <c r="KO53"/>
      <c r="KP53"/>
      <c r="KQ53"/>
      <c r="KR53"/>
      <c r="KS53"/>
      <c r="KT53"/>
      <c r="KU53"/>
      <c r="KV53"/>
      <c r="KW53"/>
    </row>
    <row r="54" spans="61:322" ht="50.25" thickBot="1">
      <c r="BI54" s="1999" t="s">
        <v>811</v>
      </c>
      <c r="BJ54" s="2000"/>
      <c r="BK54" s="461" t="s">
        <v>0</v>
      </c>
      <c r="BL54" s="461" t="s">
        <v>812</v>
      </c>
      <c r="BM54" s="479" t="s">
        <v>813</v>
      </c>
      <c r="BN54" s="479" t="s">
        <v>814</v>
      </c>
      <c r="BO54" s="335"/>
      <c r="BP54" s="390">
        <v>20</v>
      </c>
      <c r="BQ54" s="411">
        <v>1.006</v>
      </c>
      <c r="BR54" s="357"/>
      <c r="BS54" s="357"/>
      <c r="BT54" s="357"/>
      <c r="BU54" s="357"/>
      <c r="BV54" s="357"/>
      <c r="BW54" s="357"/>
      <c r="BX54" s="357"/>
      <c r="BY54" s="357"/>
      <c r="BZ54" s="473"/>
      <c r="CB54" s="1999" t="s">
        <v>811</v>
      </c>
      <c r="CC54" s="2000"/>
      <c r="CD54" s="461" t="s">
        <v>0</v>
      </c>
      <c r="CE54" s="461" t="s">
        <v>873</v>
      </c>
      <c r="CF54" s="479" t="s">
        <v>813</v>
      </c>
      <c r="CG54" s="479" t="s">
        <v>814</v>
      </c>
      <c r="CH54" s="335"/>
      <c r="CI54" s="390">
        <v>20</v>
      </c>
      <c r="CJ54" s="411">
        <v>1.006</v>
      </c>
      <c r="CK54" s="357"/>
      <c r="CL54" s="357"/>
      <c r="CM54" s="357"/>
      <c r="CN54" s="357"/>
      <c r="CO54" s="357"/>
      <c r="CP54" s="357"/>
      <c r="CQ54" s="357"/>
      <c r="EZ54" s="2266"/>
      <c r="FA54" s="2286"/>
      <c r="FB54" s="513" t="s">
        <v>1067</v>
      </c>
      <c r="FC54" s="514" t="s">
        <v>1068</v>
      </c>
      <c r="FD54" s="2287"/>
      <c r="FE54" s="2289"/>
      <c r="FF54" s="2291"/>
      <c r="FG54" s="2292"/>
      <c r="FH54" s="2294"/>
      <c r="FI54" s="2295"/>
      <c r="FJ54" s="2281"/>
      <c r="FK54" s="2281"/>
      <c r="FL54" s="2281"/>
      <c r="FM54" s="2327"/>
      <c r="FN54" s="2325"/>
      <c r="FO54" s="2283"/>
      <c r="FP54" s="2281"/>
      <c r="FQ54" s="2283"/>
      <c r="FR54" s="2327"/>
      <c r="FS54" s="2325"/>
      <c r="FT54" s="2283"/>
      <c r="FU54" s="2283"/>
      <c r="FV54" s="2283"/>
      <c r="FW54" s="2283"/>
      <c r="FX54" s="2323"/>
      <c r="FY54" s="2325"/>
      <c r="FZ54" s="2283"/>
      <c r="GA54" s="2283"/>
      <c r="GB54" s="2283"/>
      <c r="GC54" s="2283"/>
      <c r="GD54" s="2283"/>
      <c r="GE54" s="2283"/>
      <c r="GF54" s="2323"/>
      <c r="GG54" s="2325"/>
      <c r="GH54" s="2283"/>
      <c r="GI54" s="2300"/>
      <c r="GJ54" s="2299"/>
      <c r="GK54" s="2283"/>
      <c r="GL54" s="2300"/>
      <c r="GT54" s="2266"/>
      <c r="GU54" s="2286"/>
      <c r="GV54" s="513" t="s">
        <v>1067</v>
      </c>
      <c r="GW54" s="514" t="s">
        <v>1068</v>
      </c>
      <c r="GX54" s="2287"/>
      <c r="GY54" s="2289"/>
      <c r="GZ54" s="2291"/>
      <c r="HA54" s="2292"/>
      <c r="HB54" s="2294"/>
      <c r="HC54" s="2295"/>
      <c r="HD54" s="2281"/>
      <c r="HE54" s="2281"/>
      <c r="HF54" s="2281"/>
      <c r="HG54" s="2327"/>
      <c r="HH54" s="2325"/>
      <c r="HI54" s="2283"/>
      <c r="HJ54" s="2281"/>
      <c r="HK54" s="2283"/>
      <c r="HL54" s="2327"/>
      <c r="HM54" s="2325"/>
      <c r="HN54" s="2283"/>
      <c r="HO54" s="2283"/>
      <c r="HP54" s="2283"/>
      <c r="HQ54" s="2283"/>
      <c r="HR54" s="2323"/>
      <c r="HS54" s="2325"/>
      <c r="HT54" s="2283"/>
      <c r="HU54" s="2283"/>
      <c r="HV54" s="2283"/>
      <c r="HW54" s="2283"/>
      <c r="HX54" s="2283"/>
      <c r="HY54" s="2283"/>
      <c r="HZ54" s="2323"/>
      <c r="IA54" s="2325"/>
      <c r="IB54" s="2283"/>
      <c r="IC54" s="2300"/>
      <c r="ID54" s="2299"/>
      <c r="IE54" s="2283"/>
      <c r="IF54" s="2300"/>
      <c r="KJ54"/>
      <c r="KK54"/>
      <c r="KL54"/>
      <c r="KM54"/>
      <c r="KN54"/>
      <c r="KO54"/>
      <c r="KP54"/>
      <c r="KQ54"/>
      <c r="KR54"/>
      <c r="KS54"/>
      <c r="KT54"/>
      <c r="KU54"/>
      <c r="KV54"/>
      <c r="KW54"/>
    </row>
    <row r="55" spans="61:322" ht="17.25" thickBot="1">
      <c r="BI55" s="1978" t="s">
        <v>837</v>
      </c>
      <c r="BJ55" s="1979"/>
      <c r="BK55" s="384" t="s">
        <v>838</v>
      </c>
      <c r="BL55" s="384" t="s">
        <v>839</v>
      </c>
      <c r="BM55" s="381" t="s">
        <v>821</v>
      </c>
      <c r="BN55" s="381" t="s">
        <v>821</v>
      </c>
      <c r="BO55" s="335"/>
      <c r="BP55" s="390">
        <v>19</v>
      </c>
      <c r="BQ55" s="411">
        <v>1.1579999999999999</v>
      </c>
      <c r="BR55" s="357"/>
      <c r="BS55" s="1980" t="s">
        <v>840</v>
      </c>
      <c r="BT55" s="1981"/>
      <c r="BU55" s="1981"/>
      <c r="BV55" s="1981"/>
      <c r="BW55" s="1982"/>
      <c r="BX55" s="357"/>
      <c r="BY55" s="357"/>
      <c r="BZ55" s="473"/>
      <c r="CB55" s="1978" t="s">
        <v>837</v>
      </c>
      <c r="CC55" s="1979"/>
      <c r="CD55" s="384" t="s">
        <v>838</v>
      </c>
      <c r="CE55" s="384" t="s">
        <v>879</v>
      </c>
      <c r="CF55" s="381" t="s">
        <v>821</v>
      </c>
      <c r="CG55" s="381" t="s">
        <v>821</v>
      </c>
      <c r="CH55" s="335"/>
      <c r="CI55" s="390">
        <v>19</v>
      </c>
      <c r="CJ55" s="411">
        <v>1.1579999999999999</v>
      </c>
      <c r="CK55" s="357"/>
      <c r="CL55" s="1980" t="s">
        <v>840</v>
      </c>
      <c r="CM55" s="1981"/>
      <c r="CN55" s="1981"/>
      <c r="CO55" s="1981"/>
      <c r="CP55" s="1982"/>
      <c r="CQ55" s="357"/>
      <c r="EZ55" s="2301">
        <v>6</v>
      </c>
      <c r="FA55" s="2304">
        <v>13</v>
      </c>
      <c r="FB55" s="515" t="s">
        <v>532</v>
      </c>
      <c r="FC55" s="516"/>
      <c r="FD55" s="2307" t="s">
        <v>1009</v>
      </c>
      <c r="FE55" s="2310" t="s">
        <v>1028</v>
      </c>
      <c r="FF55" s="2313">
        <v>142.6</v>
      </c>
      <c r="FG55" s="2316">
        <v>150</v>
      </c>
      <c r="FH55" s="2319">
        <v>3</v>
      </c>
      <c r="FI55" s="2352" t="s">
        <v>1069</v>
      </c>
      <c r="FJ55" s="2334">
        <v>13</v>
      </c>
      <c r="FK55" s="2343">
        <v>25</v>
      </c>
      <c r="FL55" s="2355">
        <v>150</v>
      </c>
      <c r="FM55" s="2346">
        <v>3</v>
      </c>
      <c r="FN55" s="2340">
        <v>910</v>
      </c>
      <c r="FO55" s="2334">
        <v>2.2000000000000002</v>
      </c>
      <c r="FP55" s="2343">
        <v>3.8</v>
      </c>
      <c r="FQ55" s="2334">
        <v>1200</v>
      </c>
      <c r="FR55" s="2346">
        <v>2</v>
      </c>
      <c r="FS55" s="2340">
        <v>4</v>
      </c>
      <c r="FT55" s="2334">
        <v>12</v>
      </c>
      <c r="FU55" s="2334">
        <v>2</v>
      </c>
      <c r="FV55" s="2334">
        <v>76</v>
      </c>
      <c r="FW55" s="2334">
        <v>65</v>
      </c>
      <c r="FX55" s="2337">
        <v>68.599999999999994</v>
      </c>
      <c r="FY55" s="2340">
        <v>12500</v>
      </c>
      <c r="FZ55" s="2334">
        <v>2</v>
      </c>
      <c r="GA55" s="2334">
        <v>4</v>
      </c>
      <c r="GB55" s="2334">
        <v>12</v>
      </c>
      <c r="GC55" s="2334">
        <v>1</v>
      </c>
      <c r="GD55" s="2334">
        <v>76</v>
      </c>
      <c r="GE55" s="2334">
        <v>60</v>
      </c>
      <c r="GF55" s="2337">
        <v>31.7</v>
      </c>
      <c r="GG55" s="2340">
        <v>1</v>
      </c>
      <c r="GH55" s="2334">
        <v>15</v>
      </c>
      <c r="GI55" s="2328">
        <v>24.2</v>
      </c>
      <c r="GJ55" s="2331">
        <v>24</v>
      </c>
      <c r="GK55" s="2334">
        <v>3</v>
      </c>
      <c r="GL55" s="2328">
        <v>29.62962963</v>
      </c>
      <c r="GT55" s="2301">
        <v>6</v>
      </c>
      <c r="GU55" s="2304">
        <v>13</v>
      </c>
      <c r="GV55" s="515" t="s">
        <v>532</v>
      </c>
      <c r="GW55" s="516"/>
      <c r="GX55" s="2307" t="s">
        <v>1009</v>
      </c>
      <c r="GY55" s="2367" t="s">
        <v>1100</v>
      </c>
      <c r="GZ55" s="2313">
        <v>156.75260869565216</v>
      </c>
      <c r="HA55" s="2316">
        <v>175</v>
      </c>
      <c r="HB55" s="2319">
        <v>3</v>
      </c>
      <c r="HC55" s="2352" t="s">
        <v>1069</v>
      </c>
      <c r="HD55" s="2334">
        <v>13</v>
      </c>
      <c r="HE55" s="2343">
        <v>25</v>
      </c>
      <c r="HF55" s="2355">
        <v>140</v>
      </c>
      <c r="HG55" s="2346">
        <v>3</v>
      </c>
      <c r="HH55" s="2340">
        <v>910</v>
      </c>
      <c r="HI55" s="2334">
        <v>2.2000000000000002</v>
      </c>
      <c r="HJ55" s="2343">
        <v>5.51</v>
      </c>
      <c r="HK55" s="2334">
        <v>1200</v>
      </c>
      <c r="HL55" s="2346">
        <v>2</v>
      </c>
      <c r="HM55" s="2340">
        <v>4</v>
      </c>
      <c r="HN55" s="2334">
        <v>12</v>
      </c>
      <c r="HO55" s="2334">
        <v>2</v>
      </c>
      <c r="HP55" s="2334">
        <v>76</v>
      </c>
      <c r="HQ55" s="2334">
        <v>65</v>
      </c>
      <c r="HR55" s="2337">
        <v>68.599999999999994</v>
      </c>
      <c r="HS55" s="2340">
        <v>12500</v>
      </c>
      <c r="HT55" s="2334">
        <v>2</v>
      </c>
      <c r="HU55" s="2334">
        <v>4</v>
      </c>
      <c r="HV55" s="2334">
        <v>12</v>
      </c>
      <c r="HW55" s="2334">
        <v>1</v>
      </c>
      <c r="HX55" s="2334">
        <v>76</v>
      </c>
      <c r="HY55" s="2334">
        <v>60</v>
      </c>
      <c r="HZ55" s="2337">
        <v>31.7</v>
      </c>
      <c r="IA55" s="2340">
        <v>1</v>
      </c>
      <c r="IB55" s="2334">
        <v>15</v>
      </c>
      <c r="IC55" s="2328">
        <v>29.7</v>
      </c>
      <c r="ID55" s="2331">
        <v>24</v>
      </c>
      <c r="IE55" s="2334">
        <v>3</v>
      </c>
      <c r="IF55" s="2328">
        <v>34.782608695652172</v>
      </c>
      <c r="KJ55"/>
      <c r="KK55"/>
      <c r="KL55"/>
      <c r="KM55"/>
      <c r="KN55"/>
      <c r="KO55"/>
      <c r="KP55"/>
      <c r="KQ55"/>
      <c r="KR55"/>
      <c r="KS55"/>
      <c r="KT55"/>
      <c r="KU55"/>
      <c r="KV55"/>
      <c r="KW55"/>
    </row>
    <row r="56" spans="61:322">
      <c r="BI56" s="1983" t="s">
        <v>841</v>
      </c>
      <c r="BJ56" s="1972"/>
      <c r="BK56" s="391" t="s">
        <v>842</v>
      </c>
      <c r="BL56" s="384" t="s">
        <v>843</v>
      </c>
      <c r="BM56" s="411" t="s">
        <v>829</v>
      </c>
      <c r="BN56" s="411" t="s">
        <v>821</v>
      </c>
      <c r="BO56" s="335"/>
      <c r="BP56" s="390">
        <v>18</v>
      </c>
      <c r="BQ56" s="411">
        <v>1.3109999999999999</v>
      </c>
      <c r="BR56" s="357"/>
      <c r="BS56" s="382">
        <v>0.55000000000000004</v>
      </c>
      <c r="BT56" s="384">
        <v>2.2000000000000002</v>
      </c>
      <c r="BU56" s="384">
        <v>7.5</v>
      </c>
      <c r="BV56" s="384">
        <v>18.5</v>
      </c>
      <c r="BW56" s="381">
        <v>45</v>
      </c>
      <c r="BX56" s="357"/>
      <c r="BY56" s="357"/>
      <c r="BZ56" s="473"/>
      <c r="CB56" s="1983" t="s">
        <v>841</v>
      </c>
      <c r="CC56" s="1972"/>
      <c r="CD56" s="391" t="s">
        <v>842</v>
      </c>
      <c r="CE56" s="391" t="s">
        <v>880</v>
      </c>
      <c r="CF56" s="411" t="s">
        <v>829</v>
      </c>
      <c r="CG56" s="411" t="s">
        <v>821</v>
      </c>
      <c r="CH56" s="335"/>
      <c r="CI56" s="390">
        <v>18</v>
      </c>
      <c r="CJ56" s="411">
        <v>1.3109999999999999</v>
      </c>
      <c r="CK56" s="357"/>
      <c r="CL56" s="517">
        <v>0.55000000000000004</v>
      </c>
      <c r="CM56" s="518">
        <v>2.2000000000000002</v>
      </c>
      <c r="CN56" s="518">
        <v>7.5</v>
      </c>
      <c r="CO56" s="518">
        <v>18.5</v>
      </c>
      <c r="CP56" s="519">
        <v>45</v>
      </c>
      <c r="CQ56" s="357"/>
      <c r="EZ56" s="2302"/>
      <c r="FA56" s="2305"/>
      <c r="FB56" s="520" t="s">
        <v>1070</v>
      </c>
      <c r="FC56" s="521"/>
      <c r="FD56" s="2308"/>
      <c r="FE56" s="2311"/>
      <c r="FF56" s="2314"/>
      <c r="FG56" s="2317"/>
      <c r="FH56" s="2320"/>
      <c r="FI56" s="2353"/>
      <c r="FJ56" s="2335"/>
      <c r="FK56" s="2344"/>
      <c r="FL56" s="2356"/>
      <c r="FM56" s="2347"/>
      <c r="FN56" s="2341"/>
      <c r="FO56" s="2335"/>
      <c r="FP56" s="2344"/>
      <c r="FQ56" s="2335"/>
      <c r="FR56" s="2347"/>
      <c r="FS56" s="2341"/>
      <c r="FT56" s="2335"/>
      <c r="FU56" s="2335"/>
      <c r="FV56" s="2335"/>
      <c r="FW56" s="2335"/>
      <c r="FX56" s="2338"/>
      <c r="FY56" s="2341"/>
      <c r="FZ56" s="2335"/>
      <c r="GA56" s="2335"/>
      <c r="GB56" s="2335"/>
      <c r="GC56" s="2335"/>
      <c r="GD56" s="2335"/>
      <c r="GE56" s="2335"/>
      <c r="GF56" s="2338"/>
      <c r="GG56" s="2341"/>
      <c r="GH56" s="2335"/>
      <c r="GI56" s="2329"/>
      <c r="GJ56" s="2332"/>
      <c r="GK56" s="2335"/>
      <c r="GL56" s="2329"/>
      <c r="GT56" s="2302"/>
      <c r="GU56" s="2305"/>
      <c r="GV56" s="520" t="s">
        <v>1070</v>
      </c>
      <c r="GW56" s="521"/>
      <c r="GX56" s="2308"/>
      <c r="GY56" s="2311"/>
      <c r="GZ56" s="2314"/>
      <c r="HA56" s="2317"/>
      <c r="HB56" s="2320"/>
      <c r="HC56" s="2353"/>
      <c r="HD56" s="2335"/>
      <c r="HE56" s="2344"/>
      <c r="HF56" s="2356"/>
      <c r="HG56" s="2347"/>
      <c r="HH56" s="2341"/>
      <c r="HI56" s="2335"/>
      <c r="HJ56" s="2344"/>
      <c r="HK56" s="2335"/>
      <c r="HL56" s="2347"/>
      <c r="HM56" s="2341"/>
      <c r="HN56" s="2335"/>
      <c r="HO56" s="2335"/>
      <c r="HP56" s="2335"/>
      <c r="HQ56" s="2335"/>
      <c r="HR56" s="2338"/>
      <c r="HS56" s="2341"/>
      <c r="HT56" s="2335"/>
      <c r="HU56" s="2335"/>
      <c r="HV56" s="2335"/>
      <c r="HW56" s="2335"/>
      <c r="HX56" s="2335"/>
      <c r="HY56" s="2335"/>
      <c r="HZ56" s="2338"/>
      <c r="IA56" s="2341"/>
      <c r="IB56" s="2335"/>
      <c r="IC56" s="2329"/>
      <c r="ID56" s="2332"/>
      <c r="IE56" s="2335"/>
      <c r="IF56" s="2329"/>
      <c r="KJ56"/>
      <c r="KK56"/>
      <c r="KL56"/>
      <c r="KM56"/>
      <c r="KN56"/>
      <c r="KO56"/>
      <c r="KP56"/>
      <c r="KQ56"/>
      <c r="KR56"/>
      <c r="KS56"/>
      <c r="KT56"/>
      <c r="KU56"/>
      <c r="KV56"/>
      <c r="KW56"/>
    </row>
    <row r="57" spans="61:322">
      <c r="BI57" s="1983" t="s">
        <v>841</v>
      </c>
      <c r="BJ57" s="1972"/>
      <c r="BK57" s="391" t="s">
        <v>844</v>
      </c>
      <c r="BL57" s="384" t="s">
        <v>845</v>
      </c>
      <c r="BM57" s="411" t="s">
        <v>846</v>
      </c>
      <c r="BN57" s="411" t="s">
        <v>770</v>
      </c>
      <c r="BO57" s="335"/>
      <c r="BP57" s="390">
        <v>17</v>
      </c>
      <c r="BQ57" s="411">
        <v>1.4610000000000001</v>
      </c>
      <c r="BR57" s="357"/>
      <c r="BS57" s="390">
        <v>0.75</v>
      </c>
      <c r="BT57" s="391">
        <v>3</v>
      </c>
      <c r="BU57" s="391">
        <v>9</v>
      </c>
      <c r="BV57" s="391">
        <v>22</v>
      </c>
      <c r="BW57" s="411">
        <v>55</v>
      </c>
      <c r="BX57" s="357"/>
      <c r="BY57" s="357"/>
      <c r="BZ57" s="473"/>
      <c r="CB57" s="1983" t="s">
        <v>841</v>
      </c>
      <c r="CC57" s="1972"/>
      <c r="CD57" s="391" t="s">
        <v>844</v>
      </c>
      <c r="CE57" s="391" t="s">
        <v>881</v>
      </c>
      <c r="CF57" s="411" t="s">
        <v>846</v>
      </c>
      <c r="CG57" s="411" t="s">
        <v>770</v>
      </c>
      <c r="CH57" s="335"/>
      <c r="CI57" s="390">
        <v>17</v>
      </c>
      <c r="CJ57" s="411">
        <v>1.4610000000000001</v>
      </c>
      <c r="CK57" s="357"/>
      <c r="CL57" s="522">
        <v>0.75</v>
      </c>
      <c r="CM57" s="523">
        <v>3</v>
      </c>
      <c r="CN57" s="523">
        <v>9</v>
      </c>
      <c r="CO57" s="523">
        <v>22</v>
      </c>
      <c r="CP57" s="524">
        <v>55</v>
      </c>
      <c r="CQ57" s="357"/>
      <c r="EZ57" s="2302"/>
      <c r="FA57" s="2305"/>
      <c r="FB57" s="520" t="s">
        <v>1071</v>
      </c>
      <c r="FC57" s="521"/>
      <c r="FD57" s="2308"/>
      <c r="FE57" s="2311"/>
      <c r="FF57" s="2314"/>
      <c r="FG57" s="2317"/>
      <c r="FH57" s="2320"/>
      <c r="FI57" s="2353"/>
      <c r="FJ57" s="2335"/>
      <c r="FK57" s="2344"/>
      <c r="FL57" s="2356"/>
      <c r="FM57" s="2347"/>
      <c r="FN57" s="2341"/>
      <c r="FO57" s="2335"/>
      <c r="FP57" s="2344"/>
      <c r="FQ57" s="2335"/>
      <c r="FR57" s="2347"/>
      <c r="FS57" s="2341"/>
      <c r="FT57" s="2335"/>
      <c r="FU57" s="2335"/>
      <c r="FV57" s="2335"/>
      <c r="FW57" s="2335"/>
      <c r="FX57" s="2338"/>
      <c r="FY57" s="2341"/>
      <c r="FZ57" s="2335"/>
      <c r="GA57" s="2335"/>
      <c r="GB57" s="2335"/>
      <c r="GC57" s="2335"/>
      <c r="GD57" s="2335"/>
      <c r="GE57" s="2335"/>
      <c r="GF57" s="2338"/>
      <c r="GG57" s="2341"/>
      <c r="GH57" s="2335"/>
      <c r="GI57" s="2329"/>
      <c r="GJ57" s="2332"/>
      <c r="GK57" s="2335"/>
      <c r="GL57" s="2329"/>
      <c r="GT57" s="2302"/>
      <c r="GU57" s="2305"/>
      <c r="GV57" s="520" t="s">
        <v>1071</v>
      </c>
      <c r="GW57" s="521"/>
      <c r="GX57" s="2308"/>
      <c r="GY57" s="2311"/>
      <c r="GZ57" s="2314"/>
      <c r="HA57" s="2317"/>
      <c r="HB57" s="2320"/>
      <c r="HC57" s="2353"/>
      <c r="HD57" s="2335"/>
      <c r="HE57" s="2344"/>
      <c r="HF57" s="2356"/>
      <c r="HG57" s="2347"/>
      <c r="HH57" s="2341"/>
      <c r="HI57" s="2335"/>
      <c r="HJ57" s="2344"/>
      <c r="HK57" s="2335"/>
      <c r="HL57" s="2347"/>
      <c r="HM57" s="2341"/>
      <c r="HN57" s="2335"/>
      <c r="HO57" s="2335"/>
      <c r="HP57" s="2335"/>
      <c r="HQ57" s="2335"/>
      <c r="HR57" s="2338"/>
      <c r="HS57" s="2341"/>
      <c r="HT57" s="2335"/>
      <c r="HU57" s="2335"/>
      <c r="HV57" s="2335"/>
      <c r="HW57" s="2335"/>
      <c r="HX57" s="2335"/>
      <c r="HY57" s="2335"/>
      <c r="HZ57" s="2338"/>
      <c r="IA57" s="2341"/>
      <c r="IB57" s="2335"/>
      <c r="IC57" s="2329"/>
      <c r="ID57" s="2332"/>
      <c r="IE57" s="2335"/>
      <c r="IF57" s="2329"/>
      <c r="KJ57"/>
      <c r="KK57"/>
      <c r="KL57"/>
      <c r="KM57"/>
      <c r="KN57"/>
      <c r="KO57"/>
      <c r="KP57"/>
      <c r="KQ57"/>
      <c r="KR57"/>
      <c r="KS57"/>
      <c r="KT57"/>
      <c r="KU57"/>
      <c r="KV57"/>
      <c r="KW57"/>
    </row>
    <row r="58" spans="61:322" ht="33.75" thickBot="1">
      <c r="BI58" s="1983" t="s">
        <v>847</v>
      </c>
      <c r="BJ58" s="1972"/>
      <c r="BK58" s="391" t="s">
        <v>848</v>
      </c>
      <c r="BL58" s="384" t="s">
        <v>849</v>
      </c>
      <c r="BM58" s="411" t="s">
        <v>846</v>
      </c>
      <c r="BN58" s="411" t="s">
        <v>770</v>
      </c>
      <c r="BO58" s="335"/>
      <c r="BP58" s="390">
        <v>16</v>
      </c>
      <c r="BQ58" s="411">
        <v>1.613</v>
      </c>
      <c r="BR58" s="357"/>
      <c r="BS58" s="390">
        <v>1.1000000000000001</v>
      </c>
      <c r="BT58" s="391">
        <v>4</v>
      </c>
      <c r="BU58" s="391">
        <v>11</v>
      </c>
      <c r="BV58" s="391">
        <v>30</v>
      </c>
      <c r="BW58" s="411">
        <v>75</v>
      </c>
      <c r="BX58" s="357"/>
      <c r="BY58" s="357"/>
      <c r="BZ58" s="473"/>
      <c r="CB58" s="1983" t="s">
        <v>847</v>
      </c>
      <c r="CC58" s="1972"/>
      <c r="CD58" s="391" t="s">
        <v>848</v>
      </c>
      <c r="CE58" s="391" t="s">
        <v>882</v>
      </c>
      <c r="CF58" s="411" t="s">
        <v>846</v>
      </c>
      <c r="CG58" s="411" t="s">
        <v>770</v>
      </c>
      <c r="CH58" s="335"/>
      <c r="CI58" s="390">
        <v>16</v>
      </c>
      <c r="CJ58" s="411">
        <v>1.613</v>
      </c>
      <c r="CK58" s="357"/>
      <c r="CL58" s="522">
        <v>1.1000000000000001</v>
      </c>
      <c r="CM58" s="523">
        <v>4</v>
      </c>
      <c r="CN58" s="523">
        <v>11</v>
      </c>
      <c r="CO58" s="523">
        <v>30</v>
      </c>
      <c r="CP58" s="524">
        <v>75</v>
      </c>
      <c r="CQ58" s="357"/>
      <c r="EZ58" s="2303"/>
      <c r="FA58" s="2306"/>
      <c r="FB58" s="525" t="s">
        <v>1072</v>
      </c>
      <c r="FC58" s="526" t="s">
        <v>1073</v>
      </c>
      <c r="FD58" s="2309"/>
      <c r="FE58" s="2312"/>
      <c r="FF58" s="2315"/>
      <c r="FG58" s="2318"/>
      <c r="FH58" s="2321"/>
      <c r="FI58" s="2354"/>
      <c r="FJ58" s="2336"/>
      <c r="FK58" s="2345"/>
      <c r="FL58" s="2357"/>
      <c r="FM58" s="2348"/>
      <c r="FN58" s="2342"/>
      <c r="FO58" s="2336"/>
      <c r="FP58" s="2345"/>
      <c r="FQ58" s="2336"/>
      <c r="FR58" s="2348"/>
      <c r="FS58" s="2342"/>
      <c r="FT58" s="2336"/>
      <c r="FU58" s="2336"/>
      <c r="FV58" s="2336"/>
      <c r="FW58" s="2336"/>
      <c r="FX58" s="2339"/>
      <c r="FY58" s="2342"/>
      <c r="FZ58" s="2336"/>
      <c r="GA58" s="2336"/>
      <c r="GB58" s="2336"/>
      <c r="GC58" s="2336"/>
      <c r="GD58" s="2336"/>
      <c r="GE58" s="2336"/>
      <c r="GF58" s="2339"/>
      <c r="GG58" s="2342"/>
      <c r="GH58" s="2336"/>
      <c r="GI58" s="2330"/>
      <c r="GJ58" s="2333"/>
      <c r="GK58" s="2336"/>
      <c r="GL58" s="2330"/>
      <c r="GT58" s="2303"/>
      <c r="GU58" s="2306"/>
      <c r="GV58" s="525" t="s">
        <v>1072</v>
      </c>
      <c r="GW58" s="526" t="s">
        <v>1073</v>
      </c>
      <c r="GX58" s="2309"/>
      <c r="GY58" s="2312"/>
      <c r="GZ58" s="2315"/>
      <c r="HA58" s="2318"/>
      <c r="HB58" s="2321"/>
      <c r="HC58" s="2354"/>
      <c r="HD58" s="2336"/>
      <c r="HE58" s="2345"/>
      <c r="HF58" s="2357"/>
      <c r="HG58" s="2348"/>
      <c r="HH58" s="2342"/>
      <c r="HI58" s="2336"/>
      <c r="HJ58" s="2345"/>
      <c r="HK58" s="2336"/>
      <c r="HL58" s="2348"/>
      <c r="HM58" s="2342"/>
      <c r="HN58" s="2336"/>
      <c r="HO58" s="2336"/>
      <c r="HP58" s="2336"/>
      <c r="HQ58" s="2336"/>
      <c r="HR58" s="2339"/>
      <c r="HS58" s="2342"/>
      <c r="HT58" s="2336"/>
      <c r="HU58" s="2336"/>
      <c r="HV58" s="2336"/>
      <c r="HW58" s="2336"/>
      <c r="HX58" s="2336"/>
      <c r="HY58" s="2336"/>
      <c r="HZ58" s="2339"/>
      <c r="IA58" s="2342"/>
      <c r="IB58" s="2336"/>
      <c r="IC58" s="2330"/>
      <c r="ID58" s="2333"/>
      <c r="IE58" s="2336"/>
      <c r="IF58" s="2330"/>
      <c r="KJ58"/>
      <c r="KK58"/>
      <c r="KL58"/>
      <c r="KM58"/>
      <c r="KN58"/>
      <c r="KO58"/>
      <c r="KP58"/>
      <c r="KQ58"/>
      <c r="KR58"/>
      <c r="KS58"/>
      <c r="KT58"/>
      <c r="KU58"/>
      <c r="KV58"/>
      <c r="KW58"/>
      <c r="KX58"/>
      <c r="KY58"/>
      <c r="KZ58"/>
      <c r="LA58"/>
      <c r="LB58"/>
      <c r="LC58"/>
      <c r="LD58"/>
      <c r="LE58"/>
      <c r="LF58"/>
      <c r="LG58"/>
      <c r="LH58"/>
      <c r="LI58"/>
      <c r="LJ58"/>
    </row>
    <row r="59" spans="61:322" ht="17.25" thickBot="1">
      <c r="BI59" s="1984" t="s">
        <v>850</v>
      </c>
      <c r="BJ59" s="1975"/>
      <c r="BK59" s="436" t="s">
        <v>851</v>
      </c>
      <c r="BL59" s="436" t="s">
        <v>852</v>
      </c>
      <c r="BM59" s="411" t="s">
        <v>853</v>
      </c>
      <c r="BN59" s="469" t="s">
        <v>770</v>
      </c>
      <c r="BO59" s="335"/>
      <c r="BP59" s="435">
        <v>15</v>
      </c>
      <c r="BQ59" s="469">
        <v>1.8029999999999999</v>
      </c>
      <c r="BR59" s="357"/>
      <c r="BS59" s="435">
        <v>1.5</v>
      </c>
      <c r="BT59" s="436">
        <v>5.5</v>
      </c>
      <c r="BU59" s="436">
        <v>15</v>
      </c>
      <c r="BV59" s="436">
        <v>37</v>
      </c>
      <c r="BW59" s="469">
        <v>90</v>
      </c>
      <c r="BX59" s="357"/>
      <c r="BY59" s="357"/>
      <c r="BZ59" s="473"/>
      <c r="CB59" s="1984" t="s">
        <v>850</v>
      </c>
      <c r="CC59" s="1975"/>
      <c r="CD59" s="436" t="s">
        <v>851</v>
      </c>
      <c r="CE59" s="436" t="s">
        <v>883</v>
      </c>
      <c r="CF59" s="411" t="s">
        <v>846</v>
      </c>
      <c r="CG59" s="469" t="s">
        <v>770</v>
      </c>
      <c r="CH59" s="335"/>
      <c r="CI59" s="435">
        <v>15</v>
      </c>
      <c r="CJ59" s="469">
        <v>1.8029999999999999</v>
      </c>
      <c r="CK59" s="357"/>
      <c r="CL59" s="527">
        <v>1.5</v>
      </c>
      <c r="CM59" s="528">
        <v>5.5</v>
      </c>
      <c r="CN59" s="528">
        <v>15</v>
      </c>
      <c r="CO59" s="528">
        <v>37</v>
      </c>
      <c r="CP59" s="529">
        <v>90</v>
      </c>
      <c r="CQ59" s="357"/>
      <c r="EZ59" s="2301">
        <v>7</v>
      </c>
      <c r="FA59" s="2304">
        <v>14</v>
      </c>
      <c r="FB59" s="515" t="s">
        <v>535</v>
      </c>
      <c r="FC59" s="516"/>
      <c r="FD59" s="2307" t="s">
        <v>1009</v>
      </c>
      <c r="FE59" s="2310" t="s">
        <v>1028</v>
      </c>
      <c r="FF59" s="2360">
        <v>224</v>
      </c>
      <c r="FG59" s="2316">
        <v>250</v>
      </c>
      <c r="FH59" s="2307">
        <v>4</v>
      </c>
      <c r="FI59" s="2352" t="s">
        <v>1055</v>
      </c>
      <c r="FJ59" s="2343">
        <v>15</v>
      </c>
      <c r="FK59" s="2343">
        <v>30</v>
      </c>
      <c r="FL59" s="2355">
        <v>173</v>
      </c>
      <c r="FM59" s="2349">
        <v>4</v>
      </c>
      <c r="FN59" s="2352">
        <v>910</v>
      </c>
      <c r="FO59" s="2343">
        <v>2.2000000000000002</v>
      </c>
      <c r="FP59" s="2343">
        <v>3.8</v>
      </c>
      <c r="FQ59" s="2343">
        <v>1200</v>
      </c>
      <c r="FR59" s="2349">
        <v>4</v>
      </c>
      <c r="FS59" s="2352">
        <v>4</v>
      </c>
      <c r="FT59" s="2343">
        <v>12</v>
      </c>
      <c r="FU59" s="2343">
        <v>2</v>
      </c>
      <c r="FV59" s="2343">
        <v>76</v>
      </c>
      <c r="FW59" s="2343">
        <v>70</v>
      </c>
      <c r="FX59" s="2328">
        <v>73.900000000000006</v>
      </c>
      <c r="FY59" s="2352">
        <v>22000</v>
      </c>
      <c r="FZ59" s="2343">
        <v>2</v>
      </c>
      <c r="GA59" s="2343">
        <v>4</v>
      </c>
      <c r="GB59" s="2343">
        <v>12</v>
      </c>
      <c r="GC59" s="2343">
        <v>1</v>
      </c>
      <c r="GD59" s="2343">
        <v>80</v>
      </c>
      <c r="GE59" s="2343">
        <v>84</v>
      </c>
      <c r="GF59" s="2328">
        <v>46.7</v>
      </c>
      <c r="GG59" s="2352">
        <v>1</v>
      </c>
      <c r="GH59" s="2343">
        <v>18.5</v>
      </c>
      <c r="GI59" s="2328">
        <v>29.5</v>
      </c>
      <c r="GJ59" s="2374">
        <v>42</v>
      </c>
      <c r="GK59" s="2343">
        <v>3</v>
      </c>
      <c r="GL59" s="2328">
        <v>51.851851850000003</v>
      </c>
      <c r="GT59" s="2301">
        <v>7</v>
      </c>
      <c r="GU59" s="2304">
        <v>14</v>
      </c>
      <c r="GV59" s="515" t="s">
        <v>535</v>
      </c>
      <c r="GW59" s="516"/>
      <c r="GX59" s="2307" t="s">
        <v>1009</v>
      </c>
      <c r="GY59" s="2310" t="s">
        <v>1100</v>
      </c>
      <c r="GZ59" s="2360">
        <v>237.3845652173913</v>
      </c>
      <c r="HA59" s="2316">
        <v>250</v>
      </c>
      <c r="HB59" s="2307">
        <v>4</v>
      </c>
      <c r="HC59" s="2352" t="s">
        <v>1055</v>
      </c>
      <c r="HD59" s="2343">
        <v>15</v>
      </c>
      <c r="HE59" s="2343">
        <v>27.9</v>
      </c>
      <c r="HF59" s="2355">
        <v>173</v>
      </c>
      <c r="HG59" s="2349">
        <v>4</v>
      </c>
      <c r="HH59" s="2352">
        <v>910</v>
      </c>
      <c r="HI59" s="2343">
        <v>2.2000000000000002</v>
      </c>
      <c r="HJ59" s="2343">
        <v>5.51</v>
      </c>
      <c r="HK59" s="2343">
        <v>1200</v>
      </c>
      <c r="HL59" s="2349">
        <v>4</v>
      </c>
      <c r="HM59" s="2352">
        <v>4</v>
      </c>
      <c r="HN59" s="2343">
        <v>12</v>
      </c>
      <c r="HO59" s="2343">
        <v>2</v>
      </c>
      <c r="HP59" s="2343">
        <v>76</v>
      </c>
      <c r="HQ59" s="2343">
        <v>70</v>
      </c>
      <c r="HR59" s="2328">
        <v>73.900000000000006</v>
      </c>
      <c r="HS59" s="2352">
        <v>22000</v>
      </c>
      <c r="HT59" s="2343">
        <v>2</v>
      </c>
      <c r="HU59" s="2343">
        <v>4</v>
      </c>
      <c r="HV59" s="2343">
        <v>12</v>
      </c>
      <c r="HW59" s="2343">
        <v>1</v>
      </c>
      <c r="HX59" s="2343">
        <v>80</v>
      </c>
      <c r="HY59" s="2343">
        <v>84</v>
      </c>
      <c r="HZ59" s="2328">
        <v>46.7</v>
      </c>
      <c r="IA59" s="2352">
        <v>1</v>
      </c>
      <c r="IB59" s="2343">
        <v>18.5</v>
      </c>
      <c r="IC59" s="2328">
        <v>35.9</v>
      </c>
      <c r="ID59" s="2374">
        <v>42</v>
      </c>
      <c r="IE59" s="2343">
        <v>3</v>
      </c>
      <c r="IF59" s="2328">
        <v>60.869565217391305</v>
      </c>
      <c r="KJ59"/>
      <c r="KK59"/>
      <c r="KL59"/>
      <c r="KM59"/>
      <c r="KN59"/>
      <c r="KO59"/>
      <c r="KP59"/>
      <c r="KQ59"/>
      <c r="KR59"/>
      <c r="KS59"/>
      <c r="KT59"/>
      <c r="KU59"/>
      <c r="KV59"/>
      <c r="KW59"/>
      <c r="KX59"/>
      <c r="KY59"/>
      <c r="KZ59"/>
      <c r="LA59"/>
      <c r="LB59"/>
      <c r="LC59"/>
      <c r="LD59"/>
      <c r="LE59"/>
      <c r="LF59"/>
      <c r="LG59"/>
      <c r="LH59"/>
      <c r="LI59"/>
      <c r="LJ59"/>
    </row>
    <row r="60" spans="61:322" ht="17.25" thickBot="1">
      <c r="BI60" s="530"/>
      <c r="BJ60" s="531"/>
      <c r="BK60" s="357"/>
      <c r="BL60" s="357"/>
      <c r="BM60" s="357"/>
      <c r="BN60" s="357"/>
      <c r="BO60" s="357"/>
      <c r="BP60" s="357"/>
      <c r="BQ60" s="357"/>
      <c r="BR60" s="357"/>
      <c r="BS60" s="357"/>
      <c r="BT60" s="357"/>
      <c r="BU60" s="357"/>
      <c r="BV60" s="357"/>
      <c r="BW60" s="357"/>
      <c r="BX60" s="357"/>
      <c r="BY60" s="357"/>
      <c r="BZ60" s="473"/>
      <c r="CB60" s="530"/>
      <c r="CC60" s="531"/>
      <c r="CD60" s="357"/>
      <c r="CE60" s="357"/>
      <c r="CF60" s="357"/>
      <c r="CG60" s="357"/>
      <c r="CH60" s="357"/>
      <c r="CI60" s="357"/>
      <c r="CJ60" s="357"/>
      <c r="CK60" s="357"/>
      <c r="CL60" s="357"/>
      <c r="CM60" s="357"/>
      <c r="CN60" s="357"/>
      <c r="CO60" s="357"/>
      <c r="CP60" s="357"/>
      <c r="CQ60" s="357"/>
      <c r="EZ60" s="2302"/>
      <c r="FA60" s="2305"/>
      <c r="FB60" s="520" t="s">
        <v>1074</v>
      </c>
      <c r="FC60" s="521"/>
      <c r="FD60" s="2308"/>
      <c r="FE60" s="2358"/>
      <c r="FF60" s="2361"/>
      <c r="FG60" s="2317"/>
      <c r="FH60" s="2308"/>
      <c r="FI60" s="2353"/>
      <c r="FJ60" s="2344"/>
      <c r="FK60" s="2344"/>
      <c r="FL60" s="2356"/>
      <c r="FM60" s="2350"/>
      <c r="FN60" s="2353"/>
      <c r="FO60" s="2344"/>
      <c r="FP60" s="2344"/>
      <c r="FQ60" s="2344"/>
      <c r="FR60" s="2350"/>
      <c r="FS60" s="2353"/>
      <c r="FT60" s="2344"/>
      <c r="FU60" s="2344"/>
      <c r="FV60" s="2344"/>
      <c r="FW60" s="2344"/>
      <c r="FX60" s="2329"/>
      <c r="FY60" s="2353"/>
      <c r="FZ60" s="2344"/>
      <c r="GA60" s="2344"/>
      <c r="GB60" s="2344"/>
      <c r="GC60" s="2344"/>
      <c r="GD60" s="2344"/>
      <c r="GE60" s="2344"/>
      <c r="GF60" s="2329"/>
      <c r="GG60" s="2353"/>
      <c r="GH60" s="2344"/>
      <c r="GI60" s="2329"/>
      <c r="GJ60" s="2375"/>
      <c r="GK60" s="2344"/>
      <c r="GL60" s="2329"/>
      <c r="GT60" s="2302"/>
      <c r="GU60" s="2305"/>
      <c r="GV60" s="520" t="s">
        <v>1074</v>
      </c>
      <c r="GW60" s="521"/>
      <c r="GX60" s="2308"/>
      <c r="GY60" s="2358"/>
      <c r="GZ60" s="2361"/>
      <c r="HA60" s="2317"/>
      <c r="HB60" s="2308"/>
      <c r="HC60" s="2353"/>
      <c r="HD60" s="2344"/>
      <c r="HE60" s="2344"/>
      <c r="HF60" s="2356"/>
      <c r="HG60" s="2350"/>
      <c r="HH60" s="2353"/>
      <c r="HI60" s="2344"/>
      <c r="HJ60" s="2344"/>
      <c r="HK60" s="2344"/>
      <c r="HL60" s="2350"/>
      <c r="HM60" s="2353"/>
      <c r="HN60" s="2344"/>
      <c r="HO60" s="2344"/>
      <c r="HP60" s="2344"/>
      <c r="HQ60" s="2344"/>
      <c r="HR60" s="2329"/>
      <c r="HS60" s="2353"/>
      <c r="HT60" s="2344"/>
      <c r="HU60" s="2344"/>
      <c r="HV60" s="2344"/>
      <c r="HW60" s="2344"/>
      <c r="HX60" s="2344"/>
      <c r="HY60" s="2344"/>
      <c r="HZ60" s="2329"/>
      <c r="IA60" s="2353"/>
      <c r="IB60" s="2344"/>
      <c r="IC60" s="2329"/>
      <c r="ID60" s="2375"/>
      <c r="IE60" s="2344"/>
      <c r="IF60" s="2329"/>
      <c r="KJ60"/>
      <c r="KK60"/>
      <c r="KL60"/>
      <c r="KM60"/>
      <c r="KN60"/>
      <c r="KO60"/>
      <c r="KP60"/>
      <c r="KQ60"/>
      <c r="KR60"/>
      <c r="KS60"/>
      <c r="KT60"/>
      <c r="KU60"/>
      <c r="KV60"/>
      <c r="KW60"/>
      <c r="KX60"/>
      <c r="KY60"/>
      <c r="KZ60"/>
      <c r="LA60"/>
      <c r="LB60"/>
      <c r="LC60"/>
      <c r="LD60"/>
      <c r="LE60"/>
      <c r="LF60"/>
      <c r="LG60"/>
      <c r="LH60"/>
      <c r="LI60"/>
      <c r="LJ60"/>
    </row>
    <row r="61" spans="61:322" ht="17.25" thickBot="1">
      <c r="BI61" s="2009" t="s">
        <v>854</v>
      </c>
      <c r="BJ61" s="2010"/>
      <c r="BK61" s="2011"/>
      <c r="BL61" s="532" t="s">
        <v>855</v>
      </c>
      <c r="BM61" s="532" t="s">
        <v>856</v>
      </c>
      <c r="BN61" s="532" t="s">
        <v>857</v>
      </c>
      <c r="BO61" s="533"/>
      <c r="BP61" s="532" t="s">
        <v>858</v>
      </c>
      <c r="BQ61" s="532" t="s">
        <v>859</v>
      </c>
      <c r="BR61" s="357"/>
      <c r="BS61" s="2012" t="s">
        <v>860</v>
      </c>
      <c r="BT61" s="2013"/>
      <c r="BU61" s="2014"/>
      <c r="BV61" s="2012" t="s">
        <v>861</v>
      </c>
      <c r="BW61" s="2014"/>
      <c r="BX61" s="357"/>
      <c r="BY61" s="357"/>
      <c r="BZ61" s="473"/>
      <c r="CB61" s="2009" t="s">
        <v>854</v>
      </c>
      <c r="CC61" s="2010"/>
      <c r="CD61" s="2011"/>
      <c r="CE61" s="532" t="s">
        <v>855</v>
      </c>
      <c r="CF61" s="532" t="s">
        <v>856</v>
      </c>
      <c r="CG61" s="532" t="s">
        <v>857</v>
      </c>
      <c r="CH61" s="533"/>
      <c r="CI61" s="532" t="s">
        <v>858</v>
      </c>
      <c r="CJ61" s="532" t="s">
        <v>859</v>
      </c>
      <c r="CK61" s="357"/>
      <c r="CL61" s="2012" t="s">
        <v>860</v>
      </c>
      <c r="CM61" s="2013"/>
      <c r="CN61" s="2014"/>
      <c r="CO61" s="2012" t="s">
        <v>861</v>
      </c>
      <c r="CP61" s="2014"/>
      <c r="CQ61" s="357"/>
      <c r="EZ61" s="2302"/>
      <c r="FA61" s="2305"/>
      <c r="FB61" s="520" t="s">
        <v>1075</v>
      </c>
      <c r="FC61" s="521"/>
      <c r="FD61" s="2308"/>
      <c r="FE61" s="2358"/>
      <c r="FF61" s="2361"/>
      <c r="FG61" s="2317"/>
      <c r="FH61" s="2308"/>
      <c r="FI61" s="2353"/>
      <c r="FJ61" s="2344"/>
      <c r="FK61" s="2344"/>
      <c r="FL61" s="2356"/>
      <c r="FM61" s="2350"/>
      <c r="FN61" s="2353"/>
      <c r="FO61" s="2344"/>
      <c r="FP61" s="2344"/>
      <c r="FQ61" s="2344"/>
      <c r="FR61" s="2350"/>
      <c r="FS61" s="2353"/>
      <c r="FT61" s="2344"/>
      <c r="FU61" s="2344"/>
      <c r="FV61" s="2344"/>
      <c r="FW61" s="2344"/>
      <c r="FX61" s="2329"/>
      <c r="FY61" s="2353"/>
      <c r="FZ61" s="2344"/>
      <c r="GA61" s="2344"/>
      <c r="GB61" s="2344"/>
      <c r="GC61" s="2344"/>
      <c r="GD61" s="2344"/>
      <c r="GE61" s="2344"/>
      <c r="GF61" s="2329"/>
      <c r="GG61" s="2353"/>
      <c r="GH61" s="2344"/>
      <c r="GI61" s="2329"/>
      <c r="GJ61" s="2375"/>
      <c r="GK61" s="2344"/>
      <c r="GL61" s="2329"/>
      <c r="GT61" s="2302"/>
      <c r="GU61" s="2305"/>
      <c r="GV61" s="520" t="s">
        <v>1075</v>
      </c>
      <c r="GW61" s="521"/>
      <c r="GX61" s="2308"/>
      <c r="GY61" s="2358"/>
      <c r="GZ61" s="2361"/>
      <c r="HA61" s="2317"/>
      <c r="HB61" s="2308"/>
      <c r="HC61" s="2353"/>
      <c r="HD61" s="2344"/>
      <c r="HE61" s="2344"/>
      <c r="HF61" s="2356"/>
      <c r="HG61" s="2350"/>
      <c r="HH61" s="2353"/>
      <c r="HI61" s="2344"/>
      <c r="HJ61" s="2344"/>
      <c r="HK61" s="2344"/>
      <c r="HL61" s="2350"/>
      <c r="HM61" s="2353"/>
      <c r="HN61" s="2344"/>
      <c r="HO61" s="2344"/>
      <c r="HP61" s="2344"/>
      <c r="HQ61" s="2344"/>
      <c r="HR61" s="2329"/>
      <c r="HS61" s="2353"/>
      <c r="HT61" s="2344"/>
      <c r="HU61" s="2344"/>
      <c r="HV61" s="2344"/>
      <c r="HW61" s="2344"/>
      <c r="HX61" s="2344"/>
      <c r="HY61" s="2344"/>
      <c r="HZ61" s="2329"/>
      <c r="IA61" s="2353"/>
      <c r="IB61" s="2344"/>
      <c r="IC61" s="2329"/>
      <c r="ID61" s="2375"/>
      <c r="IE61" s="2344"/>
      <c r="IF61" s="2329"/>
      <c r="KJ61"/>
      <c r="KK61"/>
      <c r="KL61"/>
      <c r="KM61"/>
      <c r="KN61"/>
      <c r="KO61"/>
      <c r="KP61"/>
      <c r="KQ61"/>
      <c r="KR61"/>
      <c r="KS61"/>
      <c r="KT61"/>
      <c r="KU61"/>
      <c r="KV61"/>
      <c r="KW61"/>
      <c r="KX61"/>
      <c r="KY61"/>
      <c r="KZ61"/>
      <c r="LA61"/>
      <c r="LB61"/>
      <c r="LC61"/>
      <c r="LD61"/>
      <c r="LE61"/>
      <c r="LF61"/>
      <c r="LG61"/>
      <c r="LH61"/>
      <c r="LI61"/>
      <c r="LJ61"/>
    </row>
    <row r="62" spans="61:322" ht="17.25" thickBot="1">
      <c r="BZ62" s="333"/>
      <c r="EZ62" s="2303"/>
      <c r="FA62" s="2306"/>
      <c r="FB62" s="525" t="s">
        <v>1076</v>
      </c>
      <c r="FC62" s="526" t="s">
        <v>1077</v>
      </c>
      <c r="FD62" s="2309"/>
      <c r="FE62" s="2359"/>
      <c r="FF62" s="2362"/>
      <c r="FG62" s="2318"/>
      <c r="FH62" s="2309"/>
      <c r="FI62" s="2354"/>
      <c r="FJ62" s="2345"/>
      <c r="FK62" s="2345"/>
      <c r="FL62" s="2357"/>
      <c r="FM62" s="2351"/>
      <c r="FN62" s="2354"/>
      <c r="FO62" s="2345"/>
      <c r="FP62" s="2345"/>
      <c r="FQ62" s="2345"/>
      <c r="FR62" s="2351"/>
      <c r="FS62" s="2354"/>
      <c r="FT62" s="2345"/>
      <c r="FU62" s="2345"/>
      <c r="FV62" s="2345"/>
      <c r="FW62" s="2345"/>
      <c r="FX62" s="2330"/>
      <c r="FY62" s="2354"/>
      <c r="FZ62" s="2345"/>
      <c r="GA62" s="2345"/>
      <c r="GB62" s="2345"/>
      <c r="GC62" s="2345"/>
      <c r="GD62" s="2345"/>
      <c r="GE62" s="2345"/>
      <c r="GF62" s="2330"/>
      <c r="GG62" s="2354"/>
      <c r="GH62" s="2345"/>
      <c r="GI62" s="2330"/>
      <c r="GJ62" s="2376"/>
      <c r="GK62" s="2345"/>
      <c r="GL62" s="2330"/>
      <c r="GT62" s="2303"/>
      <c r="GU62" s="2306"/>
      <c r="GV62" s="525" t="s">
        <v>1076</v>
      </c>
      <c r="GW62" s="526" t="s">
        <v>1077</v>
      </c>
      <c r="GX62" s="2309"/>
      <c r="GY62" s="2359"/>
      <c r="GZ62" s="2362"/>
      <c r="HA62" s="2318"/>
      <c r="HB62" s="2309"/>
      <c r="HC62" s="2354"/>
      <c r="HD62" s="2345"/>
      <c r="HE62" s="2345"/>
      <c r="HF62" s="2357"/>
      <c r="HG62" s="2351"/>
      <c r="HH62" s="2354"/>
      <c r="HI62" s="2345"/>
      <c r="HJ62" s="2345"/>
      <c r="HK62" s="2345"/>
      <c r="HL62" s="2351"/>
      <c r="HM62" s="2354"/>
      <c r="HN62" s="2345"/>
      <c r="HO62" s="2345"/>
      <c r="HP62" s="2345"/>
      <c r="HQ62" s="2345"/>
      <c r="HR62" s="2330"/>
      <c r="HS62" s="2354"/>
      <c r="HT62" s="2345"/>
      <c r="HU62" s="2345"/>
      <c r="HV62" s="2345"/>
      <c r="HW62" s="2345"/>
      <c r="HX62" s="2345"/>
      <c r="HY62" s="2345"/>
      <c r="HZ62" s="2330"/>
      <c r="IA62" s="2354"/>
      <c r="IB62" s="2345"/>
      <c r="IC62" s="2330"/>
      <c r="ID62" s="2376"/>
      <c r="IE62" s="2345"/>
      <c r="IF62" s="2330"/>
      <c r="KJ62"/>
      <c r="KK62"/>
      <c r="KL62"/>
      <c r="KM62"/>
      <c r="KN62"/>
      <c r="KO62"/>
      <c r="KP62"/>
      <c r="KQ62"/>
      <c r="KR62"/>
      <c r="KS62"/>
      <c r="KT62"/>
      <c r="KU62"/>
      <c r="KV62"/>
      <c r="KW62"/>
      <c r="KX62"/>
      <c r="KY62"/>
      <c r="KZ62"/>
      <c r="LA62"/>
      <c r="LB62"/>
      <c r="LC62"/>
      <c r="LD62"/>
      <c r="LE62"/>
      <c r="LF62"/>
      <c r="LG62"/>
      <c r="LH62"/>
      <c r="LI62"/>
      <c r="LJ62"/>
    </row>
    <row r="63" spans="61:322" ht="17.25" thickBot="1">
      <c r="BZ63" s="334"/>
      <c r="EZ63" s="2301">
        <v>8</v>
      </c>
      <c r="FA63" s="2304">
        <v>15</v>
      </c>
      <c r="FB63" s="515" t="s">
        <v>538</v>
      </c>
      <c r="FC63" s="516"/>
      <c r="FD63" s="2307" t="s">
        <v>1009</v>
      </c>
      <c r="FE63" s="2367" t="s">
        <v>1028</v>
      </c>
      <c r="FF63" s="2313">
        <v>304</v>
      </c>
      <c r="FG63" s="2316">
        <v>350</v>
      </c>
      <c r="FH63" s="2319">
        <v>6</v>
      </c>
      <c r="FI63" s="2352" t="s">
        <v>1055</v>
      </c>
      <c r="FJ63" s="2334">
        <v>15</v>
      </c>
      <c r="FK63" s="2343">
        <v>30</v>
      </c>
      <c r="FL63" s="2355">
        <v>173</v>
      </c>
      <c r="FM63" s="2346">
        <v>6</v>
      </c>
      <c r="FN63" s="2340">
        <v>910</v>
      </c>
      <c r="FO63" s="2334">
        <v>2.2000000000000002</v>
      </c>
      <c r="FP63" s="2343">
        <v>3.8</v>
      </c>
      <c r="FQ63" s="2334">
        <v>1200</v>
      </c>
      <c r="FR63" s="2346">
        <v>4</v>
      </c>
      <c r="FS63" s="2340">
        <v>4</v>
      </c>
      <c r="FT63" s="2334">
        <v>12</v>
      </c>
      <c r="FU63" s="2334">
        <v>4</v>
      </c>
      <c r="FV63" s="2334">
        <v>76</v>
      </c>
      <c r="FW63" s="2334">
        <v>65</v>
      </c>
      <c r="FX63" s="2337">
        <v>137.19999999999999</v>
      </c>
      <c r="FY63" s="2340">
        <v>28000</v>
      </c>
      <c r="FZ63" s="2334">
        <v>2.5</v>
      </c>
      <c r="GA63" s="2334">
        <v>6</v>
      </c>
      <c r="GB63" s="2334">
        <v>12</v>
      </c>
      <c r="GC63" s="2334">
        <v>1</v>
      </c>
      <c r="GD63" s="2334">
        <v>99</v>
      </c>
      <c r="GE63" s="2334">
        <v>84</v>
      </c>
      <c r="GF63" s="2337">
        <v>57.8</v>
      </c>
      <c r="GG63" s="2340">
        <v>1</v>
      </c>
      <c r="GH63" s="2334">
        <v>22</v>
      </c>
      <c r="GI63" s="2328">
        <v>35.4</v>
      </c>
      <c r="GJ63" s="2331">
        <v>54</v>
      </c>
      <c r="GK63" s="2334">
        <v>3</v>
      </c>
      <c r="GL63" s="2328">
        <v>66.666666669999998</v>
      </c>
      <c r="GT63" s="2301">
        <v>8</v>
      </c>
      <c r="GU63" s="2304">
        <v>15</v>
      </c>
      <c r="GV63" s="515" t="s">
        <v>538</v>
      </c>
      <c r="GW63" s="516"/>
      <c r="GX63" s="2307" t="s">
        <v>1009</v>
      </c>
      <c r="GY63" s="2367" t="s">
        <v>1100</v>
      </c>
      <c r="GZ63" s="2313">
        <v>317.6758695652174</v>
      </c>
      <c r="HA63" s="2316">
        <v>350</v>
      </c>
      <c r="HB63" s="2319">
        <v>6</v>
      </c>
      <c r="HC63" s="2352" t="s">
        <v>1055</v>
      </c>
      <c r="HD63" s="2334">
        <v>15</v>
      </c>
      <c r="HE63" s="2343">
        <v>27.9</v>
      </c>
      <c r="HF63" s="2355">
        <v>173</v>
      </c>
      <c r="HG63" s="2346">
        <v>6</v>
      </c>
      <c r="HH63" s="2340">
        <v>910</v>
      </c>
      <c r="HI63" s="2334">
        <v>2.2000000000000002</v>
      </c>
      <c r="HJ63" s="2343">
        <v>5.51</v>
      </c>
      <c r="HK63" s="2334">
        <v>1200</v>
      </c>
      <c r="HL63" s="2346">
        <v>4</v>
      </c>
      <c r="HM63" s="2340">
        <v>4</v>
      </c>
      <c r="HN63" s="2334">
        <v>12</v>
      </c>
      <c r="HO63" s="2334">
        <v>4</v>
      </c>
      <c r="HP63" s="2334">
        <v>76</v>
      </c>
      <c r="HQ63" s="2334">
        <v>65</v>
      </c>
      <c r="HR63" s="2337">
        <v>137.19999999999999</v>
      </c>
      <c r="HS63" s="2340">
        <v>28000</v>
      </c>
      <c r="HT63" s="2334">
        <v>2.5</v>
      </c>
      <c r="HU63" s="2334">
        <v>6</v>
      </c>
      <c r="HV63" s="2334">
        <v>12</v>
      </c>
      <c r="HW63" s="2334">
        <v>1</v>
      </c>
      <c r="HX63" s="2334">
        <v>99</v>
      </c>
      <c r="HY63" s="2334">
        <v>84</v>
      </c>
      <c r="HZ63" s="2337">
        <v>57.8</v>
      </c>
      <c r="IA63" s="2340">
        <v>1</v>
      </c>
      <c r="IB63" s="2334">
        <v>22</v>
      </c>
      <c r="IC63" s="2328">
        <v>43</v>
      </c>
      <c r="ID63" s="2331">
        <v>54</v>
      </c>
      <c r="IE63" s="2334">
        <v>3</v>
      </c>
      <c r="IF63" s="2328">
        <v>78.260869565217391</v>
      </c>
      <c r="KJ63"/>
      <c r="KK63"/>
      <c r="KL63"/>
      <c r="KM63"/>
      <c r="KN63"/>
      <c r="KO63"/>
      <c r="KP63"/>
      <c r="KQ63"/>
      <c r="KR63"/>
      <c r="KS63"/>
      <c r="KT63"/>
      <c r="KU63"/>
      <c r="KV63"/>
      <c r="KW63"/>
      <c r="KX63"/>
      <c r="KY63"/>
      <c r="KZ63"/>
      <c r="LA63"/>
      <c r="LB63"/>
      <c r="LC63"/>
      <c r="LD63"/>
      <c r="LE63"/>
      <c r="LF63"/>
      <c r="LG63"/>
      <c r="LH63"/>
      <c r="LI63"/>
      <c r="LJ63"/>
    </row>
    <row r="64" spans="61:322" ht="33">
      <c r="EZ64" s="2302"/>
      <c r="FA64" s="2305"/>
      <c r="FB64" s="520" t="s">
        <v>1078</v>
      </c>
      <c r="FC64" s="521"/>
      <c r="FD64" s="2308"/>
      <c r="FE64" s="2311"/>
      <c r="FF64" s="2314"/>
      <c r="FG64" s="2317"/>
      <c r="FH64" s="2320"/>
      <c r="FI64" s="2353"/>
      <c r="FJ64" s="2335"/>
      <c r="FK64" s="2344"/>
      <c r="FL64" s="2356"/>
      <c r="FM64" s="2347"/>
      <c r="FN64" s="2341"/>
      <c r="FO64" s="2335"/>
      <c r="FP64" s="2344"/>
      <c r="FQ64" s="2335"/>
      <c r="FR64" s="2347"/>
      <c r="FS64" s="2341"/>
      <c r="FT64" s="2335"/>
      <c r="FU64" s="2335"/>
      <c r="FV64" s="2335"/>
      <c r="FW64" s="2335"/>
      <c r="FX64" s="2338"/>
      <c r="FY64" s="2341"/>
      <c r="FZ64" s="2335"/>
      <c r="GA64" s="2335"/>
      <c r="GB64" s="2335"/>
      <c r="GC64" s="2335"/>
      <c r="GD64" s="2335"/>
      <c r="GE64" s="2335"/>
      <c r="GF64" s="2338"/>
      <c r="GG64" s="2341"/>
      <c r="GH64" s="2335"/>
      <c r="GI64" s="2329"/>
      <c r="GJ64" s="2332"/>
      <c r="GK64" s="2335"/>
      <c r="GL64" s="2329"/>
      <c r="GT64" s="2302"/>
      <c r="GU64" s="2305"/>
      <c r="GV64" s="520" t="s">
        <v>1078</v>
      </c>
      <c r="GW64" s="521"/>
      <c r="GX64" s="2308"/>
      <c r="GY64" s="2311"/>
      <c r="GZ64" s="2314"/>
      <c r="HA64" s="2317"/>
      <c r="HB64" s="2320"/>
      <c r="HC64" s="2353"/>
      <c r="HD64" s="2335"/>
      <c r="HE64" s="2344"/>
      <c r="HF64" s="2356"/>
      <c r="HG64" s="2347"/>
      <c r="HH64" s="2341"/>
      <c r="HI64" s="2335"/>
      <c r="HJ64" s="2344"/>
      <c r="HK64" s="2335"/>
      <c r="HL64" s="2347"/>
      <c r="HM64" s="2341"/>
      <c r="HN64" s="2335"/>
      <c r="HO64" s="2335"/>
      <c r="HP64" s="2335"/>
      <c r="HQ64" s="2335"/>
      <c r="HR64" s="2338"/>
      <c r="HS64" s="2341"/>
      <c r="HT64" s="2335"/>
      <c r="HU64" s="2335"/>
      <c r="HV64" s="2335"/>
      <c r="HW64" s="2335"/>
      <c r="HX64" s="2335"/>
      <c r="HY64" s="2335"/>
      <c r="HZ64" s="2338"/>
      <c r="IA64" s="2341"/>
      <c r="IB64" s="2335"/>
      <c r="IC64" s="2329"/>
      <c r="ID64" s="2332"/>
      <c r="IE64" s="2335"/>
      <c r="IF64" s="2329"/>
      <c r="KJ64"/>
      <c r="KK64"/>
      <c r="KL64"/>
      <c r="KM64"/>
      <c r="KN64"/>
      <c r="KO64"/>
      <c r="KP64"/>
      <c r="KQ64"/>
      <c r="KR64"/>
      <c r="KS64"/>
      <c r="KT64"/>
      <c r="KU64"/>
      <c r="KV64"/>
      <c r="KW64"/>
      <c r="KX64"/>
      <c r="KY64"/>
      <c r="KZ64"/>
      <c r="LA64"/>
      <c r="LB64"/>
      <c r="LC64"/>
      <c r="LD64"/>
      <c r="LE64"/>
      <c r="LF64"/>
      <c r="LG64"/>
      <c r="LH64"/>
      <c r="LI64"/>
      <c r="LJ64"/>
    </row>
    <row r="65" spans="156:322" ht="33">
      <c r="EZ65" s="2302"/>
      <c r="FA65" s="2305"/>
      <c r="FB65" s="520" t="s">
        <v>1079</v>
      </c>
      <c r="FC65" s="521"/>
      <c r="FD65" s="2308"/>
      <c r="FE65" s="2311"/>
      <c r="FF65" s="2314"/>
      <c r="FG65" s="2317"/>
      <c r="FH65" s="2320"/>
      <c r="FI65" s="2353"/>
      <c r="FJ65" s="2335"/>
      <c r="FK65" s="2344"/>
      <c r="FL65" s="2356"/>
      <c r="FM65" s="2347"/>
      <c r="FN65" s="2341"/>
      <c r="FO65" s="2335"/>
      <c r="FP65" s="2344"/>
      <c r="FQ65" s="2335"/>
      <c r="FR65" s="2347"/>
      <c r="FS65" s="2341"/>
      <c r="FT65" s="2335"/>
      <c r="FU65" s="2335"/>
      <c r="FV65" s="2335"/>
      <c r="FW65" s="2335"/>
      <c r="FX65" s="2338"/>
      <c r="FY65" s="2341"/>
      <c r="FZ65" s="2335"/>
      <c r="GA65" s="2335"/>
      <c r="GB65" s="2335"/>
      <c r="GC65" s="2335"/>
      <c r="GD65" s="2335"/>
      <c r="GE65" s="2335"/>
      <c r="GF65" s="2338"/>
      <c r="GG65" s="2341"/>
      <c r="GH65" s="2335"/>
      <c r="GI65" s="2329"/>
      <c r="GJ65" s="2332"/>
      <c r="GK65" s="2335"/>
      <c r="GL65" s="2329"/>
      <c r="GT65" s="2302"/>
      <c r="GU65" s="2305"/>
      <c r="GV65" s="520" t="s">
        <v>1079</v>
      </c>
      <c r="GW65" s="521"/>
      <c r="GX65" s="2308"/>
      <c r="GY65" s="2311"/>
      <c r="GZ65" s="2314"/>
      <c r="HA65" s="2317"/>
      <c r="HB65" s="2320"/>
      <c r="HC65" s="2353"/>
      <c r="HD65" s="2335"/>
      <c r="HE65" s="2344"/>
      <c r="HF65" s="2356"/>
      <c r="HG65" s="2347"/>
      <c r="HH65" s="2341"/>
      <c r="HI65" s="2335"/>
      <c r="HJ65" s="2344"/>
      <c r="HK65" s="2335"/>
      <c r="HL65" s="2347"/>
      <c r="HM65" s="2341"/>
      <c r="HN65" s="2335"/>
      <c r="HO65" s="2335"/>
      <c r="HP65" s="2335"/>
      <c r="HQ65" s="2335"/>
      <c r="HR65" s="2338"/>
      <c r="HS65" s="2341"/>
      <c r="HT65" s="2335"/>
      <c r="HU65" s="2335"/>
      <c r="HV65" s="2335"/>
      <c r="HW65" s="2335"/>
      <c r="HX65" s="2335"/>
      <c r="HY65" s="2335"/>
      <c r="HZ65" s="2338"/>
      <c r="IA65" s="2341"/>
      <c r="IB65" s="2335"/>
      <c r="IC65" s="2329"/>
      <c r="ID65" s="2332"/>
      <c r="IE65" s="2335"/>
      <c r="IF65" s="2329"/>
      <c r="KJ65"/>
      <c r="KK65"/>
      <c r="KL65"/>
      <c r="KM65"/>
      <c r="KN65"/>
      <c r="KO65"/>
      <c r="KP65"/>
      <c r="KQ65"/>
      <c r="KR65"/>
      <c r="KS65"/>
      <c r="KT65"/>
      <c r="KU65"/>
      <c r="KV65"/>
      <c r="KW65"/>
      <c r="KX65"/>
      <c r="KY65"/>
      <c r="KZ65"/>
      <c r="LA65"/>
      <c r="LB65"/>
      <c r="LC65"/>
      <c r="LD65"/>
      <c r="LE65"/>
      <c r="LF65"/>
      <c r="LG65"/>
      <c r="LH65"/>
      <c r="LI65"/>
      <c r="LJ65"/>
    </row>
    <row r="66" spans="156:322" ht="33.75" thickBot="1">
      <c r="EZ66" s="2364"/>
      <c r="FA66" s="2365"/>
      <c r="FB66" s="534" t="s">
        <v>1080</v>
      </c>
      <c r="FC66" s="535" t="s">
        <v>1081</v>
      </c>
      <c r="FD66" s="2366"/>
      <c r="FE66" s="2368"/>
      <c r="FF66" s="2369"/>
      <c r="FG66" s="2370"/>
      <c r="FH66" s="2371"/>
      <c r="FI66" s="2372"/>
      <c r="FJ66" s="2373"/>
      <c r="FK66" s="2363"/>
      <c r="FL66" s="2386"/>
      <c r="FM66" s="2385"/>
      <c r="FN66" s="2384"/>
      <c r="FO66" s="2373"/>
      <c r="FP66" s="2363"/>
      <c r="FQ66" s="2373"/>
      <c r="FR66" s="2385"/>
      <c r="FS66" s="2384"/>
      <c r="FT66" s="2373"/>
      <c r="FU66" s="2373"/>
      <c r="FV66" s="2373"/>
      <c r="FW66" s="2373"/>
      <c r="FX66" s="2383"/>
      <c r="FY66" s="2384"/>
      <c r="FZ66" s="2373"/>
      <c r="GA66" s="2373"/>
      <c r="GB66" s="2373"/>
      <c r="GC66" s="2373"/>
      <c r="GD66" s="2373"/>
      <c r="GE66" s="2373"/>
      <c r="GF66" s="2383"/>
      <c r="GG66" s="2384"/>
      <c r="GH66" s="2373"/>
      <c r="GI66" s="2378"/>
      <c r="GJ66" s="2379"/>
      <c r="GK66" s="2373"/>
      <c r="GL66" s="2378"/>
      <c r="GT66" s="2364"/>
      <c r="GU66" s="2365"/>
      <c r="GV66" s="534" t="s">
        <v>1080</v>
      </c>
      <c r="GW66" s="535" t="s">
        <v>1081</v>
      </c>
      <c r="GX66" s="2366"/>
      <c r="GY66" s="2368"/>
      <c r="GZ66" s="2369"/>
      <c r="HA66" s="2370"/>
      <c r="HB66" s="2371"/>
      <c r="HC66" s="2372"/>
      <c r="HD66" s="2373"/>
      <c r="HE66" s="2363"/>
      <c r="HF66" s="2386"/>
      <c r="HG66" s="2385"/>
      <c r="HH66" s="2384"/>
      <c r="HI66" s="2373"/>
      <c r="HJ66" s="2363"/>
      <c r="HK66" s="2373"/>
      <c r="HL66" s="2385"/>
      <c r="HM66" s="2384"/>
      <c r="HN66" s="2373"/>
      <c r="HO66" s="2373"/>
      <c r="HP66" s="2373"/>
      <c r="HQ66" s="2373"/>
      <c r="HR66" s="2383"/>
      <c r="HS66" s="2384"/>
      <c r="HT66" s="2373"/>
      <c r="HU66" s="2373"/>
      <c r="HV66" s="2373"/>
      <c r="HW66" s="2373"/>
      <c r="HX66" s="2373"/>
      <c r="HY66" s="2373"/>
      <c r="HZ66" s="2383"/>
      <c r="IA66" s="2384"/>
      <c r="IB66" s="2373"/>
      <c r="IC66" s="2378"/>
      <c r="ID66" s="2379"/>
      <c r="IE66" s="2373"/>
      <c r="IF66" s="2378"/>
      <c r="KJ66"/>
      <c r="KK66"/>
      <c r="KL66"/>
      <c r="KM66"/>
      <c r="KN66"/>
      <c r="KO66"/>
      <c r="KP66"/>
      <c r="KQ66"/>
      <c r="KR66"/>
      <c r="KS66"/>
      <c r="KT66"/>
      <c r="KU66"/>
      <c r="KV66"/>
      <c r="KW66"/>
      <c r="KX66"/>
      <c r="KY66"/>
      <c r="KZ66"/>
      <c r="LA66"/>
      <c r="LB66"/>
      <c r="LC66"/>
      <c r="LD66"/>
      <c r="LE66"/>
      <c r="LF66"/>
      <c r="LG66"/>
      <c r="LH66"/>
      <c r="LI66"/>
      <c r="LJ66"/>
    </row>
    <row r="67" spans="156:322" ht="17.25" thickBot="1">
      <c r="EZ67" s="2380" t="s">
        <v>1082</v>
      </c>
      <c r="FA67" s="2381"/>
      <c r="FB67" s="2381"/>
      <c r="FC67" s="2381"/>
      <c r="FD67" s="2381"/>
      <c r="FE67" s="2381"/>
      <c r="FF67" s="2381"/>
      <c r="FG67" s="2381"/>
      <c r="FH67" s="2381"/>
      <c r="FI67" s="2381"/>
      <c r="FJ67" s="2381"/>
      <c r="FK67" s="2381"/>
      <c r="FL67" s="2381"/>
      <c r="FM67" s="2381"/>
      <c r="FN67" s="2381"/>
      <c r="FO67" s="2381"/>
      <c r="FP67" s="2381"/>
      <c r="FQ67" s="2381"/>
      <c r="FR67" s="2381"/>
      <c r="FS67" s="2381"/>
      <c r="FT67" s="2381"/>
      <c r="FU67" s="2381"/>
      <c r="FV67" s="2381"/>
      <c r="FW67" s="2381"/>
      <c r="FX67" s="2381"/>
      <c r="FY67" s="2381"/>
      <c r="FZ67" s="2381"/>
      <c r="GA67" s="2381"/>
      <c r="GB67" s="2381"/>
      <c r="GC67" s="2381"/>
      <c r="GD67" s="2381"/>
      <c r="GE67" s="2381"/>
      <c r="GF67" s="2381"/>
      <c r="GG67" s="2381"/>
      <c r="GH67" s="2381"/>
      <c r="GI67" s="2381"/>
      <c r="GJ67" s="2381"/>
      <c r="GK67" s="2381"/>
      <c r="GL67" s="2382"/>
      <c r="GT67" s="2380" t="s">
        <v>1082</v>
      </c>
      <c r="GU67" s="2381"/>
      <c r="GV67" s="2381"/>
      <c r="GW67" s="2381"/>
      <c r="GX67" s="2381"/>
      <c r="GY67" s="2381"/>
      <c r="GZ67" s="2381"/>
      <c r="HA67" s="2381"/>
      <c r="HB67" s="2381"/>
      <c r="HC67" s="2381"/>
      <c r="HD67" s="2381"/>
      <c r="HE67" s="2381"/>
      <c r="HF67" s="2381"/>
      <c r="HG67" s="2381"/>
      <c r="HH67" s="2381"/>
      <c r="HI67" s="2381"/>
      <c r="HJ67" s="2381"/>
      <c r="HK67" s="2381"/>
      <c r="HL67" s="2381"/>
      <c r="HM67" s="2381"/>
      <c r="HN67" s="2381"/>
      <c r="HO67" s="2381"/>
      <c r="HP67" s="2381"/>
      <c r="HQ67" s="2381"/>
      <c r="HR67" s="2381"/>
      <c r="HS67" s="2381"/>
      <c r="HT67" s="2381"/>
      <c r="HU67" s="2381"/>
      <c r="HV67" s="2381"/>
      <c r="HW67" s="2381"/>
      <c r="HX67" s="2381"/>
      <c r="HY67" s="2381"/>
      <c r="HZ67" s="2381"/>
      <c r="IA67" s="2381"/>
      <c r="IB67" s="2381"/>
      <c r="IC67" s="2381"/>
      <c r="ID67" s="2381"/>
      <c r="IE67" s="2381"/>
      <c r="IF67" s="2382"/>
      <c r="KJ67"/>
      <c r="KK67"/>
      <c r="KL67"/>
      <c r="KM67"/>
      <c r="KN67"/>
      <c r="KO67"/>
      <c r="KP67"/>
      <c r="KQ67"/>
      <c r="KR67"/>
      <c r="KS67"/>
      <c r="KT67"/>
      <c r="KU67"/>
      <c r="KV67"/>
      <c r="KW67"/>
      <c r="KX67"/>
      <c r="KY67"/>
      <c r="KZ67"/>
      <c r="LA67"/>
      <c r="LB67"/>
      <c r="LC67"/>
      <c r="LD67"/>
      <c r="LE67"/>
      <c r="LF67"/>
      <c r="LG67"/>
      <c r="LH67"/>
      <c r="LI67"/>
      <c r="LJ67"/>
    </row>
    <row r="68" spans="156:322">
      <c r="EZ68" s="2377" t="s">
        <v>1083</v>
      </c>
      <c r="FA68" s="2377"/>
      <c r="FB68" s="2377"/>
      <c r="FC68" s="2377"/>
      <c r="FD68" s="2377"/>
      <c r="FE68" s="2377"/>
      <c r="FF68" s="2377"/>
      <c r="FG68" s="2377"/>
      <c r="FH68" s="2377"/>
      <c r="FI68" s="2377"/>
      <c r="FJ68" s="2377"/>
      <c r="FK68" s="2377"/>
      <c r="FL68" s="2377"/>
      <c r="FM68" s="2377"/>
      <c r="FN68" s="2377"/>
      <c r="FO68" s="2377"/>
      <c r="FP68" s="2377"/>
      <c r="FQ68" s="2377"/>
      <c r="FR68" s="2377"/>
      <c r="FS68" s="2377"/>
      <c r="FT68" s="2377"/>
      <c r="FU68" s="2377"/>
      <c r="FV68" s="2377"/>
      <c r="FW68" s="2377"/>
      <c r="FX68" s="2377"/>
      <c r="FY68" s="2377"/>
      <c r="FZ68" s="2377"/>
      <c r="GA68" s="2377"/>
      <c r="GB68" s="2377"/>
      <c r="GC68" s="2377"/>
      <c r="GD68" s="2377"/>
      <c r="GE68" s="2377"/>
      <c r="GF68" s="2377"/>
      <c r="GG68" s="2377"/>
      <c r="GH68" s="2377"/>
      <c r="GI68" s="2377"/>
      <c r="GJ68" s="2377"/>
      <c r="GK68" s="536"/>
      <c r="GL68" s="536"/>
      <c r="GT68" s="2377" t="s">
        <v>1083</v>
      </c>
      <c r="GU68" s="2377"/>
      <c r="GV68" s="2377"/>
      <c r="GW68" s="2377"/>
      <c r="GX68" s="2377"/>
      <c r="GY68" s="2377"/>
      <c r="GZ68" s="2377"/>
      <c r="HA68" s="2377"/>
      <c r="HB68" s="2377"/>
      <c r="HC68" s="2377"/>
      <c r="HD68" s="2377"/>
      <c r="HE68" s="2377"/>
      <c r="HF68" s="2377"/>
      <c r="HG68" s="2377"/>
      <c r="HH68" s="2377"/>
      <c r="HI68" s="2377"/>
      <c r="HJ68" s="2377"/>
      <c r="HK68" s="2377"/>
      <c r="HL68" s="2377"/>
      <c r="HM68" s="2377"/>
      <c r="HN68" s="2377"/>
      <c r="HO68" s="2377"/>
      <c r="HP68" s="2377"/>
      <c r="HQ68" s="2377"/>
      <c r="HR68" s="2377"/>
      <c r="HS68" s="2377"/>
      <c r="HT68" s="2377"/>
      <c r="HU68" s="2377"/>
      <c r="HV68" s="2377"/>
      <c r="HW68" s="2377"/>
      <c r="HX68" s="2377"/>
      <c r="HY68" s="2377"/>
      <c r="HZ68" s="2377"/>
      <c r="IA68" s="2377"/>
      <c r="IB68" s="2377"/>
      <c r="IC68" s="2377"/>
      <c r="ID68" s="2377"/>
      <c r="IE68" s="2377"/>
      <c r="IF68" s="2377"/>
      <c r="KJ68"/>
      <c r="KK68"/>
      <c r="KL68"/>
      <c r="KM68"/>
      <c r="KN68"/>
      <c r="KO68"/>
      <c r="KP68"/>
      <c r="KQ68"/>
      <c r="KR68"/>
      <c r="KS68"/>
      <c r="KT68"/>
      <c r="KU68"/>
      <c r="KV68"/>
      <c r="KW68"/>
      <c r="KX68"/>
      <c r="KY68"/>
      <c r="KZ68"/>
      <c r="LA68"/>
      <c r="LB68"/>
      <c r="LC68"/>
      <c r="LD68"/>
      <c r="LE68"/>
      <c r="LF68"/>
      <c r="LG68"/>
      <c r="LH68"/>
      <c r="LI68"/>
      <c r="LJ68"/>
    </row>
    <row r="69" spans="156:322">
      <c r="EZ69" s="2377" t="s">
        <v>1084</v>
      </c>
      <c r="FA69" s="2377"/>
      <c r="FB69" s="2377"/>
      <c r="FC69" s="2377"/>
      <c r="FD69" s="2377"/>
      <c r="FE69" s="2377"/>
      <c r="FF69" s="2377"/>
      <c r="FG69" s="2377"/>
      <c r="FH69" s="2377"/>
      <c r="FI69" s="2377"/>
      <c r="FJ69" s="2377"/>
      <c r="FK69" s="2377"/>
      <c r="FL69" s="2377"/>
      <c r="FM69" s="2377"/>
      <c r="FN69" s="2377"/>
      <c r="FO69" s="2377"/>
      <c r="FP69" s="2377"/>
      <c r="FQ69" s="2377"/>
      <c r="FR69" s="2377"/>
      <c r="FS69" s="2377"/>
      <c r="FT69" s="2377"/>
      <c r="FU69" s="2377"/>
      <c r="FV69" s="2377"/>
      <c r="FW69" s="2377"/>
      <c r="FX69" s="2377"/>
      <c r="FY69" s="2377"/>
      <c r="FZ69" s="2377"/>
      <c r="GA69" s="2377"/>
      <c r="GB69" s="2377"/>
      <c r="GC69" s="2377"/>
      <c r="GD69" s="2377"/>
      <c r="GE69" s="2377"/>
      <c r="GF69" s="2377"/>
      <c r="GG69" s="2377"/>
      <c r="GH69" s="2377"/>
      <c r="GI69" s="2377"/>
      <c r="GJ69" s="2377"/>
      <c r="GK69" s="536"/>
      <c r="GL69" s="536"/>
      <c r="GT69" s="2377" t="s">
        <v>1084</v>
      </c>
      <c r="GU69" s="2377"/>
      <c r="GV69" s="2377"/>
      <c r="GW69" s="2377"/>
      <c r="GX69" s="2377"/>
      <c r="GY69" s="2377"/>
      <c r="GZ69" s="2377"/>
      <c r="HA69" s="2377"/>
      <c r="HB69" s="2377"/>
      <c r="HC69" s="2377"/>
      <c r="HD69" s="2377"/>
      <c r="HE69" s="2377"/>
      <c r="HF69" s="2377"/>
      <c r="HG69" s="2377"/>
      <c r="HH69" s="2377"/>
      <c r="HI69" s="2377"/>
      <c r="HJ69" s="2377"/>
      <c r="HK69" s="2377"/>
      <c r="HL69" s="2377"/>
      <c r="HM69" s="2377"/>
      <c r="HN69" s="2377"/>
      <c r="HO69" s="2377"/>
      <c r="HP69" s="2377"/>
      <c r="HQ69" s="2377"/>
      <c r="HR69" s="2377"/>
      <c r="HS69" s="2377"/>
      <c r="HT69" s="2377"/>
      <c r="HU69" s="2377"/>
      <c r="HV69" s="2377"/>
      <c r="HW69" s="2377"/>
      <c r="HX69" s="2377"/>
      <c r="HY69" s="2377"/>
      <c r="HZ69" s="2377"/>
      <c r="IA69" s="2377"/>
      <c r="IB69" s="2377"/>
      <c r="IC69" s="2377"/>
      <c r="ID69" s="2377"/>
      <c r="IE69" s="2377"/>
      <c r="IF69" s="2377"/>
      <c r="KJ69"/>
      <c r="KK69"/>
      <c r="KL69"/>
      <c r="KM69"/>
      <c r="KN69"/>
      <c r="KO69"/>
      <c r="KP69"/>
      <c r="KQ69"/>
      <c r="KR69"/>
      <c r="KS69"/>
      <c r="KT69"/>
      <c r="KU69"/>
      <c r="KV69"/>
      <c r="KW69"/>
      <c r="KX69"/>
      <c r="KY69"/>
      <c r="KZ69"/>
      <c r="LA69"/>
      <c r="LB69"/>
      <c r="LC69"/>
      <c r="LD69"/>
      <c r="LE69"/>
      <c r="LF69"/>
      <c r="LG69"/>
      <c r="LH69"/>
      <c r="LI69"/>
      <c r="LJ69"/>
    </row>
    <row r="70" spans="156:322">
      <c r="EZ70" s="2377" t="s">
        <v>1085</v>
      </c>
      <c r="FA70" s="2377"/>
      <c r="FB70" s="2377"/>
      <c r="FC70" s="2377"/>
      <c r="FD70" s="2377"/>
      <c r="FE70" s="2377"/>
      <c r="FF70" s="2377"/>
      <c r="FG70" s="2377"/>
      <c r="FH70" s="2377"/>
      <c r="FI70" s="2377"/>
      <c r="FJ70" s="2377"/>
      <c r="FK70" s="2377"/>
      <c r="FL70" s="2377"/>
      <c r="FM70" s="2377"/>
      <c r="FN70" s="2377"/>
      <c r="FO70" s="2377"/>
      <c r="FP70" s="2377"/>
      <c r="FQ70" s="2377"/>
      <c r="FR70" s="2377"/>
      <c r="FS70" s="2377"/>
      <c r="FT70" s="2377"/>
      <c r="FU70" s="2377"/>
      <c r="FV70" s="2377"/>
      <c r="FW70" s="2377"/>
      <c r="FX70" s="2377"/>
      <c r="FY70" s="2377"/>
      <c r="FZ70" s="2377"/>
      <c r="GA70" s="2377"/>
      <c r="GB70" s="2377"/>
      <c r="GC70" s="2377"/>
      <c r="GD70" s="2377"/>
      <c r="GE70" s="2377"/>
      <c r="GF70" s="2377"/>
      <c r="GG70" s="2377"/>
      <c r="GH70" s="2377"/>
      <c r="GI70" s="2377"/>
      <c r="GJ70" s="2377"/>
      <c r="GK70" s="536"/>
      <c r="GL70" s="536"/>
      <c r="GT70" s="2377" t="s">
        <v>1085</v>
      </c>
      <c r="GU70" s="2377"/>
      <c r="GV70" s="2377"/>
      <c r="GW70" s="2377"/>
      <c r="GX70" s="2377"/>
      <c r="GY70" s="2377"/>
      <c r="GZ70" s="2377"/>
      <c r="HA70" s="2377"/>
      <c r="HB70" s="2377"/>
      <c r="HC70" s="2377"/>
      <c r="HD70" s="2377"/>
      <c r="HE70" s="2377"/>
      <c r="HF70" s="2377"/>
      <c r="HG70" s="2377"/>
      <c r="HH70" s="2377"/>
      <c r="HI70" s="2377"/>
      <c r="HJ70" s="2377"/>
      <c r="HK70" s="2377"/>
      <c r="HL70" s="2377"/>
      <c r="HM70" s="2377"/>
      <c r="HN70" s="2377"/>
      <c r="HO70" s="2377"/>
      <c r="HP70" s="2377"/>
      <c r="HQ70" s="2377"/>
      <c r="HR70" s="2377"/>
      <c r="HS70" s="2377"/>
      <c r="HT70" s="2377"/>
      <c r="HU70" s="2377"/>
      <c r="HV70" s="2377"/>
      <c r="HW70" s="2377"/>
      <c r="HX70" s="2377"/>
      <c r="HY70" s="2377"/>
      <c r="HZ70" s="2377"/>
      <c r="IA70" s="2377"/>
      <c r="IB70" s="2377"/>
      <c r="IC70" s="2377"/>
      <c r="ID70" s="2377"/>
      <c r="IE70" s="2377"/>
      <c r="IF70" s="2377"/>
      <c r="KJ70"/>
      <c r="KK70"/>
      <c r="KL70"/>
      <c r="KM70"/>
      <c r="KN70"/>
      <c r="KO70"/>
      <c r="KP70"/>
      <c r="KQ70"/>
      <c r="KR70"/>
      <c r="KS70"/>
      <c r="KT70"/>
      <c r="KU70"/>
      <c r="KV70"/>
      <c r="KW70"/>
      <c r="KX70"/>
      <c r="KY70"/>
      <c r="KZ70"/>
      <c r="LA70"/>
      <c r="LB70"/>
      <c r="LC70"/>
      <c r="LD70"/>
      <c r="LE70"/>
      <c r="LF70"/>
      <c r="LG70"/>
      <c r="LH70"/>
      <c r="LI70"/>
      <c r="LJ70"/>
    </row>
    <row r="71" spans="156:322">
      <c r="EZ71" s="2377" t="s">
        <v>1086</v>
      </c>
      <c r="FA71" s="2377"/>
      <c r="FB71" s="2377"/>
      <c r="FC71" s="2377"/>
      <c r="FD71" s="2377"/>
      <c r="FE71" s="2377"/>
      <c r="FF71" s="2377"/>
      <c r="FG71" s="2377"/>
      <c r="FH71" s="2377"/>
      <c r="FI71" s="2377"/>
      <c r="FJ71" s="2377"/>
      <c r="FK71" s="2377"/>
      <c r="FL71" s="2377"/>
      <c r="FM71" s="2377"/>
      <c r="FN71" s="2377"/>
      <c r="FO71" s="2377"/>
      <c r="FP71" s="2377"/>
      <c r="FQ71" s="2377"/>
      <c r="FR71" s="2377"/>
      <c r="FS71" s="2377"/>
      <c r="FT71" s="2377"/>
      <c r="FU71" s="2377"/>
      <c r="FV71" s="2377"/>
      <c r="FW71" s="2377"/>
      <c r="FX71" s="2377"/>
      <c r="FY71" s="2377"/>
      <c r="FZ71" s="2377"/>
      <c r="GA71" s="2377"/>
      <c r="GB71" s="2377"/>
      <c r="GC71" s="2377"/>
      <c r="GD71" s="2377"/>
      <c r="GE71" s="2377"/>
      <c r="GF71" s="2377"/>
      <c r="GG71" s="2377"/>
      <c r="GH71" s="2377"/>
      <c r="GI71" s="2377"/>
      <c r="GJ71" s="2377"/>
      <c r="GK71" s="536"/>
      <c r="GL71" s="536"/>
      <c r="GT71" s="2377" t="s">
        <v>1086</v>
      </c>
      <c r="GU71" s="2377"/>
      <c r="GV71" s="2377"/>
      <c r="GW71" s="2377"/>
      <c r="GX71" s="2377"/>
      <c r="GY71" s="2377"/>
      <c r="GZ71" s="2377"/>
      <c r="HA71" s="2377"/>
      <c r="HB71" s="2377"/>
      <c r="HC71" s="2377"/>
      <c r="HD71" s="2377"/>
      <c r="HE71" s="2377"/>
      <c r="HF71" s="2377"/>
      <c r="HG71" s="2377"/>
      <c r="HH71" s="2377"/>
      <c r="HI71" s="2377"/>
      <c r="HJ71" s="2377"/>
      <c r="HK71" s="2377"/>
      <c r="HL71" s="2377"/>
      <c r="HM71" s="2377"/>
      <c r="HN71" s="2377"/>
      <c r="HO71" s="2377"/>
      <c r="HP71" s="2377"/>
      <c r="HQ71" s="2377"/>
      <c r="HR71" s="2377"/>
      <c r="HS71" s="2377"/>
      <c r="HT71" s="2377"/>
      <c r="HU71" s="2377"/>
      <c r="HV71" s="2377"/>
      <c r="HW71" s="2377"/>
      <c r="HX71" s="2377"/>
      <c r="HY71" s="2377"/>
      <c r="HZ71" s="2377"/>
      <c r="IA71" s="2377"/>
      <c r="IB71" s="2377"/>
      <c r="IC71" s="2377"/>
      <c r="ID71" s="2377"/>
      <c r="IE71" s="2377"/>
      <c r="IF71" s="2377"/>
      <c r="KJ71"/>
      <c r="KK71"/>
      <c r="KL71"/>
      <c r="KM71"/>
      <c r="KN71"/>
      <c r="KO71"/>
      <c r="KP71"/>
      <c r="KQ71"/>
      <c r="KR71"/>
      <c r="KS71"/>
      <c r="KT71"/>
      <c r="KU71"/>
      <c r="KV71"/>
      <c r="KW71"/>
      <c r="KX71"/>
      <c r="KY71"/>
      <c r="KZ71"/>
      <c r="LA71"/>
      <c r="LB71"/>
      <c r="LC71"/>
      <c r="LD71"/>
      <c r="LE71"/>
      <c r="LF71"/>
      <c r="LG71"/>
      <c r="LH71"/>
      <c r="LI71"/>
      <c r="LJ71"/>
    </row>
    <row r="72" spans="156:322">
      <c r="EZ72" s="2377" t="s">
        <v>1087</v>
      </c>
      <c r="FA72" s="2377"/>
      <c r="FB72" s="2377"/>
      <c r="FC72" s="2377"/>
      <c r="FD72" s="2377"/>
      <c r="FE72" s="2377"/>
      <c r="FF72" s="2377"/>
      <c r="FG72" s="2377"/>
      <c r="FH72" s="2377"/>
      <c r="FI72" s="2377"/>
      <c r="FJ72" s="2377"/>
      <c r="FK72" s="2377"/>
      <c r="FL72" s="2377"/>
      <c r="FM72" s="2377"/>
      <c r="FN72" s="2377"/>
      <c r="FO72" s="2377"/>
      <c r="FP72" s="2377"/>
      <c r="FQ72" s="2377"/>
      <c r="FR72" s="2377"/>
      <c r="FS72" s="2377"/>
      <c r="FT72" s="2377"/>
      <c r="FU72" s="2377"/>
      <c r="FV72" s="2377"/>
      <c r="FW72" s="2377"/>
      <c r="FX72" s="2377"/>
      <c r="FY72" s="2377"/>
      <c r="FZ72" s="2377"/>
      <c r="GA72" s="2377"/>
      <c r="GB72" s="2377"/>
      <c r="GC72" s="2377"/>
      <c r="GD72" s="2377"/>
      <c r="GE72" s="2377"/>
      <c r="GF72" s="2377"/>
      <c r="GG72" s="2377"/>
      <c r="GH72" s="2377"/>
      <c r="GI72" s="2377"/>
      <c r="GJ72" s="2377"/>
      <c r="GK72" s="536"/>
      <c r="GL72" s="536"/>
      <c r="GT72" s="2377" t="s">
        <v>1087</v>
      </c>
      <c r="GU72" s="2377"/>
      <c r="GV72" s="2377"/>
      <c r="GW72" s="2377"/>
      <c r="GX72" s="2377"/>
      <c r="GY72" s="2377"/>
      <c r="GZ72" s="2377"/>
      <c r="HA72" s="2377"/>
      <c r="HB72" s="2377"/>
      <c r="HC72" s="2377"/>
      <c r="HD72" s="2377"/>
      <c r="HE72" s="2377"/>
      <c r="HF72" s="2377"/>
      <c r="HG72" s="2377"/>
      <c r="HH72" s="2377"/>
      <c r="HI72" s="2377"/>
      <c r="HJ72" s="2377"/>
      <c r="HK72" s="2377"/>
      <c r="HL72" s="2377"/>
      <c r="HM72" s="2377"/>
      <c r="HN72" s="2377"/>
      <c r="HO72" s="2377"/>
      <c r="HP72" s="2377"/>
      <c r="HQ72" s="2377"/>
      <c r="HR72" s="2377"/>
      <c r="HS72" s="2377"/>
      <c r="HT72" s="2377"/>
      <c r="HU72" s="2377"/>
      <c r="HV72" s="2377"/>
      <c r="HW72" s="2377"/>
      <c r="HX72" s="2377"/>
      <c r="HY72" s="2377"/>
      <c r="HZ72" s="2377"/>
      <c r="IA72" s="2377"/>
      <c r="IB72" s="2377"/>
      <c r="IC72" s="2377"/>
      <c r="ID72" s="2377"/>
      <c r="IE72" s="2377"/>
      <c r="IF72" s="2377"/>
      <c r="KJ72"/>
      <c r="KK72"/>
      <c r="KL72"/>
      <c r="KM72"/>
      <c r="KN72"/>
      <c r="KO72"/>
      <c r="KP72"/>
      <c r="KQ72"/>
      <c r="KR72"/>
      <c r="KS72"/>
      <c r="KT72"/>
      <c r="KU72"/>
      <c r="KV72"/>
      <c r="KW72"/>
      <c r="KX72"/>
      <c r="KY72"/>
      <c r="KZ72"/>
      <c r="LA72"/>
      <c r="LB72"/>
      <c r="LC72"/>
      <c r="LD72"/>
      <c r="LE72"/>
      <c r="LF72"/>
      <c r="LG72"/>
      <c r="LH72"/>
      <c r="LI72"/>
      <c r="LJ72"/>
    </row>
    <row r="73" spans="156:322">
      <c r="EZ73" s="2377" t="s">
        <v>1088</v>
      </c>
      <c r="FA73" s="2377"/>
      <c r="FB73" s="2377"/>
      <c r="FC73" s="2377"/>
      <c r="FD73" s="2377"/>
      <c r="FE73" s="2377"/>
      <c r="FF73" s="2377"/>
      <c r="FG73" s="2377"/>
      <c r="FH73" s="2377"/>
      <c r="FI73" s="2377"/>
      <c r="FJ73" s="2377"/>
      <c r="FK73" s="2377"/>
      <c r="FL73" s="2377"/>
      <c r="FM73" s="2377"/>
      <c r="FN73" s="2377"/>
      <c r="FO73" s="2377"/>
      <c r="FP73" s="2377"/>
      <c r="FQ73" s="2377"/>
      <c r="FR73" s="2377"/>
      <c r="FS73" s="2377"/>
      <c r="FT73" s="2377"/>
      <c r="FU73" s="2377"/>
      <c r="FV73" s="2377"/>
      <c r="FW73" s="2377"/>
      <c r="FX73" s="2377"/>
      <c r="FY73" s="2377"/>
      <c r="FZ73" s="2377"/>
      <c r="GA73" s="2377"/>
      <c r="GB73" s="2377"/>
      <c r="GC73" s="2377"/>
      <c r="GD73" s="2377"/>
      <c r="GE73" s="2377"/>
      <c r="GF73" s="2377"/>
      <c r="GG73" s="2377"/>
      <c r="GH73" s="2377"/>
      <c r="GI73" s="2377"/>
      <c r="GJ73" s="2377"/>
      <c r="GK73" s="536"/>
      <c r="GL73" s="536"/>
      <c r="GT73" s="2377" t="s">
        <v>1088</v>
      </c>
      <c r="GU73" s="2377"/>
      <c r="GV73" s="2377"/>
      <c r="GW73" s="2377"/>
      <c r="GX73" s="2377"/>
      <c r="GY73" s="2377"/>
      <c r="GZ73" s="2377"/>
      <c r="HA73" s="2377"/>
      <c r="HB73" s="2377"/>
      <c r="HC73" s="2377"/>
      <c r="HD73" s="2377"/>
      <c r="HE73" s="2377"/>
      <c r="HF73" s="2377"/>
      <c r="HG73" s="2377"/>
      <c r="HH73" s="2377"/>
      <c r="HI73" s="2377"/>
      <c r="HJ73" s="2377"/>
      <c r="HK73" s="2377"/>
      <c r="HL73" s="2377"/>
      <c r="HM73" s="2377"/>
      <c r="HN73" s="2377"/>
      <c r="HO73" s="2377"/>
      <c r="HP73" s="2377"/>
      <c r="HQ73" s="2377"/>
      <c r="HR73" s="2377"/>
      <c r="HS73" s="2377"/>
      <c r="HT73" s="2377"/>
      <c r="HU73" s="2377"/>
      <c r="HV73" s="2377"/>
      <c r="HW73" s="2377"/>
      <c r="HX73" s="2377"/>
      <c r="HY73" s="2377"/>
      <c r="HZ73" s="2377"/>
      <c r="IA73" s="2377"/>
      <c r="IB73" s="2377"/>
      <c r="IC73" s="2377"/>
      <c r="ID73" s="2377"/>
      <c r="IE73" s="2377"/>
      <c r="IF73" s="2377"/>
      <c r="KJ73"/>
      <c r="KK73"/>
      <c r="KL73"/>
      <c r="KM73"/>
      <c r="KN73"/>
      <c r="KO73"/>
      <c r="KP73"/>
      <c r="KQ73"/>
      <c r="KR73"/>
      <c r="KS73"/>
      <c r="KT73"/>
      <c r="KU73"/>
      <c r="KV73"/>
      <c r="KW73"/>
      <c r="KX73"/>
      <c r="KY73"/>
      <c r="KZ73"/>
      <c r="LA73"/>
      <c r="LB73"/>
      <c r="LC73"/>
      <c r="LD73"/>
      <c r="LE73"/>
      <c r="LF73"/>
      <c r="LG73"/>
      <c r="LH73"/>
      <c r="LI73"/>
      <c r="LJ73"/>
    </row>
    <row r="74" spans="156:322">
      <c r="EZ74" s="2377" t="s">
        <v>1089</v>
      </c>
      <c r="FA74" s="2377"/>
      <c r="FB74" s="2377"/>
      <c r="FC74" s="2377"/>
      <c r="FD74" s="2377"/>
      <c r="FE74" s="2377"/>
      <c r="FF74" s="2377"/>
      <c r="FG74" s="2377"/>
      <c r="FH74" s="2377"/>
      <c r="FI74" s="2377"/>
      <c r="FJ74" s="2377"/>
      <c r="FK74" s="2377"/>
      <c r="FL74" s="2377"/>
      <c r="FM74" s="2377"/>
      <c r="FN74" s="2377"/>
      <c r="FO74" s="2377"/>
      <c r="FP74" s="2377"/>
      <c r="FQ74" s="2377"/>
      <c r="FR74" s="2377"/>
      <c r="FS74" s="2377"/>
      <c r="FT74" s="2377"/>
      <c r="FU74" s="2377"/>
      <c r="FV74" s="2377"/>
      <c r="FW74" s="2377"/>
      <c r="FX74" s="2377"/>
      <c r="FY74" s="2377"/>
      <c r="FZ74" s="2377"/>
      <c r="GA74" s="2377"/>
      <c r="GB74" s="2377"/>
      <c r="GC74" s="2377"/>
      <c r="GD74" s="2377"/>
      <c r="GE74" s="2377"/>
      <c r="GF74" s="2377"/>
      <c r="GG74" s="2377"/>
      <c r="GH74" s="2377"/>
      <c r="GI74" s="2377"/>
      <c r="GJ74" s="2377"/>
      <c r="GK74" s="536"/>
      <c r="GL74" s="536"/>
      <c r="GT74" s="2377" t="s">
        <v>1089</v>
      </c>
      <c r="GU74" s="2377"/>
      <c r="GV74" s="2377"/>
      <c r="GW74" s="2377"/>
      <c r="GX74" s="2377"/>
      <c r="GY74" s="2377"/>
      <c r="GZ74" s="2377"/>
      <c r="HA74" s="2377"/>
      <c r="HB74" s="2377"/>
      <c r="HC74" s="2377"/>
      <c r="HD74" s="2377"/>
      <c r="HE74" s="2377"/>
      <c r="HF74" s="2377"/>
      <c r="HG74" s="2377"/>
      <c r="HH74" s="2377"/>
      <c r="HI74" s="2377"/>
      <c r="HJ74" s="2377"/>
      <c r="HK74" s="2377"/>
      <c r="HL74" s="2377"/>
      <c r="HM74" s="2377"/>
      <c r="HN74" s="2377"/>
      <c r="HO74" s="2377"/>
      <c r="HP74" s="2377"/>
      <c r="HQ74" s="2377"/>
      <c r="HR74" s="2377"/>
      <c r="HS74" s="2377"/>
      <c r="HT74" s="2377"/>
      <c r="HU74" s="2377"/>
      <c r="HV74" s="2377"/>
      <c r="HW74" s="2377"/>
      <c r="HX74" s="2377"/>
      <c r="HY74" s="2377"/>
      <c r="HZ74" s="2377"/>
      <c r="IA74" s="2377"/>
      <c r="IB74" s="2377"/>
      <c r="IC74" s="2377"/>
      <c r="ID74" s="2377"/>
      <c r="IE74" s="2377"/>
      <c r="IF74" s="2377"/>
      <c r="KJ74"/>
      <c r="KK74"/>
      <c r="KL74"/>
      <c r="KM74"/>
      <c r="KN74"/>
      <c r="KO74"/>
      <c r="KP74"/>
      <c r="KQ74"/>
      <c r="KR74"/>
      <c r="KS74"/>
      <c r="KT74"/>
      <c r="KU74"/>
      <c r="KV74"/>
      <c r="KW74"/>
      <c r="KX74"/>
      <c r="KY74"/>
      <c r="KZ74"/>
      <c r="LA74"/>
      <c r="LB74"/>
      <c r="LC74"/>
      <c r="LD74"/>
      <c r="LE74"/>
      <c r="LF74"/>
      <c r="LG74"/>
      <c r="LH74"/>
      <c r="LI74"/>
      <c r="LJ74"/>
    </row>
    <row r="75" spans="156:322">
      <c r="EZ75" s="2377" t="s">
        <v>1090</v>
      </c>
      <c r="FA75" s="2377"/>
      <c r="FB75" s="2377"/>
      <c r="FC75" s="2377"/>
      <c r="FD75" s="2377"/>
      <c r="FE75" s="2377"/>
      <c r="FF75" s="2377"/>
      <c r="FG75" s="2377"/>
      <c r="FH75" s="2377"/>
      <c r="FI75" s="2377"/>
      <c r="FJ75" s="2377"/>
      <c r="FK75" s="2377"/>
      <c r="FL75" s="2377"/>
      <c r="FM75" s="2377"/>
      <c r="FN75" s="2377"/>
      <c r="FO75" s="2377"/>
      <c r="FP75" s="2377"/>
      <c r="FQ75" s="2377"/>
      <c r="FR75" s="2377"/>
      <c r="FS75" s="2377"/>
      <c r="FT75" s="2377"/>
      <c r="FU75" s="2377"/>
      <c r="FV75" s="2377"/>
      <c r="FW75" s="2377"/>
      <c r="FX75" s="2377"/>
      <c r="FY75" s="2377"/>
      <c r="FZ75" s="2377"/>
      <c r="GA75" s="2377"/>
      <c r="GB75" s="2377"/>
      <c r="GC75" s="2377"/>
      <c r="GD75" s="2377"/>
      <c r="GE75" s="2377"/>
      <c r="GF75" s="2377"/>
      <c r="GG75" s="2377"/>
      <c r="GH75" s="2377"/>
      <c r="GI75" s="2377"/>
      <c r="GJ75" s="2377"/>
      <c r="GK75" s="536"/>
      <c r="GL75" s="536"/>
      <c r="GT75" s="2377" t="s">
        <v>1090</v>
      </c>
      <c r="GU75" s="2377"/>
      <c r="GV75" s="2377"/>
      <c r="GW75" s="2377"/>
      <c r="GX75" s="2377"/>
      <c r="GY75" s="2377"/>
      <c r="GZ75" s="2377"/>
      <c r="HA75" s="2377"/>
      <c r="HB75" s="2377"/>
      <c r="HC75" s="2377"/>
      <c r="HD75" s="2377"/>
      <c r="HE75" s="2377"/>
      <c r="HF75" s="2377"/>
      <c r="HG75" s="2377"/>
      <c r="HH75" s="2377"/>
      <c r="HI75" s="2377"/>
      <c r="HJ75" s="2377"/>
      <c r="HK75" s="2377"/>
      <c r="HL75" s="2377"/>
      <c r="HM75" s="2377"/>
      <c r="HN75" s="2377"/>
      <c r="HO75" s="2377"/>
      <c r="HP75" s="2377"/>
      <c r="HQ75" s="2377"/>
      <c r="HR75" s="2377"/>
      <c r="HS75" s="2377"/>
      <c r="HT75" s="2377"/>
      <c r="HU75" s="2377"/>
      <c r="HV75" s="2377"/>
      <c r="HW75" s="2377"/>
      <c r="HX75" s="2377"/>
      <c r="HY75" s="2377"/>
      <c r="HZ75" s="2377"/>
      <c r="IA75" s="2377"/>
      <c r="IB75" s="2377"/>
      <c r="IC75" s="2377"/>
      <c r="ID75" s="2377"/>
      <c r="IE75" s="2377"/>
      <c r="IF75" s="2377"/>
      <c r="KJ75"/>
      <c r="KK75"/>
      <c r="KL75"/>
      <c r="KM75"/>
      <c r="KN75"/>
      <c r="KO75"/>
      <c r="KP75"/>
      <c r="KQ75"/>
      <c r="KR75"/>
      <c r="KS75"/>
      <c r="KT75"/>
      <c r="KU75"/>
      <c r="KV75"/>
      <c r="KW75"/>
      <c r="KX75"/>
      <c r="KY75"/>
      <c r="KZ75"/>
      <c r="LA75"/>
      <c r="LB75"/>
      <c r="LC75"/>
      <c r="LD75"/>
      <c r="LE75"/>
      <c r="LF75"/>
      <c r="LG75"/>
      <c r="LH75"/>
      <c r="LI75"/>
      <c r="LJ75"/>
    </row>
    <row r="76" spans="156:322">
      <c r="EZ76" s="2377" t="s">
        <v>1091</v>
      </c>
      <c r="FA76" s="2377"/>
      <c r="FB76" s="2377"/>
      <c r="FC76" s="2377"/>
      <c r="FD76" s="2377"/>
      <c r="FE76" s="2377"/>
      <c r="FF76" s="2377"/>
      <c r="FG76" s="2377"/>
      <c r="FH76" s="2377"/>
      <c r="FI76" s="2377"/>
      <c r="FJ76" s="2377"/>
      <c r="FK76" s="2377"/>
      <c r="FL76" s="2377"/>
      <c r="FM76" s="2377"/>
      <c r="FN76" s="2377"/>
      <c r="FO76" s="2377"/>
      <c r="FP76" s="2377"/>
      <c r="FQ76" s="2377"/>
      <c r="FR76" s="2377"/>
      <c r="FS76" s="2377"/>
      <c r="FT76" s="2377"/>
      <c r="FU76" s="2377"/>
      <c r="FV76" s="2377"/>
      <c r="FW76" s="2377"/>
      <c r="FX76" s="2377"/>
      <c r="FY76" s="2377"/>
      <c r="FZ76" s="2377"/>
      <c r="GA76" s="2377"/>
      <c r="GB76" s="2377"/>
      <c r="GC76" s="2377"/>
      <c r="GD76" s="2377"/>
      <c r="GE76" s="2377"/>
      <c r="GF76" s="2377"/>
      <c r="GG76" s="2377"/>
      <c r="GH76" s="2377"/>
      <c r="GI76" s="2377"/>
      <c r="GJ76" s="2377"/>
      <c r="GK76" s="536"/>
      <c r="GL76" s="536"/>
      <c r="GT76" s="2377" t="s">
        <v>1091</v>
      </c>
      <c r="GU76" s="2377"/>
      <c r="GV76" s="2377"/>
      <c r="GW76" s="2377"/>
      <c r="GX76" s="2377"/>
      <c r="GY76" s="2377"/>
      <c r="GZ76" s="2377"/>
      <c r="HA76" s="2377"/>
      <c r="HB76" s="2377"/>
      <c r="HC76" s="2377"/>
      <c r="HD76" s="2377"/>
      <c r="HE76" s="2377"/>
      <c r="HF76" s="2377"/>
      <c r="HG76" s="2377"/>
      <c r="HH76" s="2377"/>
      <c r="HI76" s="2377"/>
      <c r="HJ76" s="2377"/>
      <c r="HK76" s="2377"/>
      <c r="HL76" s="2377"/>
      <c r="HM76" s="2377"/>
      <c r="HN76" s="2377"/>
      <c r="HO76" s="2377"/>
      <c r="HP76" s="2377"/>
      <c r="HQ76" s="2377"/>
      <c r="HR76" s="2377"/>
      <c r="HS76" s="2377"/>
      <c r="HT76" s="2377"/>
      <c r="HU76" s="2377"/>
      <c r="HV76" s="2377"/>
      <c r="HW76" s="2377"/>
      <c r="HX76" s="2377"/>
      <c r="HY76" s="2377"/>
      <c r="HZ76" s="2377"/>
      <c r="IA76" s="2377"/>
      <c r="IB76" s="2377"/>
      <c r="IC76" s="2377"/>
      <c r="ID76" s="2377"/>
      <c r="IE76" s="2377"/>
      <c r="IF76" s="2377"/>
      <c r="KJ76"/>
      <c r="KK76"/>
      <c r="KL76"/>
      <c r="KM76"/>
      <c r="KN76"/>
      <c r="KO76"/>
      <c r="KP76"/>
      <c r="KQ76"/>
      <c r="KR76"/>
      <c r="KS76"/>
      <c r="KT76"/>
      <c r="KU76"/>
      <c r="KV76"/>
      <c r="KW76"/>
      <c r="KX76"/>
      <c r="KY76"/>
      <c r="KZ76"/>
      <c r="LA76"/>
      <c r="LB76"/>
      <c r="LC76"/>
      <c r="LD76"/>
      <c r="LE76"/>
      <c r="LF76"/>
      <c r="LG76"/>
      <c r="LH76"/>
      <c r="LI76"/>
      <c r="LJ76"/>
    </row>
    <row r="77" spans="156:322">
      <c r="EZ77" s="2377" t="s">
        <v>1092</v>
      </c>
      <c r="FA77" s="2377"/>
      <c r="FB77" s="2377"/>
      <c r="FC77" s="2377"/>
      <c r="FD77" s="2377"/>
      <c r="FE77" s="2377"/>
      <c r="FF77" s="2377"/>
      <c r="FG77" s="2377"/>
      <c r="FH77" s="2377"/>
      <c r="FI77" s="2377"/>
      <c r="FJ77" s="2377"/>
      <c r="FK77" s="2377"/>
      <c r="FL77" s="2377"/>
      <c r="FM77" s="2377"/>
      <c r="FN77" s="2377"/>
      <c r="FO77" s="2377"/>
      <c r="FP77" s="2377"/>
      <c r="FQ77" s="2377"/>
      <c r="FR77" s="2377"/>
      <c r="FS77" s="2377"/>
      <c r="FT77" s="2377"/>
      <c r="FU77" s="2377"/>
      <c r="FV77" s="2377"/>
      <c r="FW77" s="2377"/>
      <c r="FX77" s="2377"/>
      <c r="FY77" s="2377"/>
      <c r="FZ77" s="2377"/>
      <c r="GA77" s="2377"/>
      <c r="GB77" s="2377"/>
      <c r="GC77" s="2377"/>
      <c r="GD77" s="2377"/>
      <c r="GE77" s="2377"/>
      <c r="GF77" s="2377"/>
      <c r="GG77" s="2377"/>
      <c r="GH77" s="2377"/>
      <c r="GI77" s="2377"/>
      <c r="GJ77" s="2377"/>
      <c r="GK77" s="536"/>
      <c r="GL77" s="536"/>
      <c r="GT77" s="2377" t="s">
        <v>1092</v>
      </c>
      <c r="GU77" s="2377"/>
      <c r="GV77" s="2377"/>
      <c r="GW77" s="2377"/>
      <c r="GX77" s="2377"/>
      <c r="GY77" s="2377"/>
      <c r="GZ77" s="2377"/>
      <c r="HA77" s="2377"/>
      <c r="HB77" s="2377"/>
      <c r="HC77" s="2377"/>
      <c r="HD77" s="2377"/>
      <c r="HE77" s="2377"/>
      <c r="HF77" s="2377"/>
      <c r="HG77" s="2377"/>
      <c r="HH77" s="2377"/>
      <c r="HI77" s="2377"/>
      <c r="HJ77" s="2377"/>
      <c r="HK77" s="2377"/>
      <c r="HL77" s="2377"/>
      <c r="HM77" s="2377"/>
      <c r="HN77" s="2377"/>
      <c r="HO77" s="2377"/>
      <c r="HP77" s="2377"/>
      <c r="HQ77" s="2377"/>
      <c r="HR77" s="2377"/>
      <c r="HS77" s="2377"/>
      <c r="HT77" s="2377"/>
      <c r="HU77" s="2377"/>
      <c r="HV77" s="2377"/>
      <c r="HW77" s="2377"/>
      <c r="HX77" s="2377"/>
      <c r="HY77" s="2377"/>
      <c r="HZ77" s="2377"/>
      <c r="IA77" s="2377"/>
      <c r="IB77" s="2377"/>
      <c r="IC77" s="2377"/>
      <c r="ID77" s="2377"/>
      <c r="IE77" s="2377"/>
      <c r="IF77" s="2377"/>
      <c r="KJ77"/>
      <c r="KK77"/>
      <c r="KL77"/>
      <c r="KM77"/>
      <c r="KN77"/>
      <c r="KO77"/>
      <c r="KP77"/>
      <c r="KQ77"/>
      <c r="KR77"/>
      <c r="KS77"/>
      <c r="KT77"/>
      <c r="KU77"/>
      <c r="KV77"/>
      <c r="KW77"/>
      <c r="KX77"/>
      <c r="KY77"/>
      <c r="KZ77"/>
      <c r="LA77"/>
      <c r="LB77"/>
      <c r="LC77"/>
      <c r="LD77"/>
      <c r="LE77"/>
      <c r="LF77"/>
      <c r="LG77"/>
      <c r="LH77"/>
      <c r="LI77"/>
      <c r="LJ77"/>
    </row>
    <row r="78" spans="156:322">
      <c r="EZ78" s="2377" t="s">
        <v>1093</v>
      </c>
      <c r="FA78" s="2377"/>
      <c r="FB78" s="2377"/>
      <c r="FC78" s="2377"/>
      <c r="FD78" s="2377"/>
      <c r="FE78" s="2377"/>
      <c r="FF78" s="2377"/>
      <c r="FG78" s="2377"/>
      <c r="FH78" s="2377"/>
      <c r="FI78" s="2377"/>
      <c r="FJ78" s="2377"/>
      <c r="FK78" s="2377"/>
      <c r="FL78" s="2377"/>
      <c r="FM78" s="2377"/>
      <c r="FN78" s="2377"/>
      <c r="FO78" s="2377"/>
      <c r="FP78" s="2377"/>
      <c r="FQ78" s="2377"/>
      <c r="FR78" s="2377"/>
      <c r="FS78" s="2377"/>
      <c r="FT78" s="2377"/>
      <c r="FU78" s="2377"/>
      <c r="FV78" s="2377"/>
      <c r="FW78" s="2377"/>
      <c r="FX78" s="2377"/>
      <c r="FY78" s="2377"/>
      <c r="FZ78" s="2377"/>
      <c r="GA78" s="2377"/>
      <c r="GB78" s="2377"/>
      <c r="GC78" s="2377"/>
      <c r="GD78" s="2377"/>
      <c r="GE78" s="2377"/>
      <c r="GF78" s="2377"/>
      <c r="GG78" s="2377"/>
      <c r="GH78" s="2377"/>
      <c r="GI78" s="2377"/>
      <c r="GJ78" s="2377"/>
      <c r="GK78" s="536"/>
      <c r="GL78" s="536"/>
      <c r="GT78" s="2377" t="s">
        <v>1093</v>
      </c>
      <c r="GU78" s="2377"/>
      <c r="GV78" s="2377"/>
      <c r="GW78" s="2377"/>
      <c r="GX78" s="2377"/>
      <c r="GY78" s="2377"/>
      <c r="GZ78" s="2377"/>
      <c r="HA78" s="2377"/>
      <c r="HB78" s="2377"/>
      <c r="HC78" s="2377"/>
      <c r="HD78" s="2377"/>
      <c r="HE78" s="2377"/>
      <c r="HF78" s="2377"/>
      <c r="HG78" s="2377"/>
      <c r="HH78" s="2377"/>
      <c r="HI78" s="2377"/>
      <c r="HJ78" s="2377"/>
      <c r="HK78" s="2377"/>
      <c r="HL78" s="2377"/>
      <c r="HM78" s="2377"/>
      <c r="HN78" s="2377"/>
      <c r="HO78" s="2377"/>
      <c r="HP78" s="2377"/>
      <c r="HQ78" s="2377"/>
      <c r="HR78" s="2377"/>
      <c r="HS78" s="2377"/>
      <c r="HT78" s="2377"/>
      <c r="HU78" s="2377"/>
      <c r="HV78" s="2377"/>
      <c r="HW78" s="2377"/>
      <c r="HX78" s="2377"/>
      <c r="HY78" s="2377"/>
      <c r="HZ78" s="2377"/>
      <c r="IA78" s="2377"/>
      <c r="IB78" s="2377"/>
      <c r="IC78" s="2377"/>
      <c r="ID78" s="2377"/>
      <c r="IE78" s="2377"/>
      <c r="IF78" s="2377"/>
      <c r="KJ78"/>
      <c r="KK78"/>
      <c r="KL78"/>
      <c r="KM78"/>
      <c r="KN78"/>
      <c r="KO78"/>
      <c r="KP78"/>
      <c r="KQ78"/>
      <c r="KR78"/>
      <c r="KS78"/>
      <c r="KT78"/>
      <c r="KU78"/>
      <c r="KV78"/>
      <c r="KW78"/>
      <c r="KX78"/>
      <c r="KY78"/>
      <c r="KZ78"/>
      <c r="LA78"/>
      <c r="LB78"/>
      <c r="LC78"/>
      <c r="LD78"/>
      <c r="LE78"/>
      <c r="LF78"/>
      <c r="LG78"/>
      <c r="LH78"/>
      <c r="LI78"/>
      <c r="LJ78"/>
    </row>
    <row r="79" spans="156:322">
      <c r="EZ79" s="2377" t="s">
        <v>1189</v>
      </c>
      <c r="FA79" s="2377"/>
      <c r="FB79" s="2377"/>
      <c r="FC79" s="2377"/>
      <c r="FD79" s="2377"/>
      <c r="FE79" s="2377"/>
      <c r="FF79" s="2377"/>
      <c r="FG79" s="2377"/>
      <c r="FH79" s="2377"/>
      <c r="FI79" s="2377"/>
      <c r="FJ79" s="2377"/>
      <c r="FK79" s="2377"/>
      <c r="FL79" s="2377"/>
      <c r="FM79" s="2377"/>
      <c r="FN79" s="2377"/>
      <c r="FO79" s="2377"/>
      <c r="FP79" s="2377"/>
      <c r="FQ79" s="2377"/>
      <c r="FR79" s="2377"/>
      <c r="FS79" s="2377"/>
      <c r="FT79" s="2377"/>
      <c r="FU79" s="2377"/>
      <c r="FV79" s="2377"/>
      <c r="FW79" s="2377"/>
      <c r="FX79" s="2377"/>
      <c r="FY79" s="2377"/>
      <c r="FZ79" s="2377"/>
      <c r="GA79" s="2377"/>
      <c r="GB79" s="2377"/>
      <c r="GC79" s="2377"/>
      <c r="GD79" s="2377"/>
      <c r="GE79" s="2377"/>
      <c r="GF79" s="2377"/>
      <c r="GG79" s="2377"/>
      <c r="GH79" s="2377"/>
      <c r="GI79" s="2377"/>
      <c r="GJ79" s="2377"/>
      <c r="GK79" s="536"/>
      <c r="GL79" s="536"/>
      <c r="GT79" s="2377" t="s">
        <v>1189</v>
      </c>
      <c r="GU79" s="2377"/>
      <c r="GV79" s="2377"/>
      <c r="GW79" s="2377"/>
      <c r="GX79" s="2377"/>
      <c r="GY79" s="2377"/>
      <c r="GZ79" s="2377"/>
      <c r="HA79" s="2377"/>
      <c r="HB79" s="2377"/>
      <c r="HC79" s="2377"/>
      <c r="HD79" s="2377"/>
      <c r="HE79" s="2377"/>
      <c r="HF79" s="2377"/>
      <c r="HG79" s="2377"/>
      <c r="HH79" s="2377"/>
      <c r="HI79" s="2377"/>
      <c r="HJ79" s="2377"/>
      <c r="HK79" s="2377"/>
      <c r="HL79" s="2377"/>
      <c r="HM79" s="2377"/>
      <c r="HN79" s="2377"/>
      <c r="HO79" s="2377"/>
      <c r="HP79" s="2377"/>
      <c r="HQ79" s="2377"/>
      <c r="HR79" s="2377"/>
      <c r="HS79" s="2377"/>
      <c r="HT79" s="2377"/>
      <c r="HU79" s="2377"/>
      <c r="HV79" s="2377"/>
      <c r="HW79" s="2377"/>
      <c r="HX79" s="2377"/>
      <c r="HY79" s="2377"/>
      <c r="HZ79" s="2377"/>
      <c r="IA79" s="2377"/>
      <c r="IB79" s="2377"/>
      <c r="IC79" s="2377"/>
      <c r="ID79" s="2377"/>
      <c r="IE79" s="2377"/>
      <c r="IF79" s="2377"/>
      <c r="KJ79"/>
      <c r="KK79"/>
      <c r="KL79"/>
      <c r="KM79"/>
      <c r="KN79"/>
      <c r="KO79"/>
      <c r="KP79"/>
      <c r="KQ79"/>
      <c r="KR79"/>
      <c r="KS79"/>
      <c r="KT79"/>
      <c r="KU79"/>
      <c r="KV79"/>
      <c r="KW79"/>
      <c r="KX79"/>
      <c r="KY79"/>
      <c r="KZ79"/>
      <c r="LA79"/>
      <c r="LB79"/>
      <c r="LC79"/>
      <c r="LD79"/>
      <c r="LE79"/>
      <c r="LF79"/>
      <c r="LG79"/>
      <c r="LH79"/>
      <c r="LI79"/>
      <c r="LJ79"/>
    </row>
    <row r="80" spans="156:322">
      <c r="EZ80" s="2377" t="s">
        <v>1190</v>
      </c>
      <c r="FA80" s="2377"/>
      <c r="FB80" s="2377"/>
      <c r="FC80" s="2377"/>
      <c r="FD80" s="2377"/>
      <c r="FE80" s="2377"/>
      <c r="FF80" s="2377"/>
      <c r="FG80" s="2377"/>
      <c r="FH80" s="2377"/>
      <c r="FI80" s="2377"/>
      <c r="FJ80" s="2377"/>
      <c r="FK80" s="2377"/>
      <c r="FL80" s="2377"/>
      <c r="FM80" s="2377"/>
      <c r="FN80" s="2377"/>
      <c r="FO80" s="2377"/>
      <c r="FP80" s="2377"/>
      <c r="FQ80" s="2377"/>
      <c r="FR80" s="2377"/>
      <c r="FS80" s="2377"/>
      <c r="FT80" s="2377"/>
      <c r="FU80" s="2377"/>
      <c r="FV80" s="2377"/>
      <c r="FW80" s="2377"/>
      <c r="FX80" s="2377"/>
      <c r="FY80" s="2377"/>
      <c r="FZ80" s="2377"/>
      <c r="GA80" s="2377"/>
      <c r="GB80" s="2377"/>
      <c r="GC80" s="2377"/>
      <c r="GD80" s="2377"/>
      <c r="GE80" s="2377"/>
      <c r="GF80" s="2377"/>
      <c r="GG80" s="2377"/>
      <c r="GH80" s="2377"/>
      <c r="GI80" s="2377"/>
      <c r="GJ80" s="2377"/>
      <c r="GK80" s="536"/>
      <c r="GL80" s="536"/>
      <c r="GT80" s="2377" t="s">
        <v>1190</v>
      </c>
      <c r="GU80" s="2377"/>
      <c r="GV80" s="2377"/>
      <c r="GW80" s="2377"/>
      <c r="GX80" s="2377"/>
      <c r="GY80" s="2377"/>
      <c r="GZ80" s="2377"/>
      <c r="HA80" s="2377"/>
      <c r="HB80" s="2377"/>
      <c r="HC80" s="2377"/>
      <c r="HD80" s="2377"/>
      <c r="HE80" s="2377"/>
      <c r="HF80" s="2377"/>
      <c r="HG80" s="2377"/>
      <c r="HH80" s="2377"/>
      <c r="HI80" s="2377"/>
      <c r="HJ80" s="2377"/>
      <c r="HK80" s="2377"/>
      <c r="HL80" s="2377"/>
      <c r="HM80" s="2377"/>
      <c r="HN80" s="2377"/>
      <c r="HO80" s="2377"/>
      <c r="HP80" s="2377"/>
      <c r="HQ80" s="2377"/>
      <c r="HR80" s="2377"/>
      <c r="HS80" s="2377"/>
      <c r="HT80" s="2377"/>
      <c r="HU80" s="2377"/>
      <c r="HV80" s="2377"/>
      <c r="HW80" s="2377"/>
      <c r="HX80" s="2377"/>
      <c r="HY80" s="2377"/>
      <c r="HZ80" s="2377"/>
      <c r="IA80" s="2377"/>
      <c r="IB80" s="2377"/>
      <c r="IC80" s="2377"/>
      <c r="ID80" s="2377"/>
      <c r="IE80" s="2377"/>
      <c r="IF80" s="2377"/>
      <c r="KJ80"/>
      <c r="KK80"/>
      <c r="KL80"/>
      <c r="KM80"/>
      <c r="KN80"/>
      <c r="KO80"/>
      <c r="KP80"/>
      <c r="KQ80"/>
      <c r="KR80"/>
      <c r="KS80"/>
      <c r="KT80"/>
      <c r="KU80"/>
      <c r="KV80"/>
      <c r="KW80"/>
      <c r="KX80"/>
      <c r="KY80"/>
      <c r="KZ80"/>
      <c r="LA80"/>
      <c r="LB80"/>
      <c r="LC80"/>
      <c r="LD80"/>
      <c r="LE80"/>
      <c r="LF80"/>
      <c r="LG80"/>
      <c r="LH80"/>
      <c r="LI80"/>
      <c r="LJ80"/>
    </row>
    <row r="81" spans="156:322">
      <c r="EZ81" s="2377" t="s">
        <v>1094</v>
      </c>
      <c r="FA81" s="2377"/>
      <c r="FB81" s="2377"/>
      <c r="FC81" s="2377"/>
      <c r="FD81" s="2377"/>
      <c r="FE81" s="2377"/>
      <c r="FF81" s="2377"/>
      <c r="FG81" s="2377"/>
      <c r="FH81" s="2377"/>
      <c r="FI81" s="2377"/>
      <c r="FJ81" s="2377"/>
      <c r="FK81" s="2377"/>
      <c r="FL81" s="2377"/>
      <c r="FM81" s="2377"/>
      <c r="FN81" s="2377"/>
      <c r="FO81" s="2377"/>
      <c r="FP81" s="2377"/>
      <c r="FQ81" s="2377"/>
      <c r="FR81" s="2377"/>
      <c r="FS81" s="2377"/>
      <c r="FT81" s="2377"/>
      <c r="FU81" s="2377"/>
      <c r="FV81" s="2377"/>
      <c r="FW81" s="2377"/>
      <c r="FX81" s="2377"/>
      <c r="FY81" s="2377"/>
      <c r="FZ81" s="2377"/>
      <c r="GA81" s="2377"/>
      <c r="GB81" s="2377"/>
      <c r="GC81" s="2377"/>
      <c r="GD81" s="2377"/>
      <c r="GE81" s="2377"/>
      <c r="GF81" s="2377"/>
      <c r="GG81" s="2377"/>
      <c r="GH81" s="2377"/>
      <c r="GI81" s="2377"/>
      <c r="GJ81" s="2377"/>
      <c r="GK81" s="536"/>
      <c r="GL81" s="536"/>
      <c r="GT81" s="2377" t="s">
        <v>1094</v>
      </c>
      <c r="GU81" s="2377"/>
      <c r="GV81" s="2377"/>
      <c r="GW81" s="2377"/>
      <c r="GX81" s="2377"/>
      <c r="GY81" s="2377"/>
      <c r="GZ81" s="2377"/>
      <c r="HA81" s="2377"/>
      <c r="HB81" s="2377"/>
      <c r="HC81" s="2377"/>
      <c r="HD81" s="2377"/>
      <c r="HE81" s="2377"/>
      <c r="HF81" s="2377"/>
      <c r="HG81" s="2377"/>
      <c r="HH81" s="2377"/>
      <c r="HI81" s="2377"/>
      <c r="HJ81" s="2377"/>
      <c r="HK81" s="2377"/>
      <c r="HL81" s="2377"/>
      <c r="HM81" s="2377"/>
      <c r="HN81" s="2377"/>
      <c r="HO81" s="2377"/>
      <c r="HP81" s="2377"/>
      <c r="HQ81" s="2377"/>
      <c r="HR81" s="2377"/>
      <c r="HS81" s="2377"/>
      <c r="HT81" s="2377"/>
      <c r="HU81" s="2377"/>
      <c r="HV81" s="2377"/>
      <c r="HW81" s="2377"/>
      <c r="HX81" s="2377"/>
      <c r="HY81" s="2377"/>
      <c r="HZ81" s="2377"/>
      <c r="IA81" s="2377"/>
      <c r="IB81" s="2377"/>
      <c r="IC81" s="2377"/>
      <c r="ID81" s="2377"/>
      <c r="IE81" s="2377"/>
      <c r="IF81" s="2377"/>
      <c r="KJ81"/>
      <c r="KK81"/>
      <c r="KL81"/>
      <c r="KM81"/>
      <c r="KN81"/>
      <c r="KO81"/>
      <c r="KP81"/>
      <c r="KQ81"/>
      <c r="KR81"/>
      <c r="KS81"/>
      <c r="KT81"/>
      <c r="KU81"/>
      <c r="KV81"/>
      <c r="KW81"/>
      <c r="KX81"/>
      <c r="KY81"/>
      <c r="KZ81"/>
      <c r="LA81"/>
      <c r="LB81"/>
      <c r="LC81"/>
      <c r="LD81"/>
      <c r="LE81"/>
      <c r="LF81"/>
      <c r="LG81"/>
      <c r="LH81"/>
      <c r="LI81"/>
      <c r="LJ81"/>
    </row>
    <row r="82" spans="156:322">
      <c r="EZ82" s="2377" t="s">
        <v>1095</v>
      </c>
      <c r="FA82" s="2377"/>
      <c r="FB82" s="2377"/>
      <c r="FC82" s="2377"/>
      <c r="FD82" s="2377"/>
      <c r="FE82" s="2377"/>
      <c r="FF82" s="2377"/>
      <c r="FG82" s="2377"/>
      <c r="FH82" s="2377"/>
      <c r="FI82" s="2377"/>
      <c r="FJ82" s="2377"/>
      <c r="FK82" s="2377"/>
      <c r="FL82" s="2377"/>
      <c r="FM82" s="2377"/>
      <c r="FN82" s="2377"/>
      <c r="FO82" s="2377"/>
      <c r="FP82" s="2377"/>
      <c r="FQ82" s="2377"/>
      <c r="FR82" s="2377"/>
      <c r="FS82" s="2377"/>
      <c r="FT82" s="2377"/>
      <c r="FU82" s="2377"/>
      <c r="FV82" s="2377"/>
      <c r="FW82" s="2377"/>
      <c r="FX82" s="2377"/>
      <c r="FY82" s="2377"/>
      <c r="FZ82" s="2377"/>
      <c r="GA82" s="2377"/>
      <c r="GB82" s="2377"/>
      <c r="GC82" s="2377"/>
      <c r="GD82" s="2377"/>
      <c r="GE82" s="2377"/>
      <c r="GF82" s="2377"/>
      <c r="GG82" s="2377"/>
      <c r="GH82" s="2377"/>
      <c r="GI82" s="2377"/>
      <c r="GJ82" s="2377"/>
      <c r="GK82" s="536"/>
      <c r="GL82" s="536"/>
      <c r="GT82" s="2377" t="s">
        <v>1095</v>
      </c>
      <c r="GU82" s="2377"/>
      <c r="GV82" s="2377"/>
      <c r="GW82" s="2377"/>
      <c r="GX82" s="2377"/>
      <c r="GY82" s="2377"/>
      <c r="GZ82" s="2377"/>
      <c r="HA82" s="2377"/>
      <c r="HB82" s="2377"/>
      <c r="HC82" s="2377"/>
      <c r="HD82" s="2377"/>
      <c r="HE82" s="2377"/>
      <c r="HF82" s="2377"/>
      <c r="HG82" s="2377"/>
      <c r="HH82" s="2377"/>
      <c r="HI82" s="2377"/>
      <c r="HJ82" s="2377"/>
      <c r="HK82" s="2377"/>
      <c r="HL82" s="2377"/>
      <c r="HM82" s="2377"/>
      <c r="HN82" s="2377"/>
      <c r="HO82" s="2377"/>
      <c r="HP82" s="2377"/>
      <c r="HQ82" s="2377"/>
      <c r="HR82" s="2377"/>
      <c r="HS82" s="2377"/>
      <c r="HT82" s="2377"/>
      <c r="HU82" s="2377"/>
      <c r="HV82" s="2377"/>
      <c r="HW82" s="2377"/>
      <c r="HX82" s="2377"/>
      <c r="HY82" s="2377"/>
      <c r="HZ82" s="2377"/>
      <c r="IA82" s="2377"/>
      <c r="IB82" s="2377"/>
      <c r="IC82" s="2377"/>
      <c r="ID82" s="2377"/>
      <c r="IE82" s="2377"/>
      <c r="IF82" s="2377"/>
      <c r="KJ82"/>
      <c r="KK82"/>
      <c r="KL82"/>
      <c r="KM82"/>
      <c r="KN82"/>
      <c r="KO82"/>
      <c r="KP82"/>
      <c r="KQ82"/>
      <c r="KR82"/>
      <c r="KS82"/>
      <c r="KT82"/>
      <c r="KU82"/>
      <c r="KV82"/>
      <c r="KW82"/>
      <c r="KX82"/>
      <c r="KY82"/>
      <c r="KZ82"/>
      <c r="LA82"/>
      <c r="LB82"/>
      <c r="LC82"/>
      <c r="LD82"/>
      <c r="LE82"/>
      <c r="LF82"/>
      <c r="LG82"/>
      <c r="LH82"/>
      <c r="LI82"/>
      <c r="LJ82"/>
    </row>
    <row r="83" spans="156:322">
      <c r="EZ83" s="2377" t="s">
        <v>1096</v>
      </c>
      <c r="FA83" s="2377"/>
      <c r="FB83" s="2377"/>
      <c r="FC83" s="2377"/>
      <c r="FD83" s="2377"/>
      <c r="FE83" s="2377"/>
      <c r="FF83" s="2377"/>
      <c r="FG83" s="2377"/>
      <c r="FH83" s="2377"/>
      <c r="FI83" s="2377"/>
      <c r="FJ83" s="2377"/>
      <c r="FK83" s="2377"/>
      <c r="FL83" s="2377"/>
      <c r="FM83" s="2377"/>
      <c r="FN83" s="2377"/>
      <c r="FO83" s="2377"/>
      <c r="FP83" s="2377"/>
      <c r="FQ83" s="2377"/>
      <c r="FR83" s="2377"/>
      <c r="FS83" s="2377"/>
      <c r="FT83" s="2377"/>
      <c r="FU83" s="2377"/>
      <c r="FV83" s="2377"/>
      <c r="FW83" s="2377"/>
      <c r="FX83" s="2377"/>
      <c r="FY83" s="2377"/>
      <c r="FZ83" s="2377"/>
      <c r="GA83" s="2377"/>
      <c r="GB83" s="2377"/>
      <c r="GC83" s="2377"/>
      <c r="GD83" s="2377"/>
      <c r="GE83" s="2377"/>
      <c r="GF83" s="2377"/>
      <c r="GG83" s="2377"/>
      <c r="GH83" s="2377"/>
      <c r="GI83" s="2377"/>
      <c r="GJ83" s="2377"/>
      <c r="GK83" s="536"/>
      <c r="GL83" s="536"/>
      <c r="GT83" s="2377" t="s">
        <v>1096</v>
      </c>
      <c r="GU83" s="2377"/>
      <c r="GV83" s="2377"/>
      <c r="GW83" s="2377"/>
      <c r="GX83" s="2377"/>
      <c r="GY83" s="2377"/>
      <c r="GZ83" s="2377"/>
      <c r="HA83" s="2377"/>
      <c r="HB83" s="2377"/>
      <c r="HC83" s="2377"/>
      <c r="HD83" s="2377"/>
      <c r="HE83" s="2377"/>
      <c r="HF83" s="2377"/>
      <c r="HG83" s="2377"/>
      <c r="HH83" s="2377"/>
      <c r="HI83" s="2377"/>
      <c r="HJ83" s="2377"/>
      <c r="HK83" s="2377"/>
      <c r="HL83" s="2377"/>
      <c r="HM83" s="2377"/>
      <c r="HN83" s="2377"/>
      <c r="HO83" s="2377"/>
      <c r="HP83" s="2377"/>
      <c r="HQ83" s="2377"/>
      <c r="HR83" s="2377"/>
      <c r="HS83" s="2377"/>
      <c r="HT83" s="2377"/>
      <c r="HU83" s="2377"/>
      <c r="HV83" s="2377"/>
      <c r="HW83" s="2377"/>
      <c r="HX83" s="2377"/>
      <c r="HY83" s="2377"/>
      <c r="HZ83" s="2377"/>
      <c r="IA83" s="2377"/>
      <c r="IB83" s="2377"/>
      <c r="IC83" s="2377"/>
      <c r="ID83" s="2377"/>
      <c r="IE83" s="2377"/>
      <c r="IF83" s="2377"/>
      <c r="KJ83"/>
      <c r="KK83"/>
      <c r="KL83"/>
      <c r="KM83"/>
      <c r="KN83"/>
      <c r="KO83"/>
      <c r="KP83"/>
      <c r="KQ83"/>
      <c r="KR83"/>
      <c r="KS83"/>
      <c r="KT83"/>
      <c r="KU83"/>
      <c r="KV83"/>
      <c r="KW83"/>
      <c r="KX83"/>
      <c r="KY83"/>
      <c r="KZ83"/>
      <c r="LA83"/>
      <c r="LB83"/>
      <c r="LC83"/>
      <c r="LD83"/>
      <c r="LE83"/>
      <c r="LF83"/>
      <c r="LG83"/>
      <c r="LH83"/>
      <c r="LI83"/>
      <c r="LJ83"/>
    </row>
    <row r="84" spans="156:322">
      <c r="EZ84" s="2377" t="s">
        <v>1097</v>
      </c>
      <c r="FA84" s="2377"/>
      <c r="FB84" s="2377"/>
      <c r="FC84" s="2377"/>
      <c r="FD84" s="2377"/>
      <c r="FE84" s="2377"/>
      <c r="FF84" s="2377"/>
      <c r="FG84" s="2377"/>
      <c r="FH84" s="2377"/>
      <c r="FI84" s="2377"/>
      <c r="FJ84" s="2377"/>
      <c r="FK84" s="2377"/>
      <c r="FL84" s="2377"/>
      <c r="FM84" s="2377"/>
      <c r="FN84" s="2377"/>
      <c r="FO84" s="2377"/>
      <c r="FP84" s="2377"/>
      <c r="FQ84" s="2377"/>
      <c r="FR84" s="2377"/>
      <c r="FS84" s="2377"/>
      <c r="FT84" s="2377"/>
      <c r="FU84" s="2377"/>
      <c r="FV84" s="2377"/>
      <c r="FW84" s="2377"/>
      <c r="FX84" s="2377"/>
      <c r="FY84" s="2377"/>
      <c r="FZ84" s="2377"/>
      <c r="GA84" s="2377"/>
      <c r="GB84" s="2377"/>
      <c r="GC84" s="2377"/>
      <c r="GD84" s="2377"/>
      <c r="GE84" s="2377"/>
      <c r="GF84" s="2377"/>
      <c r="GG84" s="2377"/>
      <c r="GH84" s="2377"/>
      <c r="GI84" s="2377"/>
      <c r="GJ84" s="2377"/>
      <c r="GK84" s="536"/>
      <c r="GL84" s="536"/>
      <c r="GT84" s="2377" t="s">
        <v>1097</v>
      </c>
      <c r="GU84" s="2377"/>
      <c r="GV84" s="2377"/>
      <c r="GW84" s="2377"/>
      <c r="GX84" s="2377"/>
      <c r="GY84" s="2377"/>
      <c r="GZ84" s="2377"/>
      <c r="HA84" s="2377"/>
      <c r="HB84" s="2377"/>
      <c r="HC84" s="2377"/>
      <c r="HD84" s="2377"/>
      <c r="HE84" s="2377"/>
      <c r="HF84" s="2377"/>
      <c r="HG84" s="2377"/>
      <c r="HH84" s="2377"/>
      <c r="HI84" s="2377"/>
      <c r="HJ84" s="2377"/>
      <c r="HK84" s="2377"/>
      <c r="HL84" s="2377"/>
      <c r="HM84" s="2377"/>
      <c r="HN84" s="2377"/>
      <c r="HO84" s="2377"/>
      <c r="HP84" s="2377"/>
      <c r="HQ84" s="2377"/>
      <c r="HR84" s="2377"/>
      <c r="HS84" s="2377"/>
      <c r="HT84" s="2377"/>
      <c r="HU84" s="2377"/>
      <c r="HV84" s="2377"/>
      <c r="HW84" s="2377"/>
      <c r="HX84" s="2377"/>
      <c r="HY84" s="2377"/>
      <c r="HZ84" s="2377"/>
      <c r="IA84" s="2377"/>
      <c r="IB84" s="2377"/>
      <c r="IC84" s="2377"/>
      <c r="ID84" s="2377"/>
      <c r="IE84" s="2377"/>
      <c r="IF84" s="2377"/>
      <c r="KJ84"/>
      <c r="KK84"/>
      <c r="KL84"/>
      <c r="KM84"/>
      <c r="KN84"/>
      <c r="KO84"/>
      <c r="KP84"/>
      <c r="KQ84"/>
      <c r="KR84"/>
      <c r="KS84"/>
      <c r="KT84"/>
      <c r="KU84"/>
      <c r="KV84"/>
      <c r="KW84"/>
      <c r="KX84"/>
      <c r="KY84"/>
      <c r="KZ84"/>
      <c r="LA84"/>
      <c r="LB84"/>
      <c r="LC84"/>
      <c r="LD84"/>
      <c r="LE84"/>
      <c r="LF84"/>
      <c r="LG84"/>
      <c r="LH84"/>
      <c r="LI84"/>
      <c r="LJ84"/>
    </row>
    <row r="85" spans="156:322">
      <c r="EZ85" s="2377"/>
      <c r="FA85" s="2377"/>
      <c r="FB85" s="2377"/>
      <c r="FC85" s="2377"/>
      <c r="FD85" s="2377"/>
      <c r="FE85" s="2377"/>
      <c r="FF85" s="2377"/>
      <c r="FG85" s="2377"/>
      <c r="FH85" s="2377"/>
      <c r="FI85" s="2377"/>
      <c r="FJ85" s="2377"/>
      <c r="FK85" s="2377"/>
      <c r="FL85" s="2377"/>
      <c r="FM85" s="2377"/>
      <c r="FN85" s="2377"/>
      <c r="FO85" s="2377"/>
      <c r="FP85" s="2377"/>
      <c r="FQ85" s="2377"/>
      <c r="FR85" s="2377"/>
      <c r="FS85" s="2377"/>
      <c r="FT85" s="2377"/>
      <c r="FU85" s="2377"/>
      <c r="FV85" s="2377"/>
      <c r="FW85" s="2377"/>
      <c r="FX85" s="2377"/>
      <c r="FY85" s="2377"/>
      <c r="FZ85" s="2377"/>
      <c r="GA85" s="2377"/>
      <c r="GB85" s="2377"/>
      <c r="GC85" s="2377"/>
      <c r="GD85" s="2377"/>
      <c r="GE85" s="2377"/>
      <c r="GF85" s="2377"/>
      <c r="GG85" s="2377"/>
      <c r="GH85" s="2377"/>
      <c r="GI85" s="2377"/>
      <c r="GJ85" s="2377"/>
      <c r="GK85" s="536"/>
      <c r="GL85" s="536"/>
      <c r="GT85" s="2377"/>
      <c r="GU85" s="2377"/>
      <c r="GV85" s="2377"/>
      <c r="GW85" s="2377"/>
      <c r="GX85" s="2377"/>
      <c r="GY85" s="2377"/>
      <c r="GZ85" s="2377"/>
      <c r="HA85" s="2377"/>
      <c r="HB85" s="2377"/>
      <c r="HC85" s="2377"/>
      <c r="HD85" s="2377"/>
      <c r="HE85" s="2377"/>
      <c r="HF85" s="2377"/>
      <c r="HG85" s="2377"/>
      <c r="HH85" s="2377"/>
      <c r="HI85" s="2377"/>
      <c r="HJ85" s="2377"/>
      <c r="HK85" s="2377"/>
      <c r="HL85" s="2377"/>
      <c r="HM85" s="2377"/>
      <c r="HN85" s="2377"/>
      <c r="HO85" s="2377"/>
      <c r="HP85" s="2377"/>
      <c r="HQ85" s="2377"/>
      <c r="HR85" s="2377"/>
      <c r="HS85" s="2377"/>
      <c r="HT85" s="2377"/>
      <c r="HU85" s="2377"/>
      <c r="HV85" s="2377"/>
      <c r="HW85" s="2377"/>
      <c r="HX85" s="2377"/>
      <c r="HY85" s="2377"/>
      <c r="HZ85" s="2377"/>
      <c r="IA85" s="2377"/>
      <c r="IB85" s="2377"/>
      <c r="IC85" s="2377"/>
      <c r="ID85" s="2377"/>
      <c r="IE85" s="2377"/>
      <c r="IF85" s="2377"/>
      <c r="KJ85"/>
      <c r="KK85"/>
      <c r="KL85"/>
      <c r="KM85"/>
      <c r="KN85"/>
      <c r="KO85"/>
      <c r="KP85"/>
      <c r="KQ85"/>
      <c r="KR85"/>
      <c r="KS85"/>
      <c r="KT85"/>
      <c r="KU85"/>
      <c r="KV85"/>
      <c r="KW85"/>
      <c r="KX85"/>
      <c r="KY85"/>
      <c r="KZ85"/>
      <c r="LA85"/>
      <c r="LB85"/>
      <c r="LC85"/>
      <c r="LD85"/>
      <c r="LE85"/>
      <c r="LF85"/>
      <c r="LG85"/>
      <c r="LH85"/>
      <c r="LI85"/>
      <c r="LJ85"/>
    </row>
    <row r="86" spans="156:322">
      <c r="EZ86" s="2387" t="s">
        <v>406</v>
      </c>
      <c r="FA86" s="2387"/>
      <c r="FB86" s="2387"/>
      <c r="FC86" s="2387"/>
      <c r="FD86" s="2387"/>
      <c r="FE86" s="2387"/>
      <c r="FF86" s="2387"/>
      <c r="FG86" s="2387"/>
      <c r="FH86" s="2387"/>
      <c r="FI86" s="2387"/>
      <c r="FJ86" s="2387"/>
      <c r="FK86" s="2387"/>
      <c r="FL86" s="2387"/>
      <c r="FM86" s="2387"/>
      <c r="FN86" s="2387"/>
      <c r="FO86" s="2387"/>
      <c r="FP86" s="2387"/>
      <c r="FQ86" s="2387"/>
      <c r="FR86" s="2387"/>
      <c r="FS86" s="2387"/>
      <c r="FT86" s="2387"/>
      <c r="FU86" s="2387"/>
      <c r="FV86" s="2387"/>
      <c r="FW86" s="2387"/>
      <c r="FX86" s="2387"/>
      <c r="FY86" s="2387"/>
      <c r="FZ86" s="2387"/>
      <c r="GA86" s="2387"/>
      <c r="GB86" s="2387"/>
      <c r="GC86" s="2387"/>
      <c r="GD86" s="2387"/>
      <c r="GE86" s="2387"/>
      <c r="GF86" s="2387"/>
      <c r="GG86" s="2387"/>
      <c r="GH86" s="2387"/>
      <c r="GI86" s="2387"/>
      <c r="GJ86" s="2387"/>
      <c r="GK86" s="536"/>
      <c r="GL86" s="536"/>
      <c r="GT86" s="2387" t="s">
        <v>406</v>
      </c>
      <c r="GU86" s="2387"/>
      <c r="GV86" s="2387"/>
      <c r="GW86" s="2387"/>
      <c r="GX86" s="2387"/>
      <c r="GY86" s="2387"/>
      <c r="GZ86" s="2387"/>
      <c r="HA86" s="2387"/>
      <c r="HB86" s="2387"/>
      <c r="HC86" s="2387"/>
      <c r="HD86" s="2387"/>
      <c r="HE86" s="2387"/>
      <c r="HF86" s="2387"/>
      <c r="HG86" s="2387"/>
      <c r="HH86" s="2387"/>
      <c r="HI86" s="2387"/>
      <c r="HJ86" s="2387"/>
      <c r="HK86" s="2387"/>
      <c r="HL86" s="2387"/>
      <c r="HM86" s="2387"/>
      <c r="HN86" s="2387"/>
      <c r="HO86" s="2387"/>
      <c r="HP86" s="2387"/>
      <c r="HQ86" s="2387"/>
      <c r="HR86" s="2387"/>
      <c r="HS86" s="2387"/>
      <c r="HT86" s="2387"/>
      <c r="HU86" s="2387"/>
      <c r="HV86" s="2387"/>
      <c r="HW86" s="2387"/>
      <c r="HX86" s="2387"/>
      <c r="HY86" s="2387"/>
      <c r="HZ86" s="2387"/>
      <c r="IA86" s="2387"/>
      <c r="IB86" s="2387"/>
      <c r="IC86" s="2387"/>
      <c r="ID86" s="2387"/>
      <c r="IE86" s="2387"/>
      <c r="IF86" s="2387"/>
      <c r="KJ86"/>
      <c r="KK86"/>
      <c r="KL86"/>
      <c r="KM86"/>
      <c r="KN86"/>
      <c r="KO86"/>
      <c r="KP86"/>
      <c r="KQ86"/>
      <c r="KR86"/>
      <c r="KS86"/>
      <c r="KT86"/>
      <c r="KU86"/>
      <c r="KV86"/>
      <c r="KW86"/>
      <c r="KX86"/>
      <c r="KY86"/>
      <c r="KZ86"/>
      <c r="LA86"/>
      <c r="LB86"/>
      <c r="LC86"/>
      <c r="LD86"/>
      <c r="LE86"/>
      <c r="LF86"/>
      <c r="LG86"/>
      <c r="LH86"/>
      <c r="LI86"/>
      <c r="LJ86"/>
    </row>
    <row r="87" spans="156:322">
      <c r="EZ87" s="2377" t="s">
        <v>1191</v>
      </c>
      <c r="FA87" s="2377"/>
      <c r="FB87" s="2377"/>
      <c r="FC87" s="2377"/>
      <c r="FD87" s="2377"/>
      <c r="FE87" s="2377"/>
      <c r="FF87" s="2377"/>
      <c r="FG87" s="2377"/>
      <c r="FH87" s="2377"/>
      <c r="FI87" s="2377"/>
      <c r="FJ87" s="2377"/>
      <c r="FK87" s="2377"/>
      <c r="FL87" s="2377"/>
      <c r="FM87" s="2377"/>
      <c r="FN87" s="2377"/>
      <c r="FO87" s="2377"/>
      <c r="FP87" s="2377"/>
      <c r="FQ87" s="2377"/>
      <c r="FR87" s="2377"/>
      <c r="FS87" s="2377"/>
      <c r="FT87" s="2377"/>
      <c r="FU87" s="2377"/>
      <c r="FV87" s="2377"/>
      <c r="FW87" s="2377"/>
      <c r="FX87" s="2377"/>
      <c r="FY87" s="2377"/>
      <c r="FZ87" s="2377"/>
      <c r="GA87" s="2377"/>
      <c r="GB87" s="2377"/>
      <c r="GC87" s="2377"/>
      <c r="GD87" s="2377"/>
      <c r="GE87" s="2377"/>
      <c r="GF87" s="2377"/>
      <c r="GG87" s="2377"/>
      <c r="GH87" s="2377"/>
      <c r="GI87" s="2377"/>
      <c r="GJ87" s="2377"/>
      <c r="GK87" s="536"/>
      <c r="GL87" s="536"/>
      <c r="GT87" s="2377" t="s">
        <v>1191</v>
      </c>
      <c r="GU87" s="2377"/>
      <c r="GV87" s="2377"/>
      <c r="GW87" s="2377"/>
      <c r="GX87" s="2377"/>
      <c r="GY87" s="2377"/>
      <c r="GZ87" s="2377"/>
      <c r="HA87" s="2377"/>
      <c r="HB87" s="2377"/>
      <c r="HC87" s="2377"/>
      <c r="HD87" s="2377"/>
      <c r="HE87" s="2377"/>
      <c r="HF87" s="2377"/>
      <c r="HG87" s="2377"/>
      <c r="HH87" s="2377"/>
      <c r="HI87" s="2377"/>
      <c r="HJ87" s="2377"/>
      <c r="HK87" s="2377"/>
      <c r="HL87" s="2377"/>
      <c r="HM87" s="2377"/>
      <c r="HN87" s="2377"/>
      <c r="HO87" s="2377"/>
      <c r="HP87" s="2377"/>
      <c r="HQ87" s="2377"/>
      <c r="HR87" s="2377"/>
      <c r="HS87" s="2377"/>
      <c r="HT87" s="2377"/>
      <c r="HU87" s="2377"/>
      <c r="HV87" s="2377"/>
      <c r="HW87" s="2377"/>
      <c r="HX87" s="2377"/>
      <c r="HY87" s="2377"/>
      <c r="HZ87" s="2377"/>
      <c r="IA87" s="2377"/>
      <c r="IB87" s="2377"/>
      <c r="IC87" s="2377"/>
      <c r="ID87" s="2377"/>
      <c r="IE87" s="2377"/>
      <c r="IF87" s="2377"/>
      <c r="KJ87"/>
      <c r="KK87"/>
      <c r="KL87"/>
      <c r="KM87"/>
      <c r="KN87"/>
      <c r="KO87"/>
      <c r="KP87"/>
      <c r="KQ87"/>
      <c r="KR87"/>
      <c r="KS87"/>
      <c r="KT87"/>
      <c r="KU87"/>
      <c r="KV87"/>
    </row>
  </sheetData>
  <mergeCells count="1581">
    <mergeCell ref="A25:B31"/>
    <mergeCell ref="B3:B7"/>
    <mergeCell ref="A3:A7"/>
    <mergeCell ref="A14:A18"/>
    <mergeCell ref="B9:B12"/>
    <mergeCell ref="A9:A12"/>
    <mergeCell ref="A19:B20"/>
    <mergeCell ref="A22:B23"/>
    <mergeCell ref="IY2:JC2"/>
    <mergeCell ref="IN1:JC1"/>
    <mergeCell ref="JO2:JV2"/>
    <mergeCell ref="JW2:KD2"/>
    <mergeCell ref="JM1:KD1"/>
    <mergeCell ref="JM2:JM6"/>
    <mergeCell ref="JN2:JN6"/>
    <mergeCell ref="GT84:IF84"/>
    <mergeCell ref="GT85:IF85"/>
    <mergeCell ref="HX63:HX66"/>
    <mergeCell ref="HY63:HY66"/>
    <mergeCell ref="HN63:HN66"/>
    <mergeCell ref="HO63:HO66"/>
    <mergeCell ref="HP63:HP66"/>
    <mergeCell ref="HQ63:HQ66"/>
    <mergeCell ref="HR63:HR66"/>
    <mergeCell ref="HS63:HS66"/>
    <mergeCell ref="HH63:HH66"/>
    <mergeCell ref="HI63:HI66"/>
    <mergeCell ref="HJ63:HJ66"/>
    <mergeCell ref="HK63:HK66"/>
    <mergeCell ref="HL63:HL66"/>
    <mergeCell ref="HM63:HM66"/>
    <mergeCell ref="HB63:HB66"/>
    <mergeCell ref="GT86:IF86"/>
    <mergeCell ref="GT87:IF87"/>
    <mergeCell ref="IQ2:IX2"/>
    <mergeCell ref="IN2:IP2"/>
    <mergeCell ref="GT78:IF78"/>
    <mergeCell ref="GT79:IF79"/>
    <mergeCell ref="GT80:IF80"/>
    <mergeCell ref="GT81:IF81"/>
    <mergeCell ref="GT82:IF82"/>
    <mergeCell ref="GT83:IF83"/>
    <mergeCell ref="GT72:IF72"/>
    <mergeCell ref="GT73:IF73"/>
    <mergeCell ref="GT74:IF74"/>
    <mergeCell ref="GT75:IF75"/>
    <mergeCell ref="GT76:IF76"/>
    <mergeCell ref="GT77:IF77"/>
    <mergeCell ref="IF63:IF66"/>
    <mergeCell ref="GT67:IF67"/>
    <mergeCell ref="GT68:IF68"/>
    <mergeCell ref="GT69:IF69"/>
    <mergeCell ref="GT70:IF70"/>
    <mergeCell ref="GT71:IF71"/>
    <mergeCell ref="HZ63:HZ66"/>
    <mergeCell ref="IA63:IA66"/>
    <mergeCell ref="IB63:IB66"/>
    <mergeCell ref="IC63:IC66"/>
    <mergeCell ref="ID63:ID66"/>
    <mergeCell ref="IE63:IE66"/>
    <mergeCell ref="HT63:HT66"/>
    <mergeCell ref="HU63:HU66"/>
    <mergeCell ref="HV63:HV66"/>
    <mergeCell ref="HW63:HW66"/>
    <mergeCell ref="HC63:HC66"/>
    <mergeCell ref="HD63:HD66"/>
    <mergeCell ref="HE63:HE66"/>
    <mergeCell ref="HF63:HF66"/>
    <mergeCell ref="HG63:HG66"/>
    <mergeCell ref="IC59:IC62"/>
    <mergeCell ref="ID59:ID62"/>
    <mergeCell ref="IE59:IE62"/>
    <mergeCell ref="IF59:IF62"/>
    <mergeCell ref="GT63:GT66"/>
    <mergeCell ref="GU63:GU66"/>
    <mergeCell ref="GX63:GX66"/>
    <mergeCell ref="GY63:GY66"/>
    <mergeCell ref="GZ63:GZ66"/>
    <mergeCell ref="HA63:HA66"/>
    <mergeCell ref="HW59:HW62"/>
    <mergeCell ref="HX59:HX62"/>
    <mergeCell ref="HY59:HY62"/>
    <mergeCell ref="HZ59:HZ62"/>
    <mergeCell ref="IA59:IA62"/>
    <mergeCell ref="IB59:IB62"/>
    <mergeCell ref="HQ59:HQ62"/>
    <mergeCell ref="HR59:HR62"/>
    <mergeCell ref="HS59:HS62"/>
    <mergeCell ref="HT59:HT62"/>
    <mergeCell ref="GT59:GT62"/>
    <mergeCell ref="GU59:GU62"/>
    <mergeCell ref="GX59:GX62"/>
    <mergeCell ref="GY59:GY62"/>
    <mergeCell ref="GZ59:GZ62"/>
    <mergeCell ref="HA59:HA62"/>
    <mergeCell ref="HB59:HB62"/>
    <mergeCell ref="HC59:HC62"/>
    <mergeCell ref="HD59:HD62"/>
    <mergeCell ref="HZ55:HZ58"/>
    <mergeCell ref="IA55:IA58"/>
    <mergeCell ref="IB55:IB58"/>
    <mergeCell ref="IC55:IC58"/>
    <mergeCell ref="ID55:ID58"/>
    <mergeCell ref="IE55:IE58"/>
    <mergeCell ref="HT55:HT58"/>
    <mergeCell ref="HU55:HU58"/>
    <mergeCell ref="HK55:HK58"/>
    <mergeCell ref="HL55:HL58"/>
    <mergeCell ref="HM55:HM58"/>
    <mergeCell ref="HB55:HB58"/>
    <mergeCell ref="HC55:HC58"/>
    <mergeCell ref="HD55:HD58"/>
    <mergeCell ref="HE55:HE58"/>
    <mergeCell ref="HF55:HF58"/>
    <mergeCell ref="HG55:HG58"/>
    <mergeCell ref="HU59:HU62"/>
    <mergeCell ref="HV59:HV62"/>
    <mergeCell ref="HK59:HK62"/>
    <mergeCell ref="HL59:HL62"/>
    <mergeCell ref="HM59:HM62"/>
    <mergeCell ref="HN59:HN62"/>
    <mergeCell ref="HO59:HO62"/>
    <mergeCell ref="HP59:HP62"/>
    <mergeCell ref="HE59:HE62"/>
    <mergeCell ref="HF59:HF62"/>
    <mergeCell ref="HG59:HG62"/>
    <mergeCell ref="HH59:HH62"/>
    <mergeCell ref="HI59:HI62"/>
    <mergeCell ref="HJ59:HJ62"/>
    <mergeCell ref="IF51:IF54"/>
    <mergeCell ref="HU51:HU54"/>
    <mergeCell ref="HV51:HV54"/>
    <mergeCell ref="HW51:HW54"/>
    <mergeCell ref="HX51:HX54"/>
    <mergeCell ref="HY51:HY54"/>
    <mergeCell ref="HZ51:HZ54"/>
    <mergeCell ref="HO51:HO54"/>
    <mergeCell ref="HP51:HP54"/>
    <mergeCell ref="HQ51:HQ54"/>
    <mergeCell ref="HR51:HR54"/>
    <mergeCell ref="HS51:HS54"/>
    <mergeCell ref="HT51:HT54"/>
    <mergeCell ref="HI51:HI54"/>
    <mergeCell ref="HJ51:HJ54"/>
    <mergeCell ref="HK51:HK54"/>
    <mergeCell ref="HL51:HL54"/>
    <mergeCell ref="HM51:HM54"/>
    <mergeCell ref="HN51:HN54"/>
    <mergeCell ref="IF55:IF58"/>
    <mergeCell ref="HK47:HK50"/>
    <mergeCell ref="HL47:HL50"/>
    <mergeCell ref="HM47:HM50"/>
    <mergeCell ref="HN47:HN50"/>
    <mergeCell ref="HO47:HO50"/>
    <mergeCell ref="HP47:HP50"/>
    <mergeCell ref="GT55:GT58"/>
    <mergeCell ref="GU55:GU58"/>
    <mergeCell ref="GX55:GX58"/>
    <mergeCell ref="GY55:GY58"/>
    <mergeCell ref="GZ55:GZ58"/>
    <mergeCell ref="HA55:HA58"/>
    <mergeCell ref="IA51:IA54"/>
    <mergeCell ref="IB51:IB54"/>
    <mergeCell ref="IC51:IC54"/>
    <mergeCell ref="ID51:ID54"/>
    <mergeCell ref="IE51:IE54"/>
    <mergeCell ref="HC51:HC54"/>
    <mergeCell ref="HD51:HD54"/>
    <mergeCell ref="HV55:HV58"/>
    <mergeCell ref="HW55:HW58"/>
    <mergeCell ref="HX55:HX58"/>
    <mergeCell ref="HY55:HY58"/>
    <mergeCell ref="HN55:HN58"/>
    <mergeCell ref="HO55:HO58"/>
    <mergeCell ref="HP55:HP58"/>
    <mergeCell ref="HQ55:HQ58"/>
    <mergeCell ref="HR55:HR58"/>
    <mergeCell ref="HS55:HS58"/>
    <mergeCell ref="HH55:HH58"/>
    <mergeCell ref="HI55:HI58"/>
    <mergeCell ref="HJ55:HJ58"/>
    <mergeCell ref="HX43:HX46"/>
    <mergeCell ref="HY43:HY46"/>
    <mergeCell ref="HN43:HN46"/>
    <mergeCell ref="HO43:HO46"/>
    <mergeCell ref="HP43:HP46"/>
    <mergeCell ref="HQ43:HQ46"/>
    <mergeCell ref="HE51:HE54"/>
    <mergeCell ref="HF51:HF54"/>
    <mergeCell ref="HG51:HG54"/>
    <mergeCell ref="HH51:HH54"/>
    <mergeCell ref="IC47:IC50"/>
    <mergeCell ref="ID47:ID50"/>
    <mergeCell ref="IE47:IE50"/>
    <mergeCell ref="IF47:IF50"/>
    <mergeCell ref="GU51:GU54"/>
    <mergeCell ref="GX51:GX54"/>
    <mergeCell ref="GY51:GY54"/>
    <mergeCell ref="GZ51:GZ54"/>
    <mergeCell ref="HA51:HA54"/>
    <mergeCell ref="HB51:HB54"/>
    <mergeCell ref="HW47:HW50"/>
    <mergeCell ref="HX47:HX50"/>
    <mergeCell ref="HY47:HY50"/>
    <mergeCell ref="HZ47:HZ50"/>
    <mergeCell ref="IA47:IA50"/>
    <mergeCell ref="IB47:IB50"/>
    <mergeCell ref="HQ47:HQ50"/>
    <mergeCell ref="HR47:HR50"/>
    <mergeCell ref="HS47:HS50"/>
    <mergeCell ref="HT47:HT50"/>
    <mergeCell ref="HU47:HU50"/>
    <mergeCell ref="HV47:HV50"/>
    <mergeCell ref="GT43:GT46"/>
    <mergeCell ref="GU43:GU46"/>
    <mergeCell ref="GX43:GX46"/>
    <mergeCell ref="GY43:GY46"/>
    <mergeCell ref="GZ43:GZ46"/>
    <mergeCell ref="HA43:HA46"/>
    <mergeCell ref="HE47:HE50"/>
    <mergeCell ref="HF47:HF50"/>
    <mergeCell ref="HG47:HG50"/>
    <mergeCell ref="HH47:HH50"/>
    <mergeCell ref="HI47:HI50"/>
    <mergeCell ref="HJ47:HJ50"/>
    <mergeCell ref="IF43:IF46"/>
    <mergeCell ref="GT47:GT54"/>
    <mergeCell ref="GU47:GU50"/>
    <mergeCell ref="GX47:GX50"/>
    <mergeCell ref="GY47:GY50"/>
    <mergeCell ref="GZ47:GZ50"/>
    <mergeCell ref="HA47:HA50"/>
    <mergeCell ref="HB47:HB50"/>
    <mergeCell ref="HC47:HC50"/>
    <mergeCell ref="HD47:HD50"/>
    <mergeCell ref="HZ43:HZ46"/>
    <mergeCell ref="IA43:IA46"/>
    <mergeCell ref="IB43:IB46"/>
    <mergeCell ref="IC43:IC46"/>
    <mergeCell ref="ID43:ID46"/>
    <mergeCell ref="IE43:IE46"/>
    <mergeCell ref="HT43:HT46"/>
    <mergeCell ref="HU43:HU46"/>
    <mergeCell ref="HV43:HV46"/>
    <mergeCell ref="HW43:HW46"/>
    <mergeCell ref="HQ39:HQ42"/>
    <mergeCell ref="HR39:HR42"/>
    <mergeCell ref="HS39:HS42"/>
    <mergeCell ref="HT39:HT42"/>
    <mergeCell ref="HR43:HR46"/>
    <mergeCell ref="HS43:HS46"/>
    <mergeCell ref="HH43:HH46"/>
    <mergeCell ref="HI43:HI46"/>
    <mergeCell ref="HJ43:HJ46"/>
    <mergeCell ref="HK43:HK46"/>
    <mergeCell ref="HL43:HL46"/>
    <mergeCell ref="HM43:HM46"/>
    <mergeCell ref="HB43:HB46"/>
    <mergeCell ref="HC43:HC46"/>
    <mergeCell ref="HD43:HD46"/>
    <mergeCell ref="HE43:HE46"/>
    <mergeCell ref="HF43:HF46"/>
    <mergeCell ref="HG43:HG46"/>
    <mergeCell ref="IE35:IE38"/>
    <mergeCell ref="IF35:IF38"/>
    <mergeCell ref="GU39:GU42"/>
    <mergeCell ref="GX39:GX42"/>
    <mergeCell ref="GY39:GY42"/>
    <mergeCell ref="GZ39:GZ42"/>
    <mergeCell ref="HA39:HA42"/>
    <mergeCell ref="HB39:HB42"/>
    <mergeCell ref="HW35:HW38"/>
    <mergeCell ref="HX35:HX38"/>
    <mergeCell ref="HY35:HY38"/>
    <mergeCell ref="HZ35:HZ38"/>
    <mergeCell ref="IA35:IA38"/>
    <mergeCell ref="IB35:IB38"/>
    <mergeCell ref="HQ35:HQ38"/>
    <mergeCell ref="HR35:HR38"/>
    <mergeCell ref="HS35:HS38"/>
    <mergeCell ref="HT35:HT38"/>
    <mergeCell ref="IA39:IA42"/>
    <mergeCell ref="IB39:IB42"/>
    <mergeCell ref="IC39:IC42"/>
    <mergeCell ref="ID39:ID42"/>
    <mergeCell ref="IE39:IE42"/>
    <mergeCell ref="IF39:IF42"/>
    <mergeCell ref="HU39:HU42"/>
    <mergeCell ref="HV39:HV42"/>
    <mergeCell ref="HW39:HW42"/>
    <mergeCell ref="HX39:HX42"/>
    <mergeCell ref="HY39:HY42"/>
    <mergeCell ref="HZ39:HZ42"/>
    <mergeCell ref="HO39:HO42"/>
    <mergeCell ref="HP39:HP42"/>
    <mergeCell ref="IF31:IF34"/>
    <mergeCell ref="GT35:GT42"/>
    <mergeCell ref="GU35:GU38"/>
    <mergeCell ref="GX35:GX38"/>
    <mergeCell ref="GY35:GY38"/>
    <mergeCell ref="GZ35:GZ38"/>
    <mergeCell ref="HA35:HA38"/>
    <mergeCell ref="HB35:HB38"/>
    <mergeCell ref="HC35:HC38"/>
    <mergeCell ref="HD35:HD38"/>
    <mergeCell ref="HZ31:HZ34"/>
    <mergeCell ref="IA31:IA34"/>
    <mergeCell ref="IB31:IB34"/>
    <mergeCell ref="IC31:IC34"/>
    <mergeCell ref="ID31:ID34"/>
    <mergeCell ref="IE31:IE34"/>
    <mergeCell ref="HT31:HT34"/>
    <mergeCell ref="HU31:HU34"/>
    <mergeCell ref="HI39:HI42"/>
    <mergeCell ref="HJ39:HJ42"/>
    <mergeCell ref="HK39:HK42"/>
    <mergeCell ref="HL39:HL42"/>
    <mergeCell ref="HM39:HM42"/>
    <mergeCell ref="HN39:HN42"/>
    <mergeCell ref="HC39:HC42"/>
    <mergeCell ref="HD39:HD42"/>
    <mergeCell ref="HE39:HE42"/>
    <mergeCell ref="HF39:HF42"/>
    <mergeCell ref="HG39:HG42"/>
    <mergeCell ref="HH39:HH42"/>
    <mergeCell ref="IC35:IC38"/>
    <mergeCell ref="ID35:ID38"/>
    <mergeCell ref="HB31:HB34"/>
    <mergeCell ref="HC31:HC34"/>
    <mergeCell ref="HD31:HD34"/>
    <mergeCell ref="HE31:HE34"/>
    <mergeCell ref="HF31:HF34"/>
    <mergeCell ref="HG31:HG34"/>
    <mergeCell ref="HU35:HU38"/>
    <mergeCell ref="HV35:HV38"/>
    <mergeCell ref="HK35:HK38"/>
    <mergeCell ref="HL35:HL38"/>
    <mergeCell ref="HM35:HM38"/>
    <mergeCell ref="HN35:HN38"/>
    <mergeCell ref="HO35:HO38"/>
    <mergeCell ref="HP35:HP38"/>
    <mergeCell ref="HE35:HE38"/>
    <mergeCell ref="HF35:HF38"/>
    <mergeCell ref="HG35:HG38"/>
    <mergeCell ref="HH35:HH38"/>
    <mergeCell ref="HI35:HI38"/>
    <mergeCell ref="HJ35:HJ38"/>
    <mergeCell ref="HG27:HG30"/>
    <mergeCell ref="HV31:HV34"/>
    <mergeCell ref="HW31:HW34"/>
    <mergeCell ref="HX31:HX34"/>
    <mergeCell ref="HY31:HY34"/>
    <mergeCell ref="HN31:HN34"/>
    <mergeCell ref="HO31:HO34"/>
    <mergeCell ref="HP31:HP34"/>
    <mergeCell ref="HQ31:HQ34"/>
    <mergeCell ref="HR31:HR34"/>
    <mergeCell ref="HS31:HS34"/>
    <mergeCell ref="HH31:HH34"/>
    <mergeCell ref="HI31:HI34"/>
    <mergeCell ref="HJ31:HJ34"/>
    <mergeCell ref="HK31:HK34"/>
    <mergeCell ref="HL31:HL34"/>
    <mergeCell ref="HM31:HM34"/>
    <mergeCell ref="HG24:HG26"/>
    <mergeCell ref="IB27:IB30"/>
    <mergeCell ref="IC27:IC30"/>
    <mergeCell ref="ID27:ID30"/>
    <mergeCell ref="IE27:IE30"/>
    <mergeCell ref="IF27:IF30"/>
    <mergeCell ref="GU31:GU34"/>
    <mergeCell ref="GX31:GX34"/>
    <mergeCell ref="GY31:GY34"/>
    <mergeCell ref="GZ31:GZ34"/>
    <mergeCell ref="HA31:HA34"/>
    <mergeCell ref="HV27:HV30"/>
    <mergeCell ref="HW27:HW30"/>
    <mergeCell ref="HX27:HX30"/>
    <mergeCell ref="HY27:HY30"/>
    <mergeCell ref="HZ27:HZ30"/>
    <mergeCell ref="IA27:IA30"/>
    <mergeCell ref="HP27:HP30"/>
    <mergeCell ref="HQ27:HQ30"/>
    <mergeCell ref="HR27:HR30"/>
    <mergeCell ref="HS27:HS30"/>
    <mergeCell ref="HT27:HT30"/>
    <mergeCell ref="HU27:HU30"/>
    <mergeCell ref="HJ27:HJ30"/>
    <mergeCell ref="HK27:HK30"/>
    <mergeCell ref="HL27:HL30"/>
    <mergeCell ref="HM27:HM30"/>
    <mergeCell ref="HN27:HN30"/>
    <mergeCell ref="HO27:HO30"/>
    <mergeCell ref="HD27:HD30"/>
    <mergeCell ref="HE27:HE30"/>
    <mergeCell ref="HF27:HF30"/>
    <mergeCell ref="HY24:HY26"/>
    <mergeCell ref="HZ24:HZ26"/>
    <mergeCell ref="IA24:IA26"/>
    <mergeCell ref="IB24:IB26"/>
    <mergeCell ref="IC24:IC26"/>
    <mergeCell ref="HR24:HR26"/>
    <mergeCell ref="HS24:HS26"/>
    <mergeCell ref="HT24:HT26"/>
    <mergeCell ref="HU24:HU26"/>
    <mergeCell ref="HV24:HV26"/>
    <mergeCell ref="HW24:HW26"/>
    <mergeCell ref="HL24:HL26"/>
    <mergeCell ref="HM24:HM26"/>
    <mergeCell ref="HN24:HN26"/>
    <mergeCell ref="HO24:HO26"/>
    <mergeCell ref="HP24:HP26"/>
    <mergeCell ref="HQ24:HQ26"/>
    <mergeCell ref="IF20:IF23"/>
    <mergeCell ref="GU24:GU26"/>
    <mergeCell ref="GX24:GX26"/>
    <mergeCell ref="GY24:GY26"/>
    <mergeCell ref="GZ24:GZ26"/>
    <mergeCell ref="HA24:HA26"/>
    <mergeCell ref="HB24:HB26"/>
    <mergeCell ref="HC24:HC26"/>
    <mergeCell ref="HD24:HD26"/>
    <mergeCell ref="HE24:HE26"/>
    <mergeCell ref="HZ20:HZ23"/>
    <mergeCell ref="IA20:IA23"/>
    <mergeCell ref="IB20:IB23"/>
    <mergeCell ref="IC20:IC23"/>
    <mergeCell ref="ID20:ID23"/>
    <mergeCell ref="IE20:IE23"/>
    <mergeCell ref="HT20:HT23"/>
    <mergeCell ref="HU20:HU23"/>
    <mergeCell ref="HV20:HV23"/>
    <mergeCell ref="HW20:HW23"/>
    <mergeCell ref="HX20:HX23"/>
    <mergeCell ref="HY20:HY23"/>
    <mergeCell ref="HN20:HN23"/>
    <mergeCell ref="HO20:HO23"/>
    <mergeCell ref="HP20:HP23"/>
    <mergeCell ref="HQ20:HQ23"/>
    <mergeCell ref="HR20:HR23"/>
    <mergeCell ref="HS20:HS23"/>
    <mergeCell ref="ID24:ID26"/>
    <mergeCell ref="IE24:IE26"/>
    <mergeCell ref="IF24:IF26"/>
    <mergeCell ref="HX24:HX26"/>
    <mergeCell ref="HH20:HH23"/>
    <mergeCell ref="HI20:HI23"/>
    <mergeCell ref="HJ20:HJ23"/>
    <mergeCell ref="HK20:HK23"/>
    <mergeCell ref="HL20:HL23"/>
    <mergeCell ref="HM20:HM23"/>
    <mergeCell ref="HB20:HB23"/>
    <mergeCell ref="HC20:HC23"/>
    <mergeCell ref="HD20:HD23"/>
    <mergeCell ref="HE20:HE23"/>
    <mergeCell ref="HF20:HF23"/>
    <mergeCell ref="HG20:HG23"/>
    <mergeCell ref="GT20:GT34"/>
    <mergeCell ref="GU20:GU23"/>
    <mergeCell ref="GX20:GX23"/>
    <mergeCell ref="GY20:GY23"/>
    <mergeCell ref="GZ20:GZ23"/>
    <mergeCell ref="HA20:HA23"/>
    <mergeCell ref="HH24:HH26"/>
    <mergeCell ref="HI24:HI26"/>
    <mergeCell ref="HJ24:HJ26"/>
    <mergeCell ref="HK24:HK26"/>
    <mergeCell ref="HH27:HH30"/>
    <mergeCell ref="HI27:HI30"/>
    <mergeCell ref="GU27:GU30"/>
    <mergeCell ref="GX27:GX30"/>
    <mergeCell ref="GY27:GY30"/>
    <mergeCell ref="GZ27:GZ30"/>
    <mergeCell ref="HA27:HA30"/>
    <mergeCell ref="HB27:HB30"/>
    <mergeCell ref="HC27:HC30"/>
    <mergeCell ref="HF24:HF26"/>
    <mergeCell ref="IA16:IA19"/>
    <mergeCell ref="IB16:IB19"/>
    <mergeCell ref="IC16:IC19"/>
    <mergeCell ref="ID16:ID19"/>
    <mergeCell ref="IE16:IE19"/>
    <mergeCell ref="IF16:IF19"/>
    <mergeCell ref="HU16:HU19"/>
    <mergeCell ref="HV16:HV19"/>
    <mergeCell ref="HW16:HW19"/>
    <mergeCell ref="HX16:HX19"/>
    <mergeCell ref="HY16:HY19"/>
    <mergeCell ref="HZ16:HZ19"/>
    <mergeCell ref="HO16:HO19"/>
    <mergeCell ref="HP16:HP19"/>
    <mergeCell ref="HQ16:HQ19"/>
    <mergeCell ref="HR16:HR19"/>
    <mergeCell ref="HS16:HS19"/>
    <mergeCell ref="HT16:HT19"/>
    <mergeCell ref="HI16:HI19"/>
    <mergeCell ref="HJ16:HJ19"/>
    <mergeCell ref="HK16:HK19"/>
    <mergeCell ref="HL16:HL19"/>
    <mergeCell ref="HM16:HM19"/>
    <mergeCell ref="HN16:HN19"/>
    <mergeCell ref="HC16:HC19"/>
    <mergeCell ref="HD16:HD19"/>
    <mergeCell ref="HE16:HE19"/>
    <mergeCell ref="HF16:HF19"/>
    <mergeCell ref="HG16:HG19"/>
    <mergeCell ref="HH16:HH19"/>
    <mergeCell ref="GU16:GU19"/>
    <mergeCell ref="GX16:GX19"/>
    <mergeCell ref="GY16:GY19"/>
    <mergeCell ref="GZ16:GZ19"/>
    <mergeCell ref="HA16:HA19"/>
    <mergeCell ref="HB16:HB19"/>
    <mergeCell ref="IA12:IA15"/>
    <mergeCell ref="IB12:IB15"/>
    <mergeCell ref="IC12:IC15"/>
    <mergeCell ref="ID12:ID15"/>
    <mergeCell ref="IE12:IE15"/>
    <mergeCell ref="IF12:IF15"/>
    <mergeCell ref="HU12:HU15"/>
    <mergeCell ref="HV12:HV15"/>
    <mergeCell ref="HW12:HW15"/>
    <mergeCell ref="HX12:HX15"/>
    <mergeCell ref="HY12:HY15"/>
    <mergeCell ref="HZ12:HZ15"/>
    <mergeCell ref="HO12:HO15"/>
    <mergeCell ref="HP12:HP15"/>
    <mergeCell ref="HQ12:HQ15"/>
    <mergeCell ref="HR12:HR15"/>
    <mergeCell ref="HS12:HS15"/>
    <mergeCell ref="HT12:HT15"/>
    <mergeCell ref="HI12:HI15"/>
    <mergeCell ref="HJ12:HJ15"/>
    <mergeCell ref="HK12:HK15"/>
    <mergeCell ref="HL12:HL15"/>
    <mergeCell ref="HM12:HM15"/>
    <mergeCell ref="HN12:HN15"/>
    <mergeCell ref="HC12:HC15"/>
    <mergeCell ref="HD12:HD15"/>
    <mergeCell ref="HE12:HE15"/>
    <mergeCell ref="HF12:HF15"/>
    <mergeCell ref="HG12:HG15"/>
    <mergeCell ref="HH12:HH15"/>
    <mergeCell ref="IC8:IC11"/>
    <mergeCell ref="ID8:ID11"/>
    <mergeCell ref="IE8:IE11"/>
    <mergeCell ref="IF8:IF11"/>
    <mergeCell ref="GU12:GU15"/>
    <mergeCell ref="GX12:GX15"/>
    <mergeCell ref="GY12:GY15"/>
    <mergeCell ref="GZ12:GZ15"/>
    <mergeCell ref="HA12:HA15"/>
    <mergeCell ref="HB12:HB15"/>
    <mergeCell ref="HW8:HW11"/>
    <mergeCell ref="HX8:HX11"/>
    <mergeCell ref="HY8:HY11"/>
    <mergeCell ref="HZ8:HZ11"/>
    <mergeCell ref="IA8:IA11"/>
    <mergeCell ref="IB8:IB11"/>
    <mergeCell ref="HQ8:HQ11"/>
    <mergeCell ref="HR8:HR11"/>
    <mergeCell ref="HS8:HS11"/>
    <mergeCell ref="HT8:HT11"/>
    <mergeCell ref="HU8:HU11"/>
    <mergeCell ref="HV8:HV11"/>
    <mergeCell ref="HK8:HK11"/>
    <mergeCell ref="HL8:HL11"/>
    <mergeCell ref="HM8:HM11"/>
    <mergeCell ref="HN8:HN11"/>
    <mergeCell ref="HO8:HO11"/>
    <mergeCell ref="HP8:HP11"/>
    <mergeCell ref="HE8:HE11"/>
    <mergeCell ref="HF8:HF11"/>
    <mergeCell ref="HG8:HG11"/>
    <mergeCell ref="HH8:HH11"/>
    <mergeCell ref="HI8:HI11"/>
    <mergeCell ref="HJ8:HJ11"/>
    <mergeCell ref="IF6:IF7"/>
    <mergeCell ref="GT8:GT19"/>
    <mergeCell ref="GU8:GU11"/>
    <mergeCell ref="GX8:GX11"/>
    <mergeCell ref="GY8:GY11"/>
    <mergeCell ref="GZ8:GZ11"/>
    <mergeCell ref="HA8:HA11"/>
    <mergeCell ref="HB8:HB11"/>
    <mergeCell ref="HC8:HC11"/>
    <mergeCell ref="HD8:HD11"/>
    <mergeCell ref="HZ6:HZ7"/>
    <mergeCell ref="IA6:IA7"/>
    <mergeCell ref="IB6:IB7"/>
    <mergeCell ref="IC6:IC7"/>
    <mergeCell ref="ID6:ID7"/>
    <mergeCell ref="IE6:IE7"/>
    <mergeCell ref="HT6:HT7"/>
    <mergeCell ref="HU6:HU7"/>
    <mergeCell ref="HV6:HV7"/>
    <mergeCell ref="HW6:HW7"/>
    <mergeCell ref="HX6:HX7"/>
    <mergeCell ref="HY6:HY7"/>
    <mergeCell ref="HN6:HN7"/>
    <mergeCell ref="HO6:HO7"/>
    <mergeCell ref="HP6:HP7"/>
    <mergeCell ref="HQ6:HQ7"/>
    <mergeCell ref="HR6:HR7"/>
    <mergeCell ref="HS6:HS7"/>
    <mergeCell ref="HH6:HH7"/>
    <mergeCell ref="HI6:HI7"/>
    <mergeCell ref="HJ6:HJ7"/>
    <mergeCell ref="HK6:HK7"/>
    <mergeCell ref="HL6:HL7"/>
    <mergeCell ref="HM6:HM7"/>
    <mergeCell ref="HH2:HL2"/>
    <mergeCell ref="HM2:HR2"/>
    <mergeCell ref="HS2:HZ2"/>
    <mergeCell ref="IA2:IC2"/>
    <mergeCell ref="ID2:IF2"/>
    <mergeCell ref="HC6:HC7"/>
    <mergeCell ref="HD6:HD7"/>
    <mergeCell ref="HE6:HE7"/>
    <mergeCell ref="HF6:HF7"/>
    <mergeCell ref="HG6:HG7"/>
    <mergeCell ref="EZ87:GJ87"/>
    <mergeCell ref="GT1:IF1"/>
    <mergeCell ref="GT2:GT7"/>
    <mergeCell ref="GU2:GU7"/>
    <mergeCell ref="GV2:GX6"/>
    <mergeCell ref="GY2:GY7"/>
    <mergeCell ref="GZ2:GZ7"/>
    <mergeCell ref="HA2:HA7"/>
    <mergeCell ref="HB2:HB7"/>
    <mergeCell ref="HC2:HG2"/>
    <mergeCell ref="EZ81:GJ81"/>
    <mergeCell ref="EZ82:GJ82"/>
    <mergeCell ref="EZ83:GJ83"/>
    <mergeCell ref="EZ84:GJ84"/>
    <mergeCell ref="EZ85:GJ85"/>
    <mergeCell ref="EZ86:GJ86"/>
    <mergeCell ref="EZ75:GJ75"/>
    <mergeCell ref="EZ76:GJ76"/>
    <mergeCell ref="EZ77:GJ77"/>
    <mergeCell ref="EZ78:GJ78"/>
    <mergeCell ref="EZ79:GJ79"/>
    <mergeCell ref="EZ80:GJ80"/>
    <mergeCell ref="EZ69:GJ69"/>
    <mergeCell ref="EZ70:GJ70"/>
    <mergeCell ref="EZ71:GJ71"/>
    <mergeCell ref="EZ72:GJ72"/>
    <mergeCell ref="EZ73:GJ73"/>
    <mergeCell ref="EZ74:GJ74"/>
    <mergeCell ref="GI63:GI66"/>
    <mergeCell ref="GJ63:GJ66"/>
    <mergeCell ref="GK63:GK66"/>
    <mergeCell ref="GL63:GL66"/>
    <mergeCell ref="EZ67:GL67"/>
    <mergeCell ref="EZ68:GJ68"/>
    <mergeCell ref="GC63:GC66"/>
    <mergeCell ref="GD63:GD66"/>
    <mergeCell ref="GE63:GE66"/>
    <mergeCell ref="GF63:GF66"/>
    <mergeCell ref="GG63:GG66"/>
    <mergeCell ref="GH63:GH66"/>
    <mergeCell ref="FW63:FW66"/>
    <mergeCell ref="FX63:FX66"/>
    <mergeCell ref="FY63:FY66"/>
    <mergeCell ref="FZ63:FZ66"/>
    <mergeCell ref="GA63:GA66"/>
    <mergeCell ref="GB63:GB66"/>
    <mergeCell ref="FQ63:FQ66"/>
    <mergeCell ref="FR63:FR66"/>
    <mergeCell ref="FS63:FS66"/>
    <mergeCell ref="FT63:FT66"/>
    <mergeCell ref="FU63:FU66"/>
    <mergeCell ref="FV63:FV66"/>
    <mergeCell ref="FK63:FK66"/>
    <mergeCell ref="FL63:FL66"/>
    <mergeCell ref="FM63:FM66"/>
    <mergeCell ref="FN63:FN66"/>
    <mergeCell ref="FO63:FO66"/>
    <mergeCell ref="FP63:FP66"/>
    <mergeCell ref="GL59:GL62"/>
    <mergeCell ref="EZ63:EZ66"/>
    <mergeCell ref="FA63:FA66"/>
    <mergeCell ref="FD63:FD66"/>
    <mergeCell ref="FE63:FE66"/>
    <mergeCell ref="FF63:FF66"/>
    <mergeCell ref="FG63:FG66"/>
    <mergeCell ref="FH63:FH66"/>
    <mergeCell ref="FI63:FI66"/>
    <mergeCell ref="FJ63:FJ66"/>
    <mergeCell ref="GF59:GF62"/>
    <mergeCell ref="GG59:GG62"/>
    <mergeCell ref="GH59:GH62"/>
    <mergeCell ref="GI59:GI62"/>
    <mergeCell ref="GJ59:GJ62"/>
    <mergeCell ref="GK59:GK62"/>
    <mergeCell ref="FZ59:FZ62"/>
    <mergeCell ref="GA59:GA62"/>
    <mergeCell ref="GB59:GB62"/>
    <mergeCell ref="GC59:GC62"/>
    <mergeCell ref="GD59:GD62"/>
    <mergeCell ref="GE59:GE62"/>
    <mergeCell ref="FT59:FT62"/>
    <mergeCell ref="FU59:FU62"/>
    <mergeCell ref="FV59:FV62"/>
    <mergeCell ref="FW59:FW62"/>
    <mergeCell ref="FX59:FX62"/>
    <mergeCell ref="FY59:FY62"/>
    <mergeCell ref="FN59:FN62"/>
    <mergeCell ref="FO59:FO62"/>
    <mergeCell ref="FP59:FP62"/>
    <mergeCell ref="FQ59:FQ62"/>
    <mergeCell ref="FR59:FR62"/>
    <mergeCell ref="FS59:FS62"/>
    <mergeCell ref="FH59:FH62"/>
    <mergeCell ref="FI59:FI62"/>
    <mergeCell ref="FJ59:FJ62"/>
    <mergeCell ref="FK59:FK62"/>
    <mergeCell ref="FL59:FL62"/>
    <mergeCell ref="FM59:FM62"/>
    <mergeCell ref="EZ59:EZ62"/>
    <mergeCell ref="FA59:FA62"/>
    <mergeCell ref="FD59:FD62"/>
    <mergeCell ref="FE59:FE62"/>
    <mergeCell ref="FF59:FF62"/>
    <mergeCell ref="FG59:FG62"/>
    <mergeCell ref="GG55:GG58"/>
    <mergeCell ref="GH55:GH58"/>
    <mergeCell ref="FI55:FI58"/>
    <mergeCell ref="FJ55:FJ58"/>
    <mergeCell ref="FK55:FK58"/>
    <mergeCell ref="FL55:FL58"/>
    <mergeCell ref="FM55:FM58"/>
    <mergeCell ref="FN55:FN58"/>
    <mergeCell ref="GK55:GK58"/>
    <mergeCell ref="GL55:GL58"/>
    <mergeCell ref="GA55:GA58"/>
    <mergeCell ref="GB55:GB58"/>
    <mergeCell ref="GC55:GC58"/>
    <mergeCell ref="GD55:GD58"/>
    <mergeCell ref="GE55:GE58"/>
    <mergeCell ref="GF55:GF58"/>
    <mergeCell ref="FU55:FU58"/>
    <mergeCell ref="FV55:FV58"/>
    <mergeCell ref="FW55:FW58"/>
    <mergeCell ref="FX55:FX58"/>
    <mergeCell ref="FY55:FY58"/>
    <mergeCell ref="FZ55:FZ58"/>
    <mergeCell ref="FO55:FO58"/>
    <mergeCell ref="FP55:FP58"/>
    <mergeCell ref="FQ55:FQ58"/>
    <mergeCell ref="FR55:FR58"/>
    <mergeCell ref="FS55:FS58"/>
    <mergeCell ref="FT55:FT58"/>
    <mergeCell ref="GL51:GL54"/>
    <mergeCell ref="EZ55:EZ58"/>
    <mergeCell ref="FA55:FA58"/>
    <mergeCell ref="FD55:FD58"/>
    <mergeCell ref="FE55:FE58"/>
    <mergeCell ref="FF55:FF58"/>
    <mergeCell ref="FG55:FG58"/>
    <mergeCell ref="FH55:FH58"/>
    <mergeCell ref="GD51:GD54"/>
    <mergeCell ref="GE51:GE54"/>
    <mergeCell ref="GF51:GF54"/>
    <mergeCell ref="GG51:GG54"/>
    <mergeCell ref="GH51:GH54"/>
    <mergeCell ref="GI51:GI54"/>
    <mergeCell ref="FX51:FX54"/>
    <mergeCell ref="FY51:FY54"/>
    <mergeCell ref="FZ51:FZ54"/>
    <mergeCell ref="GA51:GA54"/>
    <mergeCell ref="GB51:GB54"/>
    <mergeCell ref="GC51:GC54"/>
    <mergeCell ref="FR51:FR54"/>
    <mergeCell ref="FS51:FS54"/>
    <mergeCell ref="FT51:FT54"/>
    <mergeCell ref="FU51:FU54"/>
    <mergeCell ref="FV51:FV54"/>
    <mergeCell ref="FW51:FW54"/>
    <mergeCell ref="FL51:FL54"/>
    <mergeCell ref="FM51:FM54"/>
    <mergeCell ref="FN51:FN54"/>
    <mergeCell ref="FO51:FO54"/>
    <mergeCell ref="GI55:GI58"/>
    <mergeCell ref="GJ55:GJ58"/>
    <mergeCell ref="GL47:GL50"/>
    <mergeCell ref="FA51:FA54"/>
    <mergeCell ref="FD51:FD54"/>
    <mergeCell ref="FE51:FE54"/>
    <mergeCell ref="FF51:FF54"/>
    <mergeCell ref="FG51:FG54"/>
    <mergeCell ref="FH51:FH54"/>
    <mergeCell ref="FI51:FI54"/>
    <mergeCell ref="FJ51:FJ54"/>
    <mergeCell ref="FK51:FK54"/>
    <mergeCell ref="GF47:GF50"/>
    <mergeCell ref="GG47:GG50"/>
    <mergeCell ref="GH47:GH50"/>
    <mergeCell ref="GI47:GI50"/>
    <mergeCell ref="GJ47:GJ50"/>
    <mergeCell ref="GK47:GK50"/>
    <mergeCell ref="FZ47:FZ50"/>
    <mergeCell ref="GA47:GA50"/>
    <mergeCell ref="GB47:GB50"/>
    <mergeCell ref="GC47:GC50"/>
    <mergeCell ref="GD47:GD50"/>
    <mergeCell ref="GE47:GE50"/>
    <mergeCell ref="FT47:FT50"/>
    <mergeCell ref="FU47:FU50"/>
    <mergeCell ref="FV47:FV50"/>
    <mergeCell ref="FW47:FW50"/>
    <mergeCell ref="FX47:FX50"/>
    <mergeCell ref="FY47:FY50"/>
    <mergeCell ref="FN47:FN50"/>
    <mergeCell ref="FO47:FO50"/>
    <mergeCell ref="GJ51:GJ54"/>
    <mergeCell ref="GK51:GK54"/>
    <mergeCell ref="FP47:FP50"/>
    <mergeCell ref="FQ47:FQ50"/>
    <mergeCell ref="FR47:FR50"/>
    <mergeCell ref="FS47:FS50"/>
    <mergeCell ref="FH47:FH50"/>
    <mergeCell ref="FI47:FI50"/>
    <mergeCell ref="FJ47:FJ50"/>
    <mergeCell ref="FK47:FK50"/>
    <mergeCell ref="FL47:FL50"/>
    <mergeCell ref="FM47:FM50"/>
    <mergeCell ref="EZ47:EZ54"/>
    <mergeCell ref="FA47:FA50"/>
    <mergeCell ref="FD47:FD50"/>
    <mergeCell ref="FE47:FE50"/>
    <mergeCell ref="FF47:FF50"/>
    <mergeCell ref="FG47:FG50"/>
    <mergeCell ref="GG43:GG46"/>
    <mergeCell ref="FO43:FO46"/>
    <mergeCell ref="FP43:FP46"/>
    <mergeCell ref="FQ43:FQ46"/>
    <mergeCell ref="FR43:FR46"/>
    <mergeCell ref="FS43:FS46"/>
    <mergeCell ref="FT43:FT46"/>
    <mergeCell ref="FI43:FI46"/>
    <mergeCell ref="FJ43:FJ46"/>
    <mergeCell ref="FK43:FK46"/>
    <mergeCell ref="FL43:FL46"/>
    <mergeCell ref="FM43:FM46"/>
    <mergeCell ref="FN43:FN46"/>
    <mergeCell ref="FP51:FP54"/>
    <mergeCell ref="FQ51:FQ54"/>
    <mergeCell ref="GH43:GH46"/>
    <mergeCell ref="GI43:GI46"/>
    <mergeCell ref="GJ43:GJ46"/>
    <mergeCell ref="GK43:GK46"/>
    <mergeCell ref="GL43:GL46"/>
    <mergeCell ref="GA43:GA46"/>
    <mergeCell ref="GB43:GB46"/>
    <mergeCell ref="GC43:GC46"/>
    <mergeCell ref="GD43:GD46"/>
    <mergeCell ref="GE43:GE46"/>
    <mergeCell ref="GF43:GF46"/>
    <mergeCell ref="FU43:FU46"/>
    <mergeCell ref="FV43:FV46"/>
    <mergeCell ref="FW43:FW46"/>
    <mergeCell ref="FX43:FX46"/>
    <mergeCell ref="FY43:FY46"/>
    <mergeCell ref="FZ43:FZ46"/>
    <mergeCell ref="GJ39:GJ42"/>
    <mergeCell ref="GK39:GK42"/>
    <mergeCell ref="GL39:GL42"/>
    <mergeCell ref="EZ43:EZ46"/>
    <mergeCell ref="FA43:FA46"/>
    <mergeCell ref="FD43:FD46"/>
    <mergeCell ref="FE43:FE46"/>
    <mergeCell ref="FF43:FF46"/>
    <mergeCell ref="FG43:FG46"/>
    <mergeCell ref="FH43:FH46"/>
    <mergeCell ref="GD39:GD42"/>
    <mergeCell ref="GE39:GE42"/>
    <mergeCell ref="GF39:GF42"/>
    <mergeCell ref="GG39:GG42"/>
    <mergeCell ref="GH39:GH42"/>
    <mergeCell ref="GI39:GI42"/>
    <mergeCell ref="FX39:FX42"/>
    <mergeCell ref="FY39:FY42"/>
    <mergeCell ref="FZ39:FZ42"/>
    <mergeCell ref="GA39:GA42"/>
    <mergeCell ref="GB39:GB42"/>
    <mergeCell ref="GC39:GC42"/>
    <mergeCell ref="FR39:FR42"/>
    <mergeCell ref="FS39:FS42"/>
    <mergeCell ref="FT39:FT42"/>
    <mergeCell ref="FU39:FU42"/>
    <mergeCell ref="FV39:FV42"/>
    <mergeCell ref="FW39:FW42"/>
    <mergeCell ref="FL39:FL42"/>
    <mergeCell ref="FM39:FM42"/>
    <mergeCell ref="FN39:FN42"/>
    <mergeCell ref="FO39:FO42"/>
    <mergeCell ref="FP39:FP42"/>
    <mergeCell ref="FQ39:FQ42"/>
    <mergeCell ref="GL35:GL38"/>
    <mergeCell ref="FA39:FA42"/>
    <mergeCell ref="FD39:FD42"/>
    <mergeCell ref="FE39:FE42"/>
    <mergeCell ref="FF39:FF42"/>
    <mergeCell ref="FG39:FG42"/>
    <mergeCell ref="FH39:FH42"/>
    <mergeCell ref="FI39:FI42"/>
    <mergeCell ref="FJ39:FJ42"/>
    <mergeCell ref="FK39:FK42"/>
    <mergeCell ref="GF35:GF38"/>
    <mergeCell ref="GG35:GG38"/>
    <mergeCell ref="GH35:GH38"/>
    <mergeCell ref="GI35:GI38"/>
    <mergeCell ref="GJ35:GJ38"/>
    <mergeCell ref="GK35:GK38"/>
    <mergeCell ref="FZ35:FZ38"/>
    <mergeCell ref="GA35:GA38"/>
    <mergeCell ref="GB35:GB38"/>
    <mergeCell ref="GC35:GC38"/>
    <mergeCell ref="GD35:GD38"/>
    <mergeCell ref="GE35:GE38"/>
    <mergeCell ref="FT35:FT38"/>
    <mergeCell ref="FU35:FU38"/>
    <mergeCell ref="FV35:FV38"/>
    <mergeCell ref="FW35:FW38"/>
    <mergeCell ref="FX35:FX38"/>
    <mergeCell ref="FY35:FY38"/>
    <mergeCell ref="FN35:FN38"/>
    <mergeCell ref="FO35:FO38"/>
    <mergeCell ref="FP35:FP38"/>
    <mergeCell ref="FQ35:FQ38"/>
    <mergeCell ref="FR35:FR38"/>
    <mergeCell ref="FS35:FS38"/>
    <mergeCell ref="FH35:FH38"/>
    <mergeCell ref="FI35:FI38"/>
    <mergeCell ref="FJ35:FJ38"/>
    <mergeCell ref="FK35:FK38"/>
    <mergeCell ref="FL35:FL38"/>
    <mergeCell ref="FM35:FM38"/>
    <mergeCell ref="EZ35:EZ42"/>
    <mergeCell ref="FA35:FA38"/>
    <mergeCell ref="FD35:FD38"/>
    <mergeCell ref="FE35:FE38"/>
    <mergeCell ref="FF35:FF38"/>
    <mergeCell ref="FG35:FG38"/>
    <mergeCell ref="GG31:GG34"/>
    <mergeCell ref="FO31:FO34"/>
    <mergeCell ref="FP31:FP34"/>
    <mergeCell ref="FQ31:FQ34"/>
    <mergeCell ref="FR31:FR34"/>
    <mergeCell ref="FS31:FS34"/>
    <mergeCell ref="FT31:FT34"/>
    <mergeCell ref="FI31:FI34"/>
    <mergeCell ref="FJ31:FJ34"/>
    <mergeCell ref="FK31:FK34"/>
    <mergeCell ref="FL31:FL34"/>
    <mergeCell ref="FM31:FM34"/>
    <mergeCell ref="FN31:FN34"/>
    <mergeCell ref="FA31:FA34"/>
    <mergeCell ref="FD31:FD34"/>
    <mergeCell ref="FE31:FE34"/>
    <mergeCell ref="GH31:GH34"/>
    <mergeCell ref="GI31:GI34"/>
    <mergeCell ref="GJ31:GJ34"/>
    <mergeCell ref="GK31:GK34"/>
    <mergeCell ref="GL31:GL34"/>
    <mergeCell ref="GA31:GA34"/>
    <mergeCell ref="GB31:GB34"/>
    <mergeCell ref="GC31:GC34"/>
    <mergeCell ref="GD31:GD34"/>
    <mergeCell ref="GE31:GE34"/>
    <mergeCell ref="GF31:GF34"/>
    <mergeCell ref="FU31:FU34"/>
    <mergeCell ref="FV31:FV34"/>
    <mergeCell ref="FW31:FW34"/>
    <mergeCell ref="FX31:FX34"/>
    <mergeCell ref="FY31:FY34"/>
    <mergeCell ref="FZ31:FZ34"/>
    <mergeCell ref="FF31:FF34"/>
    <mergeCell ref="FG31:FG34"/>
    <mergeCell ref="FH31:FH34"/>
    <mergeCell ref="GG27:GG30"/>
    <mergeCell ref="GH27:GH30"/>
    <mergeCell ref="GI27:GI30"/>
    <mergeCell ref="GJ27:GJ30"/>
    <mergeCell ref="GK27:GK30"/>
    <mergeCell ref="GL27:GL30"/>
    <mergeCell ref="GA27:GA30"/>
    <mergeCell ref="GB27:GB30"/>
    <mergeCell ref="GC27:GC30"/>
    <mergeCell ref="GD27:GD30"/>
    <mergeCell ref="GE27:GE30"/>
    <mergeCell ref="GF27:GF30"/>
    <mergeCell ref="FU27:FU30"/>
    <mergeCell ref="FV27:FV30"/>
    <mergeCell ref="FW27:FW30"/>
    <mergeCell ref="FX27:FX30"/>
    <mergeCell ref="FY27:FY30"/>
    <mergeCell ref="FZ27:FZ30"/>
    <mergeCell ref="FO27:FO30"/>
    <mergeCell ref="FP27:FP30"/>
    <mergeCell ref="FQ27:FQ30"/>
    <mergeCell ref="FR27:FR30"/>
    <mergeCell ref="FS27:FS30"/>
    <mergeCell ref="FT27:FT30"/>
    <mergeCell ref="FI27:FI30"/>
    <mergeCell ref="FJ27:FJ30"/>
    <mergeCell ref="FK27:FK30"/>
    <mergeCell ref="FL27:FL30"/>
    <mergeCell ref="FM27:FM30"/>
    <mergeCell ref="FN27:FN30"/>
    <mergeCell ref="GI24:GI26"/>
    <mergeCell ref="GJ24:GJ26"/>
    <mergeCell ref="GK24:GK26"/>
    <mergeCell ref="GL24:GL26"/>
    <mergeCell ref="FA27:FA30"/>
    <mergeCell ref="FD27:FD30"/>
    <mergeCell ref="FE27:FE30"/>
    <mergeCell ref="FF27:FF30"/>
    <mergeCell ref="FG27:FG30"/>
    <mergeCell ref="FH27:FH30"/>
    <mergeCell ref="GC24:GC26"/>
    <mergeCell ref="GD24:GD26"/>
    <mergeCell ref="GE24:GE26"/>
    <mergeCell ref="GF24:GF26"/>
    <mergeCell ref="GG24:GG26"/>
    <mergeCell ref="GH24:GH26"/>
    <mergeCell ref="FW24:FW26"/>
    <mergeCell ref="FX24:FX26"/>
    <mergeCell ref="FY24:FY26"/>
    <mergeCell ref="FZ24:FZ26"/>
    <mergeCell ref="GA24:GA26"/>
    <mergeCell ref="GB24:GB26"/>
    <mergeCell ref="FQ24:FQ26"/>
    <mergeCell ref="FR24:FR26"/>
    <mergeCell ref="FS24:FS26"/>
    <mergeCell ref="FT24:FT26"/>
    <mergeCell ref="FU24:FU26"/>
    <mergeCell ref="FV24:FV26"/>
    <mergeCell ref="FK24:FK26"/>
    <mergeCell ref="FL24:FL26"/>
    <mergeCell ref="FM24:FM26"/>
    <mergeCell ref="FN24:FN26"/>
    <mergeCell ref="FO24:FO26"/>
    <mergeCell ref="FP24:FP26"/>
    <mergeCell ref="GK20:GK23"/>
    <mergeCell ref="GL20:GL23"/>
    <mergeCell ref="FA24:FA26"/>
    <mergeCell ref="FD24:FD26"/>
    <mergeCell ref="FE24:FE26"/>
    <mergeCell ref="FF24:FF26"/>
    <mergeCell ref="FG24:FG26"/>
    <mergeCell ref="FH24:FH26"/>
    <mergeCell ref="FI24:FI26"/>
    <mergeCell ref="FJ24:FJ26"/>
    <mergeCell ref="GE20:GE23"/>
    <mergeCell ref="GF20:GF23"/>
    <mergeCell ref="GG20:GG23"/>
    <mergeCell ref="GH20:GH23"/>
    <mergeCell ref="GI20:GI23"/>
    <mergeCell ref="GJ20:GJ23"/>
    <mergeCell ref="FY20:FY23"/>
    <mergeCell ref="FZ20:FZ23"/>
    <mergeCell ref="GA20:GA23"/>
    <mergeCell ref="GB20:GB23"/>
    <mergeCell ref="GC20:GC23"/>
    <mergeCell ref="GD20:GD23"/>
    <mergeCell ref="FS20:FS23"/>
    <mergeCell ref="FT20:FT23"/>
    <mergeCell ref="FU20:FU23"/>
    <mergeCell ref="FV20:FV23"/>
    <mergeCell ref="FW20:FW23"/>
    <mergeCell ref="FX20:FX23"/>
    <mergeCell ref="FM20:FM23"/>
    <mergeCell ref="FN20:FN23"/>
    <mergeCell ref="FO20:FO23"/>
    <mergeCell ref="FP20:FP23"/>
    <mergeCell ref="FQ20:FQ23"/>
    <mergeCell ref="FR20:FR23"/>
    <mergeCell ref="FG20:FG23"/>
    <mergeCell ref="FH20:FH23"/>
    <mergeCell ref="FI20:FI23"/>
    <mergeCell ref="FJ20:FJ23"/>
    <mergeCell ref="FK20:FK23"/>
    <mergeCell ref="FL20:FL23"/>
    <mergeCell ref="GH16:GH19"/>
    <mergeCell ref="GI16:GI19"/>
    <mergeCell ref="GJ16:GJ19"/>
    <mergeCell ref="GK16:GK19"/>
    <mergeCell ref="GL16:GL19"/>
    <mergeCell ref="EZ20:EZ34"/>
    <mergeCell ref="FA20:FA23"/>
    <mergeCell ref="FD20:FD23"/>
    <mergeCell ref="FE20:FE23"/>
    <mergeCell ref="FF20:FF23"/>
    <mergeCell ref="GB16:GB19"/>
    <mergeCell ref="GC16:GC19"/>
    <mergeCell ref="GD16:GD19"/>
    <mergeCell ref="GE16:GE19"/>
    <mergeCell ref="GF16:GF19"/>
    <mergeCell ref="GG16:GG19"/>
    <mergeCell ref="FV16:FV19"/>
    <mergeCell ref="FW16:FW19"/>
    <mergeCell ref="FX16:FX19"/>
    <mergeCell ref="FY16:FY19"/>
    <mergeCell ref="FZ16:FZ19"/>
    <mergeCell ref="GJ12:GJ15"/>
    <mergeCell ref="GK12:GK15"/>
    <mergeCell ref="GL12:GL15"/>
    <mergeCell ref="FA16:FA19"/>
    <mergeCell ref="FD16:FD19"/>
    <mergeCell ref="FE16:FE19"/>
    <mergeCell ref="FF16:FF19"/>
    <mergeCell ref="FG16:FG19"/>
    <mergeCell ref="FH16:FH19"/>
    <mergeCell ref="FI16:FI19"/>
    <mergeCell ref="GD12:GD15"/>
    <mergeCell ref="GE12:GE15"/>
    <mergeCell ref="GF12:GF15"/>
    <mergeCell ref="GG12:GG15"/>
    <mergeCell ref="GH12:GH15"/>
    <mergeCell ref="GI12:GI15"/>
    <mergeCell ref="FX12:FX15"/>
    <mergeCell ref="FY12:FY15"/>
    <mergeCell ref="FZ12:FZ15"/>
    <mergeCell ref="FN12:FN15"/>
    <mergeCell ref="FO12:FO15"/>
    <mergeCell ref="FP12:FP15"/>
    <mergeCell ref="FQ12:FQ15"/>
    <mergeCell ref="GL8:GL11"/>
    <mergeCell ref="FA12:FA15"/>
    <mergeCell ref="FD12:FD15"/>
    <mergeCell ref="FE12:FE15"/>
    <mergeCell ref="FF12:FF15"/>
    <mergeCell ref="FG12:FG15"/>
    <mergeCell ref="FH12:FH15"/>
    <mergeCell ref="FI12:FI15"/>
    <mergeCell ref="FJ12:FJ15"/>
    <mergeCell ref="FK12:FK15"/>
    <mergeCell ref="GF8:GF11"/>
    <mergeCell ref="GG8:GG11"/>
    <mergeCell ref="GH8:GH11"/>
    <mergeCell ref="GI8:GI11"/>
    <mergeCell ref="GJ8:GJ11"/>
    <mergeCell ref="GK8:GK11"/>
    <mergeCell ref="FZ8:FZ11"/>
    <mergeCell ref="FP8:FP11"/>
    <mergeCell ref="FQ8:FQ11"/>
    <mergeCell ref="FR8:FR11"/>
    <mergeCell ref="FS8:FS11"/>
    <mergeCell ref="GA12:GA15"/>
    <mergeCell ref="GB12:GB15"/>
    <mergeCell ref="GC12:GC15"/>
    <mergeCell ref="FR12:FR15"/>
    <mergeCell ref="FS12:FS15"/>
    <mergeCell ref="FT12:FT15"/>
    <mergeCell ref="FU12:FU15"/>
    <mergeCell ref="FV12:FV15"/>
    <mergeCell ref="FW12:FW15"/>
    <mergeCell ref="FL12:FL15"/>
    <mergeCell ref="FM12:FM15"/>
    <mergeCell ref="EZ8:EZ19"/>
    <mergeCell ref="FA8:FA11"/>
    <mergeCell ref="FD8:FD11"/>
    <mergeCell ref="FE8:FE11"/>
    <mergeCell ref="FF8:FF11"/>
    <mergeCell ref="FG8:FG11"/>
    <mergeCell ref="GG6:GG7"/>
    <mergeCell ref="GA16:GA19"/>
    <mergeCell ref="FP16:FP19"/>
    <mergeCell ref="FQ16:FQ19"/>
    <mergeCell ref="FR16:FR19"/>
    <mergeCell ref="FS16:FS19"/>
    <mergeCell ref="FT16:FT19"/>
    <mergeCell ref="FU16:FU19"/>
    <mergeCell ref="FJ16:FJ19"/>
    <mergeCell ref="FK16:FK19"/>
    <mergeCell ref="FL16:FL19"/>
    <mergeCell ref="FM16:FM19"/>
    <mergeCell ref="FN16:FN19"/>
    <mergeCell ref="FO16:FO19"/>
    <mergeCell ref="GI6:GI7"/>
    <mergeCell ref="GJ6:GJ7"/>
    <mergeCell ref="GK6:GK7"/>
    <mergeCell ref="FG2:FG7"/>
    <mergeCell ref="FH2:FH7"/>
    <mergeCell ref="GA8:GA11"/>
    <mergeCell ref="GB8:GB11"/>
    <mergeCell ref="GC8:GC11"/>
    <mergeCell ref="GD8:GD11"/>
    <mergeCell ref="GE8:GE11"/>
    <mergeCell ref="FT8:FT11"/>
    <mergeCell ref="FU8:FU11"/>
    <mergeCell ref="FV8:FV11"/>
    <mergeCell ref="FW8:FW11"/>
    <mergeCell ref="FX8:FX11"/>
    <mergeCell ref="FY8:FY11"/>
    <mergeCell ref="FN8:FN11"/>
    <mergeCell ref="FO8:FO11"/>
    <mergeCell ref="FH8:FH11"/>
    <mergeCell ref="FI8:FI11"/>
    <mergeCell ref="FJ8:FJ11"/>
    <mergeCell ref="FK8:FK11"/>
    <mergeCell ref="FL8:FL11"/>
    <mergeCell ref="FM8:FM11"/>
    <mergeCell ref="GL6:GL7"/>
    <mergeCell ref="GA6:GA7"/>
    <mergeCell ref="GB6:GB7"/>
    <mergeCell ref="GC6:GC7"/>
    <mergeCell ref="GD6:GD7"/>
    <mergeCell ref="GE6:GE7"/>
    <mergeCell ref="GF6:GF7"/>
    <mergeCell ref="FU6:FU7"/>
    <mergeCell ref="FV6:FV7"/>
    <mergeCell ref="FW6:FW7"/>
    <mergeCell ref="FX6:FX7"/>
    <mergeCell ref="FY6:FY7"/>
    <mergeCell ref="FZ6:FZ7"/>
    <mergeCell ref="GG2:GI2"/>
    <mergeCell ref="GJ2:GL2"/>
    <mergeCell ref="FI6:FI7"/>
    <mergeCell ref="FJ6:FJ7"/>
    <mergeCell ref="FK6:FK7"/>
    <mergeCell ref="FL6:FL7"/>
    <mergeCell ref="FM6:FM7"/>
    <mergeCell ref="FN6:FN7"/>
    <mergeCell ref="FO6:FO7"/>
    <mergeCell ref="FP6:FP7"/>
    <mergeCell ref="FI2:FM2"/>
    <mergeCell ref="FN2:FR2"/>
    <mergeCell ref="FS2:FX2"/>
    <mergeCell ref="FY2:GF2"/>
    <mergeCell ref="FQ6:FQ7"/>
    <mergeCell ref="FR6:FR7"/>
    <mergeCell ref="FS6:FS7"/>
    <mergeCell ref="FT6:FT7"/>
    <mergeCell ref="GH6:GH7"/>
    <mergeCell ref="DW9:DW10"/>
    <mergeCell ref="DV1:EQ1"/>
    <mergeCell ref="EP2:EQ2"/>
    <mergeCell ref="EZ1:GL1"/>
    <mergeCell ref="EZ2:EZ7"/>
    <mergeCell ref="FA2:FA7"/>
    <mergeCell ref="FB2:FD6"/>
    <mergeCell ref="FE2:FE7"/>
    <mergeCell ref="FF2:FF7"/>
    <mergeCell ref="DV2:DV6"/>
    <mergeCell ref="DW2:DW6"/>
    <mergeCell ref="DX2:DY2"/>
    <mergeCell ref="DZ2:EB2"/>
    <mergeCell ref="EC2:EH2"/>
    <mergeCell ref="EI2:EO2"/>
    <mergeCell ref="CB61:CD61"/>
    <mergeCell ref="CL61:CN61"/>
    <mergeCell ref="CO61:CP61"/>
    <mergeCell ref="CW1:DO1"/>
    <mergeCell ref="CW2:CX2"/>
    <mergeCell ref="CY2:CZ2"/>
    <mergeCell ref="DA2:DH2"/>
    <mergeCell ref="DI2:DO2"/>
    <mergeCell ref="CB55:CC55"/>
    <mergeCell ref="CL55:CP55"/>
    <mergeCell ref="CB56:CC56"/>
    <mergeCell ref="CB57:CC57"/>
    <mergeCell ref="CB58:CC58"/>
    <mergeCell ref="CB59:CC59"/>
    <mergeCell ref="CB50:CC50"/>
    <mergeCell ref="CL50:CN53"/>
    <mergeCell ref="CO50:CP53"/>
    <mergeCell ref="CB51:CC51"/>
    <mergeCell ref="CB52:CC52"/>
    <mergeCell ref="CB54:CC54"/>
    <mergeCell ref="CB47:CC47"/>
    <mergeCell ref="CO47:CP47"/>
    <mergeCell ref="CB48:CC48"/>
    <mergeCell ref="CE48:CE49"/>
    <mergeCell ref="CO48:CP48"/>
    <mergeCell ref="CB49:CC49"/>
    <mergeCell ref="CO49:CP49"/>
    <mergeCell ref="CO42:CP42"/>
    <mergeCell ref="CE43:CG44"/>
    <mergeCell ref="CL43:CN43"/>
    <mergeCell ref="CO43:CP43"/>
    <mergeCell ref="CL45:CP45"/>
    <mergeCell ref="CL46:CN49"/>
    <mergeCell ref="CO46:CP46"/>
    <mergeCell ref="CH20:CI20"/>
    <mergeCell ref="CH21:CI21"/>
    <mergeCell ref="CH31:CI31"/>
    <mergeCell ref="CH32:CI32"/>
    <mergeCell ref="CH29:CI29"/>
    <mergeCell ref="CH30:CI30"/>
    <mergeCell ref="CH27:CI27"/>
    <mergeCell ref="CH28:CI28"/>
    <mergeCell ref="CH37:CI37"/>
    <mergeCell ref="CB39:CB40"/>
    <mergeCell ref="CL39:CN39"/>
    <mergeCell ref="CO39:CP39"/>
    <mergeCell ref="CJ40:CJ46"/>
    <mergeCell ref="CL40:CN40"/>
    <mergeCell ref="CO40:CP40"/>
    <mergeCell ref="CL41:CN41"/>
    <mergeCell ref="CO41:CP41"/>
    <mergeCell ref="CL42:CN42"/>
    <mergeCell ref="CH35:CI35"/>
    <mergeCell ref="CL35:CN35"/>
    <mergeCell ref="CO35:CP35"/>
    <mergeCell ref="CH36:CI36"/>
    <mergeCell ref="CL36:CN36"/>
    <mergeCell ref="CO36:CP36"/>
    <mergeCell ref="CH33:CI33"/>
    <mergeCell ref="CL33:CN33"/>
    <mergeCell ref="CO33:CP33"/>
    <mergeCell ref="CH34:CI34"/>
    <mergeCell ref="CL34:CN34"/>
    <mergeCell ref="CO34:CP34"/>
    <mergeCell ref="CH12:CI12"/>
    <mergeCell ref="CH13:CI13"/>
    <mergeCell ref="CH10:CI10"/>
    <mergeCell ref="CH11:CI11"/>
    <mergeCell ref="BI61:BK61"/>
    <mergeCell ref="BS61:BU61"/>
    <mergeCell ref="BV61:BW61"/>
    <mergeCell ref="BV42:BW42"/>
    <mergeCell ref="BL43:BN44"/>
    <mergeCell ref="BS43:BU43"/>
    <mergeCell ref="BV43:BW43"/>
    <mergeCell ref="BO36:BP36"/>
    <mergeCell ref="BS36:BU36"/>
    <mergeCell ref="BV36:BW36"/>
    <mergeCell ref="BO37:BP37"/>
    <mergeCell ref="BI39:BI40"/>
    <mergeCell ref="BS39:BU39"/>
    <mergeCell ref="BV39:BW39"/>
    <mergeCell ref="BQ40:BQ46"/>
    <mergeCell ref="BS40:BU40"/>
    <mergeCell ref="BV40:BW40"/>
    <mergeCell ref="BO34:BP34"/>
    <mergeCell ref="CH18:CI18"/>
    <mergeCell ref="CH19:CI19"/>
    <mergeCell ref="CH16:CI16"/>
    <mergeCell ref="CH17:CI17"/>
    <mergeCell ref="CH14:CI14"/>
    <mergeCell ref="CH15:CI15"/>
    <mergeCell ref="CH24:CI24"/>
    <mergeCell ref="CH25:CI25"/>
    <mergeCell ref="CH22:CI22"/>
    <mergeCell ref="CH23:CI23"/>
    <mergeCell ref="CB1:CQ2"/>
    <mergeCell ref="CH7:CI7"/>
    <mergeCell ref="CL7:CQ7"/>
    <mergeCell ref="CH8:CI8"/>
    <mergeCell ref="CL8:CN8"/>
    <mergeCell ref="CO8:CP8"/>
    <mergeCell ref="CH9:CI9"/>
    <mergeCell ref="BI55:BJ55"/>
    <mergeCell ref="BS55:BW55"/>
    <mergeCell ref="BI56:BJ56"/>
    <mergeCell ref="BI57:BJ57"/>
    <mergeCell ref="BI58:BJ58"/>
    <mergeCell ref="BI59:BJ59"/>
    <mergeCell ref="BI50:BJ50"/>
    <mergeCell ref="BS50:BU53"/>
    <mergeCell ref="BV50:BW53"/>
    <mergeCell ref="BI51:BJ51"/>
    <mergeCell ref="BI52:BJ52"/>
    <mergeCell ref="BI54:BJ54"/>
    <mergeCell ref="BS45:BW45"/>
    <mergeCell ref="BS46:BU49"/>
    <mergeCell ref="BV46:BW46"/>
    <mergeCell ref="BI47:BJ47"/>
    <mergeCell ref="BV47:BW47"/>
    <mergeCell ref="BI48:BJ48"/>
    <mergeCell ref="BL48:BL49"/>
    <mergeCell ref="BV48:BW48"/>
    <mergeCell ref="BI49:BJ49"/>
    <mergeCell ref="BV49:BW49"/>
    <mergeCell ref="BS41:BU41"/>
    <mergeCell ref="BV41:BW41"/>
    <mergeCell ref="BS42:BU42"/>
    <mergeCell ref="BS34:BU34"/>
    <mergeCell ref="BV34:BW34"/>
    <mergeCell ref="BO35:BP35"/>
    <mergeCell ref="BS35:BU35"/>
    <mergeCell ref="BV35:BW35"/>
    <mergeCell ref="BO32:BP32"/>
    <mergeCell ref="BS32:BU32"/>
    <mergeCell ref="BV32:BW32"/>
    <mergeCell ref="BO33:BP33"/>
    <mergeCell ref="BS33:BU33"/>
    <mergeCell ref="BV33:BW33"/>
    <mergeCell ref="BO30:BP30"/>
    <mergeCell ref="BS30:BU30"/>
    <mergeCell ref="BV30:BW30"/>
    <mergeCell ref="BO31:BP31"/>
    <mergeCell ref="BS31:BU31"/>
    <mergeCell ref="BV31:BW31"/>
    <mergeCell ref="BO28:BP28"/>
    <mergeCell ref="BS28:BU28"/>
    <mergeCell ref="BV28:BW28"/>
    <mergeCell ref="BO29:BP29"/>
    <mergeCell ref="BS29:BU29"/>
    <mergeCell ref="BV29:BW29"/>
    <mergeCell ref="BO25:BP25"/>
    <mergeCell ref="BS25:BU25"/>
    <mergeCell ref="BV25:BW25"/>
    <mergeCell ref="BS26:BU26"/>
    <mergeCell ref="BV26:BW26"/>
    <mergeCell ref="BO27:BP27"/>
    <mergeCell ref="BS27:BU27"/>
    <mergeCell ref="BV27:BW27"/>
    <mergeCell ref="BO23:BP23"/>
    <mergeCell ref="BS23:BU23"/>
    <mergeCell ref="BV23:BW23"/>
    <mergeCell ref="BO24:BP24"/>
    <mergeCell ref="BS24:BU24"/>
    <mergeCell ref="BV24:BW24"/>
    <mergeCell ref="BO21:BP21"/>
    <mergeCell ref="BS21:BU21"/>
    <mergeCell ref="BV21:BW21"/>
    <mergeCell ref="BO22:BP22"/>
    <mergeCell ref="BS22:BU22"/>
    <mergeCell ref="BV22:BW22"/>
    <mergeCell ref="BO19:BP19"/>
    <mergeCell ref="BS19:BU19"/>
    <mergeCell ref="BV19:BW19"/>
    <mergeCell ref="BO20:BP20"/>
    <mergeCell ref="BS20:BU20"/>
    <mergeCell ref="BV20:BW20"/>
    <mergeCell ref="BO17:BP17"/>
    <mergeCell ref="BS17:BU17"/>
    <mergeCell ref="BV17:BW17"/>
    <mergeCell ref="BO18:BP18"/>
    <mergeCell ref="BS18:BU18"/>
    <mergeCell ref="BV18:BW18"/>
    <mergeCell ref="BO15:BP15"/>
    <mergeCell ref="BS15:BU15"/>
    <mergeCell ref="BV15:BW15"/>
    <mergeCell ref="BO16:BP16"/>
    <mergeCell ref="BS16:BU16"/>
    <mergeCell ref="BV16:BW16"/>
    <mergeCell ref="BO13:BP13"/>
    <mergeCell ref="BS13:BU13"/>
    <mergeCell ref="BV13:BW13"/>
    <mergeCell ref="BO14:BP14"/>
    <mergeCell ref="BS14:BU14"/>
    <mergeCell ref="BV14:BW14"/>
    <mergeCell ref="BO11:BP11"/>
    <mergeCell ref="BS11:BU11"/>
    <mergeCell ref="BV11:BW11"/>
    <mergeCell ref="BO12:BP12"/>
    <mergeCell ref="BS12:BU12"/>
    <mergeCell ref="BV12:BW12"/>
    <mergeCell ref="BO9:BP9"/>
    <mergeCell ref="BS9:BU9"/>
    <mergeCell ref="BV9:BW9"/>
    <mergeCell ref="BO10:BP10"/>
    <mergeCell ref="BS10:BU10"/>
    <mergeCell ref="BV10:BW10"/>
    <mergeCell ref="BI1:BX2"/>
    <mergeCell ref="BO7:BP7"/>
    <mergeCell ref="BS7:BX7"/>
    <mergeCell ref="BO8:BP8"/>
    <mergeCell ref="BS8:BU8"/>
    <mergeCell ref="BV8:BW8"/>
    <mergeCell ref="AN1:BA1"/>
    <mergeCell ref="AN2:AO2"/>
    <mergeCell ref="AP2:AR2"/>
    <mergeCell ref="AS2:AY2"/>
    <mergeCell ref="BA2:BA6"/>
    <mergeCell ref="I1:V1"/>
    <mergeCell ref="K2:K10"/>
    <mergeCell ref="P2:P10"/>
    <mergeCell ref="AB1:AH1"/>
    <mergeCell ref="CO28:CP28"/>
    <mergeCell ref="CL28:CN28"/>
    <mergeCell ref="CO27:CP27"/>
    <mergeCell ref="CL27:CN27"/>
    <mergeCell ref="CO26:CP26"/>
    <mergeCell ref="CL26:CN26"/>
    <mergeCell ref="CO30:CP30"/>
    <mergeCell ref="CL30:CN30"/>
    <mergeCell ref="CO29:CP29"/>
    <mergeCell ref="CL29:CN29"/>
    <mergeCell ref="CO32:CP32"/>
    <mergeCell ref="CL32:CN32"/>
    <mergeCell ref="CO31:CP31"/>
    <mergeCell ref="CL31:CN31"/>
    <mergeCell ref="CO21:CP21"/>
    <mergeCell ref="CL21:CN21"/>
    <mergeCell ref="CO20:CP20"/>
    <mergeCell ref="CL20:CN20"/>
    <mergeCell ref="CO23:CP23"/>
    <mergeCell ref="CL23:CN23"/>
    <mergeCell ref="CO22:CP22"/>
    <mergeCell ref="CL22:CN22"/>
    <mergeCell ref="CO25:CP25"/>
    <mergeCell ref="CL25:CN25"/>
    <mergeCell ref="CO24:CP24"/>
    <mergeCell ref="CL24:CN24"/>
    <mergeCell ref="CO15:CP15"/>
    <mergeCell ref="CL15:CN15"/>
    <mergeCell ref="CO14:CP14"/>
    <mergeCell ref="CL14:CN14"/>
    <mergeCell ref="CO17:CP17"/>
    <mergeCell ref="CL17:CN17"/>
    <mergeCell ref="CO16:CP16"/>
    <mergeCell ref="CL16:CN16"/>
    <mergeCell ref="CO19:CP19"/>
    <mergeCell ref="CL19:CN19"/>
    <mergeCell ref="CO18:CP18"/>
    <mergeCell ref="CL18:CN18"/>
    <mergeCell ref="CO11:CP11"/>
    <mergeCell ref="CL11:CN11"/>
    <mergeCell ref="CO10:CP10"/>
    <mergeCell ref="CL10:CN10"/>
    <mergeCell ref="CO9:CP9"/>
    <mergeCell ref="CL9:CN9"/>
    <mergeCell ref="CO13:CP13"/>
    <mergeCell ref="CL13:CN13"/>
    <mergeCell ref="CO12:CP12"/>
    <mergeCell ref="CL12:CN12"/>
    <mergeCell ref="LG19:LG20"/>
    <mergeCell ref="KJ19:KJ20"/>
    <mergeCell ref="KK19:KK20"/>
    <mergeCell ref="KL19:KL20"/>
    <mergeCell ref="KM19:KM20"/>
    <mergeCell ref="KN19:KN20"/>
    <mergeCell ref="KO19:KO20"/>
    <mergeCell ref="KP19:KP20"/>
    <mergeCell ref="KQ19:KQ20"/>
    <mergeCell ref="KR19:KR20"/>
    <mergeCell ref="KS19:KS20"/>
    <mergeCell ref="KJ1:KV1"/>
    <mergeCell ref="KZ1:LG1"/>
    <mergeCell ref="KX2:KX6"/>
    <mergeCell ref="KY2:KY6"/>
    <mergeCell ref="KZ2:KZ6"/>
    <mergeCell ref="LA2:LA6"/>
    <mergeCell ref="LB2:LB6"/>
    <mergeCell ref="LC2:LC6"/>
    <mergeCell ref="LD2:LD6"/>
    <mergeCell ref="LE2:LE6"/>
    <mergeCell ref="LF2:LF6"/>
    <mergeCell ref="LG2:LG6"/>
    <mergeCell ref="KT7:KV7"/>
    <mergeCell ref="KT8:KV8"/>
    <mergeCell ref="KT9:KV9"/>
    <mergeCell ref="KT10:KV10"/>
    <mergeCell ref="JE4:JE5"/>
    <mergeCell ref="KJ27:KV27"/>
    <mergeCell ref="KK28:KL28"/>
    <mergeCell ref="KM28:KP28"/>
    <mergeCell ref="KQ28:KV28"/>
    <mergeCell ref="KY27:LK27"/>
    <mergeCell ref="KZ28:LA28"/>
    <mergeCell ref="LB28:LE28"/>
    <mergeCell ref="LF28:LK28"/>
    <mergeCell ref="KM6:KN6"/>
    <mergeCell ref="KO6:KP6"/>
    <mergeCell ref="KJ6:KL6"/>
    <mergeCell ref="KQ6:KV6"/>
    <mergeCell ref="KJ2:KV2"/>
    <mergeCell ref="KX18:LG18"/>
    <mergeCell ref="KJ18:KS18"/>
    <mergeCell ref="A1:B1"/>
    <mergeCell ref="A21:B21"/>
    <mergeCell ref="A24:B24"/>
    <mergeCell ref="KT11:KV11"/>
    <mergeCell ref="KT12:KV12"/>
    <mergeCell ref="KT13:KV13"/>
    <mergeCell ref="KT14:KV14"/>
    <mergeCell ref="KX19:KX20"/>
    <mergeCell ref="KY19:KY20"/>
    <mergeCell ref="KZ19:KZ20"/>
    <mergeCell ref="LA19:LA20"/>
    <mergeCell ref="LB19:LB20"/>
    <mergeCell ref="LC19:LC20"/>
    <mergeCell ref="LD19:LD20"/>
    <mergeCell ref="LE19:LE20"/>
    <mergeCell ref="LF19:LF20"/>
  </mergeCells>
  <pageMargins left="0.7" right="0.7" top="0.75" bottom="0.75" header="0.3" footer="0.3"/>
  <pageSetup orientation="portrait" r:id="rId1"/>
  <drawing r:id="rId2"/>
  <legacyDrawing r:id="rId3"/>
  <controls>
    <mc:AlternateContent xmlns:mc="http://schemas.openxmlformats.org/markup-compatibility/2006">
      <mc:Choice Requires="x14">
        <control shapeId="60433" r:id="rId4" name="EXPROOF50">
          <controlPr defaultSize="0" autoLine="0" r:id="rId5">
            <anchor moveWithCells="1">
              <from>
                <xdr:col>0</xdr:col>
                <xdr:colOff>66675</xdr:colOff>
                <xdr:row>14</xdr:row>
                <xdr:rowOff>85725</xdr:rowOff>
              </from>
              <to>
                <xdr:col>0</xdr:col>
                <xdr:colOff>1676400</xdr:colOff>
                <xdr:row>14</xdr:row>
                <xdr:rowOff>361950</xdr:rowOff>
              </to>
            </anchor>
          </controlPr>
        </control>
      </mc:Choice>
      <mc:Fallback>
        <control shapeId="60433" r:id="rId4" name="EXPROOF50"/>
      </mc:Fallback>
    </mc:AlternateContent>
    <mc:AlternateContent xmlns:mc="http://schemas.openxmlformats.org/markup-compatibility/2006">
      <mc:Choice Requires="x14">
        <control shapeId="60417" r:id="rId6" name="APSA">
          <controlPr defaultSize="0" autoLine="0" r:id="rId7">
            <anchor moveWithCells="1">
              <from>
                <xdr:col>0</xdr:col>
                <xdr:colOff>104775</xdr:colOff>
                <xdr:row>2</xdr:row>
                <xdr:rowOff>47625</xdr:rowOff>
              </from>
              <to>
                <xdr:col>0</xdr:col>
                <xdr:colOff>809625</xdr:colOff>
                <xdr:row>3</xdr:row>
                <xdr:rowOff>114300</xdr:rowOff>
              </to>
            </anchor>
          </controlPr>
        </control>
      </mc:Choice>
      <mc:Fallback>
        <control shapeId="60417" r:id="rId6" name="APSA"/>
      </mc:Fallback>
    </mc:AlternateContent>
    <mc:AlternateContent xmlns:mc="http://schemas.openxmlformats.org/markup-compatibility/2006">
      <mc:Choice Requires="x14">
        <control shapeId="60418" r:id="rId8" name="PSC">
          <controlPr defaultSize="0" autoLine="0" r:id="rId9">
            <anchor moveWithCells="1">
              <from>
                <xdr:col>0</xdr:col>
                <xdr:colOff>104775</xdr:colOff>
                <xdr:row>3</xdr:row>
                <xdr:rowOff>38100</xdr:rowOff>
              </from>
              <to>
                <xdr:col>0</xdr:col>
                <xdr:colOff>1085850</xdr:colOff>
                <xdr:row>4</xdr:row>
                <xdr:rowOff>200025</xdr:rowOff>
              </to>
            </anchor>
          </controlPr>
        </control>
      </mc:Choice>
      <mc:Fallback>
        <control shapeId="60418" r:id="rId8" name="PSC"/>
      </mc:Fallback>
    </mc:AlternateContent>
    <mc:AlternateContent xmlns:mc="http://schemas.openxmlformats.org/markup-compatibility/2006">
      <mc:Choice Requires="x14">
        <control shapeId="60419" r:id="rId10" name="RWC">
          <controlPr defaultSize="0" autoLine="0" r:id="rId11">
            <anchor moveWithCells="1">
              <from>
                <xdr:col>0</xdr:col>
                <xdr:colOff>104775</xdr:colOff>
                <xdr:row>4</xdr:row>
                <xdr:rowOff>114300</xdr:rowOff>
              </from>
              <to>
                <xdr:col>0</xdr:col>
                <xdr:colOff>809625</xdr:colOff>
                <xdr:row>5</xdr:row>
                <xdr:rowOff>180975</xdr:rowOff>
              </to>
            </anchor>
          </controlPr>
        </control>
      </mc:Choice>
      <mc:Fallback>
        <control shapeId="60419" r:id="rId10" name="RWC"/>
      </mc:Fallback>
    </mc:AlternateContent>
    <mc:AlternateContent xmlns:mc="http://schemas.openxmlformats.org/markup-compatibility/2006">
      <mc:Choice Requires="x14">
        <control shapeId="60420" r:id="rId12" name="PPH">
          <controlPr defaultSize="0" autoLine="0" r:id="rId13">
            <anchor moveWithCells="1">
              <from>
                <xdr:col>1</xdr:col>
                <xdr:colOff>104775</xdr:colOff>
                <xdr:row>1</xdr:row>
                <xdr:rowOff>390525</xdr:rowOff>
              </from>
              <to>
                <xdr:col>1</xdr:col>
                <xdr:colOff>1390650</xdr:colOff>
                <xdr:row>3</xdr:row>
                <xdr:rowOff>133350</xdr:rowOff>
              </to>
            </anchor>
          </controlPr>
        </control>
      </mc:Choice>
      <mc:Fallback>
        <control shapeId="60420" r:id="rId12" name="PPH"/>
      </mc:Fallback>
    </mc:AlternateContent>
    <mc:AlternateContent xmlns:mc="http://schemas.openxmlformats.org/markup-compatibility/2006">
      <mc:Choice Requires="x14">
        <control shapeId="60421" r:id="rId14" name="PWM">
          <controlPr defaultSize="0" autoLine="0" r:id="rId15">
            <anchor moveWithCells="1">
              <from>
                <xdr:col>1</xdr:col>
                <xdr:colOff>104775</xdr:colOff>
                <xdr:row>3</xdr:row>
                <xdr:rowOff>19050</xdr:rowOff>
              </from>
              <to>
                <xdr:col>1</xdr:col>
                <xdr:colOff>1447800</xdr:colOff>
                <xdr:row>4</xdr:row>
                <xdr:rowOff>123825</xdr:rowOff>
              </to>
            </anchor>
          </controlPr>
        </control>
      </mc:Choice>
      <mc:Fallback>
        <control shapeId="60421" r:id="rId14" name="PWM"/>
      </mc:Fallback>
    </mc:AlternateContent>
    <mc:AlternateContent xmlns:mc="http://schemas.openxmlformats.org/markup-compatibility/2006">
      <mc:Choice Requires="x14">
        <control shapeId="60423" r:id="rId16" name="Mini_Split">
          <controlPr defaultSize="0" autoLine="0" r:id="rId17">
            <anchor moveWithCells="1">
              <from>
                <xdr:col>1</xdr:col>
                <xdr:colOff>95250</xdr:colOff>
                <xdr:row>4</xdr:row>
                <xdr:rowOff>85725</xdr:rowOff>
              </from>
              <to>
                <xdr:col>1</xdr:col>
                <xdr:colOff>1771650</xdr:colOff>
                <xdr:row>5</xdr:row>
                <xdr:rowOff>209550</xdr:rowOff>
              </to>
            </anchor>
          </controlPr>
        </control>
      </mc:Choice>
      <mc:Fallback>
        <control shapeId="60423" r:id="rId16" name="Mini_Split"/>
      </mc:Fallback>
    </mc:AlternateContent>
    <mc:AlternateContent xmlns:mc="http://schemas.openxmlformats.org/markup-compatibility/2006">
      <mc:Choice Requires="x14">
        <control shapeId="60424" r:id="rId18" name="PASC">
          <controlPr defaultSize="0" autoLine="0" r:id="rId19">
            <anchor moveWithCells="1">
              <from>
                <xdr:col>1</xdr:col>
                <xdr:colOff>104775</xdr:colOff>
                <xdr:row>8</xdr:row>
                <xdr:rowOff>76200</xdr:rowOff>
              </from>
              <to>
                <xdr:col>1</xdr:col>
                <xdr:colOff>1019175</xdr:colOff>
                <xdr:row>9</xdr:row>
                <xdr:rowOff>142875</xdr:rowOff>
              </to>
            </anchor>
          </controlPr>
        </control>
      </mc:Choice>
      <mc:Fallback>
        <control shapeId="60424" r:id="rId18" name="PASC"/>
      </mc:Fallback>
    </mc:AlternateContent>
    <mc:AlternateContent xmlns:mc="http://schemas.openxmlformats.org/markup-compatibility/2006">
      <mc:Choice Requires="x14">
        <control shapeId="60425" r:id="rId20" name="PASC_WM">
          <controlPr defaultSize="0" autoLine="0" r:id="rId21">
            <anchor moveWithCells="1">
              <from>
                <xdr:col>1</xdr:col>
                <xdr:colOff>114300</xdr:colOff>
                <xdr:row>9</xdr:row>
                <xdr:rowOff>95250</xdr:rowOff>
              </from>
              <to>
                <xdr:col>1</xdr:col>
                <xdr:colOff>1028700</xdr:colOff>
                <xdr:row>10</xdr:row>
                <xdr:rowOff>161925</xdr:rowOff>
              </to>
            </anchor>
          </controlPr>
        </control>
      </mc:Choice>
      <mc:Fallback>
        <control shapeId="60425" r:id="rId20" name="PASC_WM"/>
      </mc:Fallback>
    </mc:AlternateContent>
    <mc:AlternateContent xmlns:mc="http://schemas.openxmlformats.org/markup-compatibility/2006">
      <mc:Choice Requires="x14">
        <control shapeId="60426" r:id="rId22" name="PASC_InRow">
          <controlPr defaultSize="0" autoLine="0" r:id="rId23">
            <anchor moveWithCells="1">
              <from>
                <xdr:col>1</xdr:col>
                <xdr:colOff>95250</xdr:colOff>
                <xdr:row>10</xdr:row>
                <xdr:rowOff>123825</xdr:rowOff>
              </from>
              <to>
                <xdr:col>1</xdr:col>
                <xdr:colOff>1285875</xdr:colOff>
                <xdr:row>10</xdr:row>
                <xdr:rowOff>400050</xdr:rowOff>
              </to>
            </anchor>
          </controlPr>
        </control>
      </mc:Choice>
      <mc:Fallback>
        <control shapeId="60426" r:id="rId22" name="PASC_InRow"/>
      </mc:Fallback>
    </mc:AlternateContent>
    <mc:AlternateContent xmlns:mc="http://schemas.openxmlformats.org/markup-compatibility/2006">
      <mc:Choice Requires="x14">
        <control shapeId="60428" r:id="rId24" name="AHU_CM_FCU">
          <controlPr defaultSize="0" autoLine="0" r:id="rId25">
            <anchor moveWithCells="1">
              <from>
                <xdr:col>0</xdr:col>
                <xdr:colOff>104775</xdr:colOff>
                <xdr:row>8</xdr:row>
                <xdr:rowOff>38100</xdr:rowOff>
              </from>
              <to>
                <xdr:col>0</xdr:col>
                <xdr:colOff>1552575</xdr:colOff>
                <xdr:row>9</xdr:row>
                <xdr:rowOff>104775</xdr:rowOff>
              </to>
            </anchor>
          </controlPr>
        </control>
      </mc:Choice>
      <mc:Fallback>
        <control shapeId="60428" r:id="rId24" name="AHU_CM_FCU"/>
      </mc:Fallback>
    </mc:AlternateContent>
    <mc:AlternateContent xmlns:mc="http://schemas.openxmlformats.org/markup-compatibility/2006">
      <mc:Choice Requires="x14">
        <control shapeId="60429" r:id="rId26" name="PCC">
          <controlPr defaultSize="0" autoLine="0" r:id="rId27">
            <anchor moveWithCells="1">
              <from>
                <xdr:col>0</xdr:col>
                <xdr:colOff>104775</xdr:colOff>
                <xdr:row>9</xdr:row>
                <xdr:rowOff>85725</xdr:rowOff>
              </from>
              <to>
                <xdr:col>0</xdr:col>
                <xdr:colOff>1552575</xdr:colOff>
                <xdr:row>10</xdr:row>
                <xdr:rowOff>152400</xdr:rowOff>
              </to>
            </anchor>
          </controlPr>
        </control>
      </mc:Choice>
      <mc:Fallback>
        <control shapeId="60429" r:id="rId26" name="PCC"/>
      </mc:Fallback>
    </mc:AlternateContent>
    <mc:AlternateContent xmlns:mc="http://schemas.openxmlformats.org/markup-compatibility/2006">
      <mc:Choice Requires="x14">
        <control shapeId="60430" r:id="rId28" name="PWC">
          <controlPr defaultSize="0" autoLine="0" r:id="rId29">
            <anchor moveWithCells="1">
              <from>
                <xdr:col>0</xdr:col>
                <xdr:colOff>85725</xdr:colOff>
                <xdr:row>10</xdr:row>
                <xdr:rowOff>114300</xdr:rowOff>
              </from>
              <to>
                <xdr:col>0</xdr:col>
                <xdr:colOff>1009650</xdr:colOff>
                <xdr:row>11</xdr:row>
                <xdr:rowOff>0</xdr:rowOff>
              </to>
            </anchor>
          </controlPr>
        </control>
      </mc:Choice>
      <mc:Fallback>
        <control shapeId="60430" r:id="rId28" name="PWC"/>
      </mc:Fallback>
    </mc:AlternateContent>
    <mc:AlternateContent xmlns:mc="http://schemas.openxmlformats.org/markup-compatibility/2006">
      <mc:Choice Requires="x14">
        <control shapeId="60431" r:id="rId30" name="Explosion_Proof">
          <controlPr defaultSize="0" autoLine="0" r:id="rId31">
            <anchor moveWithCells="1">
              <from>
                <xdr:col>0</xdr:col>
                <xdr:colOff>76200</xdr:colOff>
                <xdr:row>13</xdr:row>
                <xdr:rowOff>38100</xdr:rowOff>
              </from>
              <to>
                <xdr:col>0</xdr:col>
                <xdr:colOff>1628775</xdr:colOff>
                <xdr:row>14</xdr:row>
                <xdr:rowOff>104775</xdr:rowOff>
              </to>
            </anchor>
          </controlPr>
        </control>
      </mc:Choice>
      <mc:Fallback>
        <control shapeId="60431" r:id="rId30" name="Explosion_Proof"/>
      </mc:Fallback>
    </mc:AlternateContent>
    <mc:AlternateContent xmlns:mc="http://schemas.openxmlformats.org/markup-compatibility/2006">
      <mc:Choice Requires="x14">
        <control shapeId="60432" r:id="rId32" name="SASO">
          <controlPr defaultSize="0" autoLine="0" r:id="rId33">
            <anchor moveWithCells="1">
              <from>
                <xdr:col>0</xdr:col>
                <xdr:colOff>781050</xdr:colOff>
                <xdr:row>21</xdr:row>
                <xdr:rowOff>238125</xdr:rowOff>
              </from>
              <to>
                <xdr:col>1</xdr:col>
                <xdr:colOff>990600</xdr:colOff>
                <xdr:row>22</xdr:row>
                <xdr:rowOff>142875</xdr:rowOff>
              </to>
            </anchor>
          </controlPr>
        </control>
      </mc:Choice>
      <mc:Fallback>
        <control shapeId="60432" r:id="rId32" name="SASO"/>
      </mc:Fallback>
    </mc:AlternateContent>
    <mc:AlternateContent xmlns:mc="http://schemas.openxmlformats.org/markup-compatibility/2006">
      <mc:Choice Requires="x14">
        <control shapeId="60435" r:id="rId34" name="PETRA_Cataloge">
          <controlPr defaultSize="0" autoLine="0" r:id="rId35">
            <anchor moveWithCells="1">
              <from>
                <xdr:col>0</xdr:col>
                <xdr:colOff>133350</xdr:colOff>
                <xdr:row>18</xdr:row>
                <xdr:rowOff>238125</xdr:rowOff>
              </from>
              <to>
                <xdr:col>1</xdr:col>
                <xdr:colOff>1847850</xdr:colOff>
                <xdr:row>19</xdr:row>
                <xdr:rowOff>209550</xdr:rowOff>
              </to>
            </anchor>
          </controlPr>
        </control>
      </mc:Choice>
      <mc:Fallback>
        <control shapeId="60435" r:id="rId34" name="PETRA_Cataloge"/>
      </mc:Fallback>
    </mc:AlternateContent>
    <mc:AlternateContent xmlns:mc="http://schemas.openxmlformats.org/markup-compatibility/2006">
      <mc:Choice Requires="x14">
        <control shapeId="60436" r:id="rId36" name="Accessories">
          <controlPr defaultSize="0" autoLine="0" r:id="rId37">
            <anchor moveWithCells="1">
              <from>
                <xdr:col>0</xdr:col>
                <xdr:colOff>123825</xdr:colOff>
                <xdr:row>28</xdr:row>
                <xdr:rowOff>190500</xdr:rowOff>
              </from>
              <to>
                <xdr:col>0</xdr:col>
                <xdr:colOff>1571625</xdr:colOff>
                <xdr:row>29</xdr:row>
                <xdr:rowOff>257175</xdr:rowOff>
              </to>
            </anchor>
          </controlPr>
        </control>
      </mc:Choice>
      <mc:Fallback>
        <control shapeId="60436" r:id="rId36" name="Accessories"/>
      </mc:Fallback>
    </mc:AlternateContent>
    <mc:AlternateContent xmlns:mc="http://schemas.openxmlformats.org/markup-compatibility/2006">
      <mc:Choice Requires="x14">
        <control shapeId="60437" r:id="rId38" name="Refrigeration">
          <controlPr defaultSize="0" autoLine="0" r:id="rId39">
            <anchor moveWithCells="1">
              <from>
                <xdr:col>0</xdr:col>
                <xdr:colOff>114300</xdr:colOff>
                <xdr:row>24</xdr:row>
                <xdr:rowOff>9525</xdr:rowOff>
              </from>
              <to>
                <xdr:col>0</xdr:col>
                <xdr:colOff>1562100</xdr:colOff>
                <xdr:row>24</xdr:row>
                <xdr:rowOff>314325</xdr:rowOff>
              </to>
            </anchor>
          </controlPr>
        </control>
      </mc:Choice>
      <mc:Fallback>
        <control shapeId="60437" r:id="rId38" name="Refrigeration"/>
      </mc:Fallback>
    </mc:AlternateContent>
    <mc:AlternateContent xmlns:mc="http://schemas.openxmlformats.org/markup-compatibility/2006">
      <mc:Choice Requires="x14">
        <control shapeId="60438" r:id="rId40" name="Electrical">
          <controlPr defaultSize="0" autoLine="0" r:id="rId41">
            <anchor moveWithCells="1">
              <from>
                <xdr:col>0</xdr:col>
                <xdr:colOff>133350</xdr:colOff>
                <xdr:row>24</xdr:row>
                <xdr:rowOff>400050</xdr:rowOff>
              </from>
              <to>
                <xdr:col>0</xdr:col>
                <xdr:colOff>1419225</xdr:colOff>
                <xdr:row>25</xdr:row>
                <xdr:rowOff>304800</xdr:rowOff>
              </to>
            </anchor>
          </controlPr>
        </control>
      </mc:Choice>
      <mc:Fallback>
        <control shapeId="60438" r:id="rId40" name="Electrical"/>
      </mc:Fallback>
    </mc:AlternateContent>
    <mc:AlternateContent xmlns:mc="http://schemas.openxmlformats.org/markup-compatibility/2006">
      <mc:Choice Requires="x14">
        <control shapeId="60439" r:id="rId42" name="Sections">
          <controlPr defaultSize="0" autoLine="0" r:id="rId43">
            <anchor moveWithCells="1">
              <from>
                <xdr:col>0</xdr:col>
                <xdr:colOff>123825</xdr:colOff>
                <xdr:row>25</xdr:row>
                <xdr:rowOff>419100</xdr:rowOff>
              </from>
              <to>
                <xdr:col>0</xdr:col>
                <xdr:colOff>1571625</xdr:colOff>
                <xdr:row>26</xdr:row>
                <xdr:rowOff>304800</xdr:rowOff>
              </to>
            </anchor>
          </controlPr>
        </control>
      </mc:Choice>
      <mc:Fallback>
        <control shapeId="60439" r:id="rId42" name="Sections"/>
      </mc:Fallback>
    </mc:AlternateContent>
    <mc:AlternateContent xmlns:mc="http://schemas.openxmlformats.org/markup-compatibility/2006">
      <mc:Choice Requires="x14">
        <control shapeId="60441" r:id="rId44" name="DataSheet_Sub_Category">
          <controlPr defaultSize="0" autoLine="0" r:id="rId45">
            <anchor moveWithCells="1">
              <from>
                <xdr:col>0</xdr:col>
                <xdr:colOff>1600200</xdr:colOff>
                <xdr:row>24</xdr:row>
                <xdr:rowOff>333375</xdr:rowOff>
              </from>
              <to>
                <xdr:col>1</xdr:col>
                <xdr:colOff>1847850</xdr:colOff>
                <xdr:row>30</xdr:row>
                <xdr:rowOff>114300</xdr:rowOff>
              </to>
            </anchor>
          </controlPr>
        </control>
      </mc:Choice>
      <mc:Fallback>
        <control shapeId="60441" r:id="rId44" name="DataSheet_Sub_Category"/>
      </mc:Fallback>
    </mc:AlternateContent>
    <mc:AlternateContent xmlns:mc="http://schemas.openxmlformats.org/markup-compatibility/2006">
      <mc:Choice Requires="x14">
        <control shapeId="60442" r:id="rId46" name="Construction">
          <controlPr defaultSize="0" autoLine="0" r:id="rId47">
            <anchor moveWithCells="1">
              <from>
                <xdr:col>0</xdr:col>
                <xdr:colOff>133350</xdr:colOff>
                <xdr:row>26</xdr:row>
                <xdr:rowOff>400050</xdr:rowOff>
              </from>
              <to>
                <xdr:col>0</xdr:col>
                <xdr:colOff>1581150</xdr:colOff>
                <xdr:row>28</xdr:row>
                <xdr:rowOff>57150</xdr:rowOff>
              </to>
            </anchor>
          </controlPr>
        </control>
      </mc:Choice>
      <mc:Fallback>
        <control shapeId="60442" r:id="rId46" name="Construction"/>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Z1_Data_Base"/>
  <dimension ref="A1:AC457"/>
  <sheetViews>
    <sheetView workbookViewId="0">
      <selection activeCell="D9" sqref="D8:J9"/>
    </sheetView>
  </sheetViews>
  <sheetFormatPr defaultRowHeight="15"/>
  <cols>
    <col min="1" max="1" width="30.28515625" bestFit="1" customWidth="1"/>
    <col min="2" max="2" width="21.7109375" customWidth="1"/>
    <col min="3" max="3" width="17.42578125" bestFit="1" customWidth="1"/>
    <col min="4" max="4" width="27.42578125" bestFit="1" customWidth="1"/>
    <col min="5" max="5" width="22.140625" customWidth="1"/>
    <col min="28" max="28" width="18.140625" customWidth="1"/>
  </cols>
  <sheetData>
    <row r="1" spans="1:29">
      <c r="A1" t="s">
        <v>1283</v>
      </c>
      <c r="B1" t="s">
        <v>1284</v>
      </c>
      <c r="C1" t="s">
        <v>6</v>
      </c>
      <c r="D1" t="s">
        <v>1285</v>
      </c>
      <c r="E1" t="s">
        <v>205</v>
      </c>
      <c r="AA1" t="s">
        <v>2152</v>
      </c>
      <c r="AB1" t="s">
        <v>2152</v>
      </c>
      <c r="AC1" t="s">
        <v>2152</v>
      </c>
    </row>
    <row r="2" spans="1:29">
      <c r="A2" t="s">
        <v>1286</v>
      </c>
      <c r="B2" t="s">
        <v>1295</v>
      </c>
      <c r="C2" t="s">
        <v>1309</v>
      </c>
      <c r="D2" t="s">
        <v>1321</v>
      </c>
      <c r="E2" t="s">
        <v>1315</v>
      </c>
      <c r="AA2">
        <v>4.3</v>
      </c>
      <c r="AB2">
        <v>4.3</v>
      </c>
      <c r="AC2">
        <v>4.3</v>
      </c>
    </row>
    <row r="3" spans="1:29">
      <c r="A3" t="s">
        <v>1287</v>
      </c>
      <c r="B3" t="s">
        <v>1296</v>
      </c>
      <c r="C3" t="s">
        <v>1310</v>
      </c>
      <c r="D3" t="s">
        <v>1322</v>
      </c>
      <c r="E3" t="s">
        <v>1316</v>
      </c>
      <c r="AA3" t="s">
        <v>2152</v>
      </c>
      <c r="AB3" t="s">
        <v>2152</v>
      </c>
      <c r="AC3" t="s">
        <v>2152</v>
      </c>
    </row>
    <row r="4" spans="1:29">
      <c r="A4" t="s">
        <v>1288</v>
      </c>
      <c r="B4" t="s">
        <v>1297</v>
      </c>
      <c r="C4" t="s">
        <v>1311</v>
      </c>
      <c r="D4" t="s">
        <v>1323</v>
      </c>
      <c r="E4" t="s">
        <v>1317</v>
      </c>
      <c r="AA4" t="s">
        <v>3726</v>
      </c>
      <c r="AB4" t="s">
        <v>3726</v>
      </c>
      <c r="AC4" t="s">
        <v>3726</v>
      </c>
    </row>
    <row r="5" spans="1:29">
      <c r="A5" t="s">
        <v>1289</v>
      </c>
      <c r="B5" t="s">
        <v>1298</v>
      </c>
      <c r="C5" t="s">
        <v>1312</v>
      </c>
      <c r="D5" t="s">
        <v>1324</v>
      </c>
      <c r="E5" t="s">
        <v>1318</v>
      </c>
      <c r="AA5" t="s">
        <v>3727</v>
      </c>
      <c r="AB5" t="s">
        <v>3727</v>
      </c>
      <c r="AC5" t="s">
        <v>3727</v>
      </c>
    </row>
    <row r="6" spans="1:29">
      <c r="A6" t="s">
        <v>1290</v>
      </c>
      <c r="B6" t="s">
        <v>1299</v>
      </c>
      <c r="C6" t="s">
        <v>1313</v>
      </c>
      <c r="D6" t="s">
        <v>1325</v>
      </c>
      <c r="E6" t="s">
        <v>1319</v>
      </c>
      <c r="AA6">
        <v>-7</v>
      </c>
      <c r="AB6">
        <v>-7</v>
      </c>
      <c r="AC6">
        <v>-7</v>
      </c>
    </row>
    <row r="7" spans="1:29">
      <c r="A7" t="s">
        <v>1291</v>
      </c>
      <c r="B7" t="s">
        <v>1300</v>
      </c>
      <c r="C7" t="s">
        <v>1314</v>
      </c>
      <c r="D7" t="s">
        <v>1326</v>
      </c>
      <c r="E7" t="s">
        <v>1320</v>
      </c>
      <c r="AA7">
        <v>-1</v>
      </c>
      <c r="AB7">
        <v>-1</v>
      </c>
      <c r="AC7">
        <v>-1</v>
      </c>
    </row>
    <row r="8" spans="1:29">
      <c r="A8" t="s">
        <v>1292</v>
      </c>
      <c r="B8" t="s">
        <v>1301</v>
      </c>
      <c r="D8" t="s">
        <v>1327</v>
      </c>
      <c r="AA8" s="913">
        <v>2025</v>
      </c>
      <c r="AB8" s="913">
        <v>2025</v>
      </c>
      <c r="AC8" s="913">
        <v>2025</v>
      </c>
    </row>
    <row r="9" spans="1:29">
      <c r="A9" t="s">
        <v>1293</v>
      </c>
      <c r="B9" t="s">
        <v>1302</v>
      </c>
      <c r="AA9" t="s">
        <v>3728</v>
      </c>
      <c r="AB9" t="s">
        <v>3728</v>
      </c>
      <c r="AC9" t="s">
        <v>3728</v>
      </c>
    </row>
    <row r="10" spans="1:29">
      <c r="A10" t="s">
        <v>1294</v>
      </c>
      <c r="B10" t="s">
        <v>1303</v>
      </c>
      <c r="AA10" t="s">
        <v>2153</v>
      </c>
      <c r="AB10" t="s">
        <v>2153</v>
      </c>
      <c r="AC10" t="s">
        <v>2153</v>
      </c>
    </row>
    <row r="11" spans="1:29">
      <c r="B11" t="s">
        <v>1304</v>
      </c>
      <c r="AA11" t="s">
        <v>3729</v>
      </c>
      <c r="AB11" t="s">
        <v>3729</v>
      </c>
      <c r="AC11" t="s">
        <v>3729</v>
      </c>
    </row>
    <row r="12" spans="1:29">
      <c r="B12" t="s">
        <v>1305</v>
      </c>
      <c r="AA12" t="s">
        <v>2153</v>
      </c>
      <c r="AB12" t="s">
        <v>2153</v>
      </c>
      <c r="AC12" t="s">
        <v>2153</v>
      </c>
    </row>
    <row r="13" spans="1:29" ht="45">
      <c r="B13" t="s">
        <v>1306</v>
      </c>
      <c r="AA13" s="777" t="s">
        <v>3730</v>
      </c>
      <c r="AB13" s="777" t="s">
        <v>3730</v>
      </c>
      <c r="AC13" s="777" t="s">
        <v>3730</v>
      </c>
    </row>
    <row r="14" spans="1:29">
      <c r="B14" t="s">
        <v>1307</v>
      </c>
      <c r="AA14" t="s">
        <v>2154</v>
      </c>
      <c r="AB14" t="s">
        <v>2154</v>
      </c>
      <c r="AC14" t="s">
        <v>2154</v>
      </c>
    </row>
    <row r="15" spans="1:29">
      <c r="B15" t="s">
        <v>1308</v>
      </c>
      <c r="AA15" t="s">
        <v>3731</v>
      </c>
      <c r="AB15" t="s">
        <v>3731</v>
      </c>
      <c r="AC15" t="s">
        <v>3731</v>
      </c>
    </row>
    <row r="16" spans="1:29">
      <c r="AA16" t="s">
        <v>3732</v>
      </c>
      <c r="AB16" t="s">
        <v>3732</v>
      </c>
      <c r="AC16" t="s">
        <v>3732</v>
      </c>
    </row>
    <row r="17" spans="27:29">
      <c r="AA17" t="s">
        <v>3733</v>
      </c>
      <c r="AB17" t="s">
        <v>3733</v>
      </c>
      <c r="AC17" t="s">
        <v>3733</v>
      </c>
    </row>
    <row r="18" spans="27:29">
      <c r="AA18" t="s">
        <v>3734</v>
      </c>
      <c r="AB18" t="s">
        <v>3734</v>
      </c>
      <c r="AC18" t="s">
        <v>3734</v>
      </c>
    </row>
    <row r="19" spans="27:29" ht="30">
      <c r="AA19" s="777" t="s">
        <v>3735</v>
      </c>
      <c r="AB19" s="777" t="s">
        <v>3735</v>
      </c>
      <c r="AC19" s="777" t="s">
        <v>3735</v>
      </c>
    </row>
    <row r="20" spans="27:29">
      <c r="AA20" t="s">
        <v>2811</v>
      </c>
      <c r="AB20" t="s">
        <v>2811</v>
      </c>
      <c r="AC20" t="s">
        <v>2811</v>
      </c>
    </row>
    <row r="21" spans="27:29">
      <c r="AA21" t="s">
        <v>3736</v>
      </c>
      <c r="AB21" t="s">
        <v>3736</v>
      </c>
      <c r="AC21" t="s">
        <v>3736</v>
      </c>
    </row>
    <row r="22" spans="27:29">
      <c r="AA22" s="913">
        <v>2026</v>
      </c>
      <c r="AB22" s="913">
        <v>2026</v>
      </c>
      <c r="AC22" s="913">
        <v>2026</v>
      </c>
    </row>
    <row r="23" spans="27:29">
      <c r="AA23" t="s">
        <v>2155</v>
      </c>
      <c r="AB23" t="s">
        <v>2155</v>
      </c>
      <c r="AC23" t="s">
        <v>2155</v>
      </c>
    </row>
    <row r="24" spans="27:29">
      <c r="AA24" t="s">
        <v>3737</v>
      </c>
      <c r="AB24" t="s">
        <v>3737</v>
      </c>
      <c r="AC24" t="s">
        <v>3737</v>
      </c>
    </row>
    <row r="25" spans="27:29">
      <c r="AA25" t="s">
        <v>3738</v>
      </c>
      <c r="AB25" t="s">
        <v>3738</v>
      </c>
      <c r="AC25" t="s">
        <v>3738</v>
      </c>
    </row>
    <row r="26" spans="27:29">
      <c r="AA26" t="s">
        <v>2155</v>
      </c>
      <c r="AB26" t="s">
        <v>2155</v>
      </c>
      <c r="AC26" t="s">
        <v>2155</v>
      </c>
    </row>
    <row r="27" spans="27:29">
      <c r="AA27" t="s">
        <v>2156</v>
      </c>
      <c r="AB27" t="s">
        <v>2156</v>
      </c>
      <c r="AC27" t="s">
        <v>2156</v>
      </c>
    </row>
    <row r="28" spans="27:29" ht="45">
      <c r="AA28" s="777" t="s">
        <v>2157</v>
      </c>
      <c r="AB28" s="777" t="s">
        <v>2157</v>
      </c>
      <c r="AC28" s="777" t="s">
        <v>2157</v>
      </c>
    </row>
    <row r="29" spans="27:29">
      <c r="AA29" t="s">
        <v>3739</v>
      </c>
      <c r="AB29" t="s">
        <v>3739</v>
      </c>
      <c r="AC29" t="s">
        <v>3739</v>
      </c>
    </row>
    <row r="30" spans="27:29">
      <c r="AA30" t="s">
        <v>3740</v>
      </c>
      <c r="AB30" t="s">
        <v>3740</v>
      </c>
      <c r="AC30" t="s">
        <v>3740</v>
      </c>
    </row>
    <row r="31" spans="27:29">
      <c r="AA31" t="s">
        <v>2155</v>
      </c>
      <c r="AB31" t="s">
        <v>2155</v>
      </c>
      <c r="AC31" t="s">
        <v>2155</v>
      </c>
    </row>
    <row r="32" spans="27:29">
      <c r="AA32" t="s">
        <v>2812</v>
      </c>
      <c r="AB32" t="s">
        <v>2812</v>
      </c>
      <c r="AC32" t="s">
        <v>2812</v>
      </c>
    </row>
    <row r="33" spans="27:29">
      <c r="AA33">
        <v>48</v>
      </c>
      <c r="AB33">
        <v>49</v>
      </c>
      <c r="AC33">
        <v>50</v>
      </c>
    </row>
    <row r="34" spans="27:29">
      <c r="AA34" t="s">
        <v>3741</v>
      </c>
      <c r="AB34" t="s">
        <v>3741</v>
      </c>
      <c r="AC34" t="s">
        <v>3741</v>
      </c>
    </row>
    <row r="35" spans="27:29">
      <c r="AA35" t="s">
        <v>3742</v>
      </c>
      <c r="AB35" t="s">
        <v>3742</v>
      </c>
      <c r="AC35" t="s">
        <v>3742</v>
      </c>
    </row>
    <row r="36" spans="27:29">
      <c r="AA36">
        <v>530</v>
      </c>
      <c r="AB36">
        <v>800</v>
      </c>
      <c r="AC36">
        <v>230</v>
      </c>
    </row>
    <row r="37" spans="27:29">
      <c r="AA37" t="s">
        <v>3743</v>
      </c>
      <c r="AB37" t="s">
        <v>3743</v>
      </c>
      <c r="AC37" t="s">
        <v>3743</v>
      </c>
    </row>
    <row r="38" spans="27:29">
      <c r="AA38" t="s">
        <v>3744</v>
      </c>
      <c r="AB38" t="s">
        <v>3744</v>
      </c>
      <c r="AC38" t="s">
        <v>3744</v>
      </c>
    </row>
    <row r="39" spans="27:29">
      <c r="AA39">
        <v>100</v>
      </c>
      <c r="AB39">
        <v>15</v>
      </c>
      <c r="AC39">
        <v>40</v>
      </c>
    </row>
    <row r="40" spans="27:29">
      <c r="AA40" t="s">
        <v>3745</v>
      </c>
      <c r="AB40" t="s">
        <v>3745</v>
      </c>
      <c r="AC40" t="s">
        <v>3745</v>
      </c>
    </row>
    <row r="41" spans="27:29">
      <c r="AA41" t="s">
        <v>3739</v>
      </c>
      <c r="AB41" t="s">
        <v>3739</v>
      </c>
      <c r="AC41" t="s">
        <v>3739</v>
      </c>
    </row>
    <row r="42" spans="27:29">
      <c r="AA42" t="s">
        <v>3746</v>
      </c>
      <c r="AB42" t="s">
        <v>3746</v>
      </c>
      <c r="AC42" t="s">
        <v>3746</v>
      </c>
    </row>
    <row r="43" spans="27:29">
      <c r="AA43" t="s">
        <v>2158</v>
      </c>
      <c r="AB43" t="s">
        <v>2158</v>
      </c>
      <c r="AC43" t="s">
        <v>2158</v>
      </c>
    </row>
    <row r="44" spans="27:29">
      <c r="AA44" t="s">
        <v>3727</v>
      </c>
      <c r="AB44" t="s">
        <v>3727</v>
      </c>
      <c r="AC44" t="s">
        <v>3727</v>
      </c>
    </row>
    <row r="45" spans="27:29">
      <c r="AA45" t="s">
        <v>3742</v>
      </c>
      <c r="AB45" t="s">
        <v>3742</v>
      </c>
      <c r="AC45" t="s">
        <v>3742</v>
      </c>
    </row>
    <row r="46" spans="27:29">
      <c r="AA46">
        <v>530</v>
      </c>
      <c r="AB46">
        <v>800</v>
      </c>
      <c r="AC46">
        <v>230</v>
      </c>
    </row>
    <row r="47" spans="27:29">
      <c r="AA47" t="s">
        <v>3743</v>
      </c>
      <c r="AB47" t="s">
        <v>3743</v>
      </c>
      <c r="AC47" t="s">
        <v>3743</v>
      </c>
    </row>
    <row r="48" spans="27:29">
      <c r="AA48" t="s">
        <v>3744</v>
      </c>
      <c r="AB48" t="s">
        <v>3744</v>
      </c>
      <c r="AC48" t="s">
        <v>3744</v>
      </c>
    </row>
    <row r="49" spans="27:29">
      <c r="AA49">
        <v>100</v>
      </c>
      <c r="AB49">
        <v>15</v>
      </c>
      <c r="AC49">
        <v>40</v>
      </c>
    </row>
    <row r="50" spans="27:29">
      <c r="AA50" t="s">
        <v>3747</v>
      </c>
      <c r="AB50" t="s">
        <v>3747</v>
      </c>
      <c r="AC50" t="s">
        <v>3747</v>
      </c>
    </row>
    <row r="51" spans="27:29">
      <c r="AA51" t="s">
        <v>2155</v>
      </c>
      <c r="AB51" t="s">
        <v>2155</v>
      </c>
      <c r="AC51" t="s">
        <v>2155</v>
      </c>
    </row>
    <row r="52" spans="27:29">
      <c r="AA52">
        <v>1</v>
      </c>
      <c r="AB52">
        <v>1</v>
      </c>
      <c r="AC52">
        <v>1</v>
      </c>
    </row>
    <row r="53" spans="27:29">
      <c r="AA53" t="s">
        <v>3748</v>
      </c>
      <c r="AB53" t="s">
        <v>3748</v>
      </c>
      <c r="AC53" t="s">
        <v>3748</v>
      </c>
    </row>
    <row r="54" spans="27:29">
      <c r="AA54" t="s">
        <v>3749</v>
      </c>
      <c r="AB54" t="s">
        <v>3749</v>
      </c>
      <c r="AC54" t="s">
        <v>3749</v>
      </c>
    </row>
    <row r="55" spans="27:29" ht="30">
      <c r="AA55" s="777" t="s">
        <v>2159</v>
      </c>
      <c r="AB55" s="777" t="s">
        <v>2159</v>
      </c>
      <c r="AC55" s="777" t="s">
        <v>2159</v>
      </c>
    </row>
    <row r="56" spans="27:29">
      <c r="AA56" t="s">
        <v>3750</v>
      </c>
      <c r="AB56" t="s">
        <v>3750</v>
      </c>
      <c r="AC56" t="s">
        <v>3750</v>
      </c>
    </row>
    <row r="57" spans="27:29">
      <c r="AA57" t="s">
        <v>3751</v>
      </c>
      <c r="AB57" t="s">
        <v>3751</v>
      </c>
      <c r="AC57" t="s">
        <v>3751</v>
      </c>
    </row>
    <row r="58" spans="27:29">
      <c r="AA58" t="s">
        <v>2155</v>
      </c>
      <c r="AB58" t="s">
        <v>2155</v>
      </c>
      <c r="AC58" t="s">
        <v>2155</v>
      </c>
    </row>
    <row r="59" spans="27:29">
      <c r="AA59" t="s">
        <v>3752</v>
      </c>
      <c r="AB59" t="s">
        <v>3752</v>
      </c>
      <c r="AC59" t="s">
        <v>3752</v>
      </c>
    </row>
    <row r="60" spans="27:29">
      <c r="AA60" t="s">
        <v>3753</v>
      </c>
      <c r="AB60" t="s">
        <v>3753</v>
      </c>
      <c r="AC60" t="s">
        <v>3753</v>
      </c>
    </row>
    <row r="61" spans="27:29" ht="30">
      <c r="AA61" s="777" t="s">
        <v>3754</v>
      </c>
      <c r="AB61" s="777" t="s">
        <v>3754</v>
      </c>
      <c r="AC61" s="777" t="s">
        <v>3754</v>
      </c>
    </row>
    <row r="62" spans="27:29">
      <c r="AA62" t="s">
        <v>2160</v>
      </c>
      <c r="AB62" t="s">
        <v>2160</v>
      </c>
      <c r="AC62" t="s">
        <v>2160</v>
      </c>
    </row>
    <row r="63" spans="27:29">
      <c r="AA63" t="s">
        <v>3755</v>
      </c>
      <c r="AB63" t="s">
        <v>3755</v>
      </c>
      <c r="AC63" t="s">
        <v>3755</v>
      </c>
    </row>
    <row r="64" spans="27:29">
      <c r="AA64" t="s">
        <v>3756</v>
      </c>
      <c r="AB64" t="s">
        <v>3756</v>
      </c>
      <c r="AC64" t="s">
        <v>3756</v>
      </c>
    </row>
    <row r="65" spans="27:29">
      <c r="AA65" t="s">
        <v>2161</v>
      </c>
      <c r="AB65" t="s">
        <v>2161</v>
      </c>
      <c r="AC65" t="s">
        <v>2161</v>
      </c>
    </row>
    <row r="66" spans="27:29">
      <c r="AA66" t="s">
        <v>2162</v>
      </c>
      <c r="AB66" t="s">
        <v>2162</v>
      </c>
      <c r="AC66" t="s">
        <v>2162</v>
      </c>
    </row>
    <row r="67" spans="27:29">
      <c r="AA67" t="s">
        <v>3757</v>
      </c>
      <c r="AB67" t="s">
        <v>3757</v>
      </c>
      <c r="AC67" t="s">
        <v>3757</v>
      </c>
    </row>
    <row r="68" spans="27:29">
      <c r="AA68" t="s">
        <v>2155</v>
      </c>
      <c r="AB68" t="s">
        <v>2155</v>
      </c>
      <c r="AC68" t="s">
        <v>2155</v>
      </c>
    </row>
    <row r="69" spans="27:29">
      <c r="AA69" s="913">
        <v>600000</v>
      </c>
      <c r="AB69" s="913">
        <v>900000</v>
      </c>
      <c r="AC69" s="913">
        <v>240000</v>
      </c>
    </row>
    <row r="70" spans="27:29">
      <c r="AA70" t="s">
        <v>3756</v>
      </c>
      <c r="AB70" t="s">
        <v>3756</v>
      </c>
      <c r="AC70" t="s">
        <v>3756</v>
      </c>
    </row>
    <row r="71" spans="27:29">
      <c r="AA71" t="s">
        <v>3758</v>
      </c>
      <c r="AB71" t="s">
        <v>3758</v>
      </c>
      <c r="AC71" t="s">
        <v>3758</v>
      </c>
    </row>
    <row r="72" spans="27:29">
      <c r="AA72" t="s">
        <v>3757</v>
      </c>
      <c r="AB72" t="s">
        <v>3757</v>
      </c>
      <c r="AC72" t="s">
        <v>3757</v>
      </c>
    </row>
    <row r="73" spans="27:29">
      <c r="AA73" t="s">
        <v>2155</v>
      </c>
      <c r="AB73" t="s">
        <v>2155</v>
      </c>
      <c r="AC73" t="s">
        <v>2155</v>
      </c>
    </row>
    <row r="74" spans="27:29">
      <c r="AA74">
        <v>175.85</v>
      </c>
      <c r="AB74">
        <v>263.77</v>
      </c>
      <c r="AC74">
        <v>70.34</v>
      </c>
    </row>
    <row r="75" spans="27:29">
      <c r="AA75" t="s">
        <v>3759</v>
      </c>
      <c r="AB75" t="s">
        <v>3759</v>
      </c>
      <c r="AC75" t="s">
        <v>3759</v>
      </c>
    </row>
    <row r="76" spans="27:29">
      <c r="AA76" t="s">
        <v>3756</v>
      </c>
      <c r="AB76" t="s">
        <v>3756</v>
      </c>
      <c r="AC76" t="s">
        <v>3756</v>
      </c>
    </row>
    <row r="77" spans="27:29">
      <c r="AA77" t="s">
        <v>2163</v>
      </c>
      <c r="AB77" t="s">
        <v>2163</v>
      </c>
      <c r="AC77" t="s">
        <v>2163</v>
      </c>
    </row>
    <row r="78" spans="27:29">
      <c r="AA78" t="s">
        <v>3760</v>
      </c>
      <c r="AB78" t="s">
        <v>3760</v>
      </c>
      <c r="AC78" t="s">
        <v>3760</v>
      </c>
    </row>
    <row r="79" spans="27:29">
      <c r="AA79" t="s">
        <v>3757</v>
      </c>
      <c r="AB79" t="s">
        <v>3757</v>
      </c>
      <c r="AC79" t="s">
        <v>3757</v>
      </c>
    </row>
    <row r="80" spans="27:29">
      <c r="AA80" t="s">
        <v>2155</v>
      </c>
      <c r="AB80" t="s">
        <v>2155</v>
      </c>
      <c r="AC80" t="s">
        <v>2155</v>
      </c>
    </row>
    <row r="81" spans="27:29">
      <c r="AA81">
        <v>115</v>
      </c>
      <c r="AB81">
        <v>115</v>
      </c>
      <c r="AC81">
        <v>115</v>
      </c>
    </row>
    <row r="82" spans="27:29">
      <c r="AA82" t="s">
        <v>3756</v>
      </c>
      <c r="AB82" t="s">
        <v>3756</v>
      </c>
      <c r="AC82" t="s">
        <v>3756</v>
      </c>
    </row>
    <row r="83" spans="27:29">
      <c r="AA83" t="s">
        <v>2163</v>
      </c>
      <c r="AB83" t="s">
        <v>2163</v>
      </c>
      <c r="AC83" t="s">
        <v>2163</v>
      </c>
    </row>
    <row r="84" spans="27:29">
      <c r="AA84" t="s">
        <v>3761</v>
      </c>
      <c r="AB84" t="s">
        <v>3761</v>
      </c>
      <c r="AC84" t="s">
        <v>3761</v>
      </c>
    </row>
    <row r="85" spans="27:29">
      <c r="AA85" t="s">
        <v>3757</v>
      </c>
      <c r="AB85" t="s">
        <v>3757</v>
      </c>
      <c r="AC85" t="s">
        <v>3757</v>
      </c>
    </row>
    <row r="86" spans="27:29">
      <c r="AA86" t="s">
        <v>2155</v>
      </c>
      <c r="AB86" t="s">
        <v>2155</v>
      </c>
      <c r="AC86" t="s">
        <v>2155</v>
      </c>
    </row>
    <row r="87" spans="27:29">
      <c r="AA87" t="s">
        <v>2155</v>
      </c>
      <c r="AB87" t="s">
        <v>2155</v>
      </c>
      <c r="AC87" t="s">
        <v>2155</v>
      </c>
    </row>
    <row r="88" spans="27:29">
      <c r="AA88">
        <v>46.11</v>
      </c>
      <c r="AB88">
        <v>46.11</v>
      </c>
      <c r="AC88">
        <v>46.11</v>
      </c>
    </row>
    <row r="89" spans="27:29">
      <c r="AA89" t="s">
        <v>3751</v>
      </c>
      <c r="AB89" t="s">
        <v>3751</v>
      </c>
      <c r="AC89" t="s">
        <v>3751</v>
      </c>
    </row>
    <row r="90" spans="27:29">
      <c r="AA90" t="s">
        <v>3762</v>
      </c>
      <c r="AB90" t="s">
        <v>3762</v>
      </c>
      <c r="AC90" t="s">
        <v>3762</v>
      </c>
    </row>
    <row r="91" spans="27:29">
      <c r="AA91" t="s">
        <v>2164</v>
      </c>
      <c r="AB91" t="s">
        <v>2164</v>
      </c>
      <c r="AC91" t="s">
        <v>2164</v>
      </c>
    </row>
    <row r="92" spans="27:29">
      <c r="AA92" t="s">
        <v>2165</v>
      </c>
      <c r="AB92" t="s">
        <v>2165</v>
      </c>
      <c r="AC92" t="s">
        <v>2165</v>
      </c>
    </row>
    <row r="93" spans="27:29">
      <c r="AA93" t="s">
        <v>2166</v>
      </c>
      <c r="AB93" t="s">
        <v>2166</v>
      </c>
      <c r="AC93" t="s">
        <v>2166</v>
      </c>
    </row>
    <row r="94" spans="27:29">
      <c r="AA94" t="s">
        <v>3756</v>
      </c>
      <c r="AB94" t="s">
        <v>3756</v>
      </c>
      <c r="AC94" t="s">
        <v>3756</v>
      </c>
    </row>
    <row r="95" spans="27:29">
      <c r="AA95" t="s">
        <v>3763</v>
      </c>
      <c r="AB95" t="s">
        <v>3763</v>
      </c>
      <c r="AC95" t="s">
        <v>3763</v>
      </c>
    </row>
    <row r="96" spans="27:29">
      <c r="AA96" t="s">
        <v>3757</v>
      </c>
      <c r="AB96" t="s">
        <v>3757</v>
      </c>
      <c r="AC96" t="s">
        <v>3757</v>
      </c>
    </row>
    <row r="97" spans="27:29">
      <c r="AA97" t="s">
        <v>2155</v>
      </c>
      <c r="AB97" t="s">
        <v>2155</v>
      </c>
      <c r="AC97" t="s">
        <v>2155</v>
      </c>
    </row>
    <row r="98" spans="27:29">
      <c r="AA98" s="913">
        <v>10000</v>
      </c>
      <c r="AB98" s="913">
        <v>15000</v>
      </c>
      <c r="AC98" s="913">
        <v>4000</v>
      </c>
    </row>
    <row r="99" spans="27:29">
      <c r="AA99" t="s">
        <v>3756</v>
      </c>
      <c r="AB99" t="s">
        <v>3756</v>
      </c>
      <c r="AC99" t="s">
        <v>3756</v>
      </c>
    </row>
    <row r="100" spans="27:29">
      <c r="AA100" t="s">
        <v>3764</v>
      </c>
      <c r="AB100" t="s">
        <v>3764</v>
      </c>
      <c r="AC100" t="s">
        <v>3764</v>
      </c>
    </row>
    <row r="101" spans="27:29">
      <c r="AA101" t="s">
        <v>3765</v>
      </c>
      <c r="AB101" t="s">
        <v>3765</v>
      </c>
      <c r="AC101" t="s">
        <v>3765</v>
      </c>
    </row>
    <row r="102" spans="27:29">
      <c r="AA102" t="s">
        <v>3757</v>
      </c>
      <c r="AB102" t="s">
        <v>3757</v>
      </c>
      <c r="AC102" t="s">
        <v>3757</v>
      </c>
    </row>
    <row r="103" spans="27:29">
      <c r="AA103" t="s">
        <v>2155</v>
      </c>
      <c r="AB103" t="s">
        <v>2155</v>
      </c>
      <c r="AC103" t="s">
        <v>2155</v>
      </c>
    </row>
    <row r="104" spans="27:29">
      <c r="AA104" s="913">
        <v>4719</v>
      </c>
      <c r="AB104" s="913">
        <v>7079</v>
      </c>
      <c r="AC104" s="913">
        <v>1888</v>
      </c>
    </row>
    <row r="105" spans="27:29">
      <c r="AA105" t="s">
        <v>3766</v>
      </c>
      <c r="AB105" t="s">
        <v>3766</v>
      </c>
      <c r="AC105" t="s">
        <v>3766</v>
      </c>
    </row>
    <row r="106" spans="27:29">
      <c r="AA106" t="s">
        <v>3767</v>
      </c>
      <c r="AB106" t="s">
        <v>3767</v>
      </c>
      <c r="AC106" t="s">
        <v>3767</v>
      </c>
    </row>
    <row r="107" spans="27:29">
      <c r="AA107" t="s">
        <v>3756</v>
      </c>
      <c r="AB107" t="s">
        <v>3756</v>
      </c>
      <c r="AC107" t="s">
        <v>3756</v>
      </c>
    </row>
    <row r="108" spans="27:29">
      <c r="AA108" t="s">
        <v>2163</v>
      </c>
      <c r="AB108" t="s">
        <v>2163</v>
      </c>
      <c r="AC108" t="s">
        <v>2163</v>
      </c>
    </row>
    <row r="109" spans="27:29">
      <c r="AA109" t="s">
        <v>3760</v>
      </c>
      <c r="AB109" t="s">
        <v>3760</v>
      </c>
      <c r="AC109" t="s">
        <v>3760</v>
      </c>
    </row>
    <row r="110" spans="27:29">
      <c r="AA110" t="s">
        <v>3757</v>
      </c>
      <c r="AB110" t="s">
        <v>3757</v>
      </c>
      <c r="AC110" t="s">
        <v>3757</v>
      </c>
    </row>
    <row r="111" spans="27:29">
      <c r="AA111" t="s">
        <v>2155</v>
      </c>
      <c r="AB111" t="s">
        <v>2155</v>
      </c>
      <c r="AC111" t="s">
        <v>2155</v>
      </c>
    </row>
    <row r="112" spans="27:29">
      <c r="AA112">
        <v>115</v>
      </c>
      <c r="AB112">
        <v>115</v>
      </c>
      <c r="AC112">
        <v>115</v>
      </c>
    </row>
    <row r="113" spans="27:29">
      <c r="AA113" t="s">
        <v>3756</v>
      </c>
      <c r="AB113" t="s">
        <v>3756</v>
      </c>
      <c r="AC113" t="s">
        <v>3756</v>
      </c>
    </row>
    <row r="114" spans="27:29">
      <c r="AA114" t="s">
        <v>2163</v>
      </c>
      <c r="AB114" t="s">
        <v>2163</v>
      </c>
      <c r="AC114" t="s">
        <v>2163</v>
      </c>
    </row>
    <row r="115" spans="27:29">
      <c r="AA115" t="s">
        <v>3761</v>
      </c>
      <c r="AB115" t="s">
        <v>3761</v>
      </c>
      <c r="AC115" t="s">
        <v>3761</v>
      </c>
    </row>
    <row r="116" spans="27:29">
      <c r="AA116" t="s">
        <v>3757</v>
      </c>
      <c r="AB116" t="s">
        <v>3757</v>
      </c>
      <c r="AC116" t="s">
        <v>3757</v>
      </c>
    </row>
    <row r="117" spans="27:29">
      <c r="AA117" t="s">
        <v>2155</v>
      </c>
      <c r="AB117" t="s">
        <v>2155</v>
      </c>
      <c r="AC117" t="s">
        <v>2155</v>
      </c>
    </row>
    <row r="118" spans="27:29">
      <c r="AA118">
        <v>46.11</v>
      </c>
      <c r="AB118">
        <v>46.11</v>
      </c>
      <c r="AC118">
        <v>46.11</v>
      </c>
    </row>
    <row r="119" spans="27:29">
      <c r="AA119" t="s">
        <v>3766</v>
      </c>
      <c r="AB119" t="s">
        <v>3766</v>
      </c>
      <c r="AC119" t="s">
        <v>3766</v>
      </c>
    </row>
    <row r="120" spans="27:29">
      <c r="AA120" t="s">
        <v>3768</v>
      </c>
      <c r="AB120" t="s">
        <v>3768</v>
      </c>
      <c r="AC120" t="s">
        <v>3768</v>
      </c>
    </row>
    <row r="121" spans="27:29">
      <c r="AA121" t="s">
        <v>3756</v>
      </c>
      <c r="AB121" t="s">
        <v>3756</v>
      </c>
      <c r="AC121" t="s">
        <v>3756</v>
      </c>
    </row>
    <row r="122" spans="27:29">
      <c r="AA122" t="s">
        <v>2163</v>
      </c>
      <c r="AB122" t="s">
        <v>2163</v>
      </c>
      <c r="AC122" t="s">
        <v>2163</v>
      </c>
    </row>
    <row r="123" spans="27:29">
      <c r="AA123" t="s">
        <v>3760</v>
      </c>
      <c r="AB123" t="s">
        <v>3760</v>
      </c>
      <c r="AC123" t="s">
        <v>3760</v>
      </c>
    </row>
    <row r="124" spans="27:29">
      <c r="AA124" t="s">
        <v>3757</v>
      </c>
      <c r="AB124" t="s">
        <v>3757</v>
      </c>
      <c r="AC124" t="s">
        <v>3757</v>
      </c>
    </row>
    <row r="125" spans="27:29">
      <c r="AA125" t="s">
        <v>2155</v>
      </c>
      <c r="AB125" t="s">
        <v>2155</v>
      </c>
      <c r="AC125" t="s">
        <v>2155</v>
      </c>
    </row>
    <row r="126" spans="27:29">
      <c r="AA126">
        <v>86</v>
      </c>
      <c r="AB126">
        <v>86</v>
      </c>
      <c r="AC126">
        <v>86</v>
      </c>
    </row>
    <row r="127" spans="27:29">
      <c r="AA127" t="s">
        <v>3756</v>
      </c>
      <c r="AB127" t="s">
        <v>3756</v>
      </c>
      <c r="AC127" t="s">
        <v>3756</v>
      </c>
    </row>
    <row r="128" spans="27:29">
      <c r="AA128" t="s">
        <v>2163</v>
      </c>
      <c r="AB128" t="s">
        <v>2163</v>
      </c>
      <c r="AC128" t="s">
        <v>2163</v>
      </c>
    </row>
    <row r="129" spans="27:29">
      <c r="AA129" t="s">
        <v>3761</v>
      </c>
      <c r="AB129" t="s">
        <v>3761</v>
      </c>
      <c r="AC129" t="s">
        <v>3761</v>
      </c>
    </row>
    <row r="130" spans="27:29">
      <c r="AA130" t="s">
        <v>3757</v>
      </c>
      <c r="AB130" t="s">
        <v>3757</v>
      </c>
      <c r="AC130" t="s">
        <v>3757</v>
      </c>
    </row>
    <row r="131" spans="27:29">
      <c r="AA131" t="s">
        <v>2155</v>
      </c>
      <c r="AB131" t="s">
        <v>2155</v>
      </c>
      <c r="AC131" t="s">
        <v>2155</v>
      </c>
    </row>
    <row r="132" spans="27:29">
      <c r="AA132">
        <v>30</v>
      </c>
      <c r="AB132">
        <v>30</v>
      </c>
      <c r="AC132">
        <v>30</v>
      </c>
    </row>
    <row r="133" spans="27:29">
      <c r="AA133" t="s">
        <v>3769</v>
      </c>
      <c r="AB133" t="s">
        <v>3769</v>
      </c>
      <c r="AC133" t="s">
        <v>3769</v>
      </c>
    </row>
    <row r="134" spans="27:29">
      <c r="AA134" t="s">
        <v>3749</v>
      </c>
      <c r="AB134" t="s">
        <v>3749</v>
      </c>
      <c r="AC134" t="s">
        <v>3749</v>
      </c>
    </row>
    <row r="135" spans="27:29" ht="30">
      <c r="AA135" s="777" t="s">
        <v>2159</v>
      </c>
      <c r="AB135" s="777" t="s">
        <v>2159</v>
      </c>
      <c r="AC135" s="777" t="s">
        <v>2159</v>
      </c>
    </row>
    <row r="136" spans="27:29">
      <c r="AA136" t="s">
        <v>3766</v>
      </c>
      <c r="AB136" t="s">
        <v>3766</v>
      </c>
      <c r="AC136" t="s">
        <v>3766</v>
      </c>
    </row>
    <row r="137" spans="27:29">
      <c r="AA137" t="s">
        <v>3770</v>
      </c>
      <c r="AB137" t="s">
        <v>3770</v>
      </c>
      <c r="AC137" t="s">
        <v>3770</v>
      </c>
    </row>
    <row r="138" spans="27:29">
      <c r="AA138" t="s">
        <v>3756</v>
      </c>
      <c r="AB138" t="s">
        <v>3756</v>
      </c>
      <c r="AC138" t="s">
        <v>3756</v>
      </c>
    </row>
    <row r="139" spans="27:29">
      <c r="AA139" t="s">
        <v>2161</v>
      </c>
      <c r="AB139" t="s">
        <v>2161</v>
      </c>
      <c r="AC139" t="s">
        <v>2161</v>
      </c>
    </row>
    <row r="140" spans="27:29">
      <c r="AA140" t="s">
        <v>3771</v>
      </c>
      <c r="AB140" t="s">
        <v>3771</v>
      </c>
      <c r="AC140" t="s">
        <v>3771</v>
      </c>
    </row>
    <row r="141" spans="27:29">
      <c r="AA141" t="s">
        <v>3757</v>
      </c>
      <c r="AB141" t="s">
        <v>3757</v>
      </c>
      <c r="AC141" t="s">
        <v>3757</v>
      </c>
    </row>
    <row r="142" spans="27:29">
      <c r="AA142" t="s">
        <v>2155</v>
      </c>
      <c r="AB142" t="s">
        <v>2155</v>
      </c>
      <c r="AC142" t="s">
        <v>2155</v>
      </c>
    </row>
    <row r="143" spans="27:29">
      <c r="AA143">
        <v>50.17</v>
      </c>
      <c r="AB143">
        <v>50.17</v>
      </c>
      <c r="AC143">
        <v>50.17</v>
      </c>
    </row>
    <row r="144" spans="27:29">
      <c r="AA144" t="s">
        <v>3756</v>
      </c>
      <c r="AB144" t="s">
        <v>3756</v>
      </c>
      <c r="AC144" t="s">
        <v>3756</v>
      </c>
    </row>
    <row r="145" spans="27:29">
      <c r="AA145" t="s">
        <v>3772</v>
      </c>
      <c r="AB145" t="s">
        <v>3772</v>
      </c>
      <c r="AC145" t="s">
        <v>3772</v>
      </c>
    </row>
    <row r="146" spans="27:29">
      <c r="AA146" t="s">
        <v>3773</v>
      </c>
      <c r="AB146" t="s">
        <v>3773</v>
      </c>
      <c r="AC146" t="s">
        <v>3773</v>
      </c>
    </row>
    <row r="147" spans="27:29">
      <c r="AA147" t="s">
        <v>3757</v>
      </c>
      <c r="AB147" t="s">
        <v>3757</v>
      </c>
      <c r="AC147" t="s">
        <v>3757</v>
      </c>
    </row>
    <row r="148" spans="27:29">
      <c r="AA148" t="s">
        <v>2155</v>
      </c>
      <c r="AB148" t="s">
        <v>2155</v>
      </c>
      <c r="AC148" t="s">
        <v>2155</v>
      </c>
    </row>
    <row r="149" spans="27:29">
      <c r="AA149">
        <v>116.7</v>
      </c>
      <c r="AB149">
        <v>116.7</v>
      </c>
      <c r="AC149">
        <v>116.7</v>
      </c>
    </row>
    <row r="150" spans="27:29">
      <c r="AA150" t="s">
        <v>2167</v>
      </c>
      <c r="AB150" t="s">
        <v>2167</v>
      </c>
      <c r="AC150" t="s">
        <v>2167</v>
      </c>
    </row>
    <row r="151" spans="27:29">
      <c r="AA151" t="s">
        <v>3774</v>
      </c>
      <c r="AB151" t="s">
        <v>3774</v>
      </c>
      <c r="AC151" t="s">
        <v>3774</v>
      </c>
    </row>
    <row r="152" spans="27:29">
      <c r="AA152" t="s">
        <v>3756</v>
      </c>
      <c r="AB152" t="s">
        <v>3756</v>
      </c>
      <c r="AC152" t="s">
        <v>3756</v>
      </c>
    </row>
    <row r="153" spans="27:29">
      <c r="AA153" t="s">
        <v>2161</v>
      </c>
      <c r="AB153" t="s">
        <v>2161</v>
      </c>
      <c r="AC153" t="s">
        <v>2161</v>
      </c>
    </row>
    <row r="154" spans="27:29">
      <c r="AA154" t="s">
        <v>3771</v>
      </c>
      <c r="AB154" t="s">
        <v>3771</v>
      </c>
      <c r="AC154" t="s">
        <v>3771</v>
      </c>
    </row>
    <row r="155" spans="27:29">
      <c r="AA155" t="s">
        <v>3757</v>
      </c>
      <c r="AB155" t="s">
        <v>3757</v>
      </c>
      <c r="AC155" t="s">
        <v>3757</v>
      </c>
    </row>
    <row r="156" spans="27:29">
      <c r="AA156" t="s">
        <v>2155</v>
      </c>
      <c r="AB156" t="s">
        <v>2155</v>
      </c>
      <c r="AC156" t="s">
        <v>2155</v>
      </c>
    </row>
    <row r="157" spans="27:29">
      <c r="AA157">
        <v>36.79</v>
      </c>
      <c r="AB157">
        <v>36.78</v>
      </c>
      <c r="AC157">
        <v>36.69</v>
      </c>
    </row>
    <row r="158" spans="27:29">
      <c r="AA158" t="s">
        <v>3756</v>
      </c>
      <c r="AB158" t="s">
        <v>3756</v>
      </c>
      <c r="AC158" t="s">
        <v>3756</v>
      </c>
    </row>
    <row r="159" spans="27:29">
      <c r="AA159" t="s">
        <v>3772</v>
      </c>
      <c r="AB159" t="s">
        <v>3772</v>
      </c>
      <c r="AC159" t="s">
        <v>3772</v>
      </c>
    </row>
    <row r="160" spans="27:29">
      <c r="AA160" t="s">
        <v>3773</v>
      </c>
      <c r="AB160" t="s">
        <v>3773</v>
      </c>
      <c r="AC160" t="s">
        <v>3773</v>
      </c>
    </row>
    <row r="161" spans="25:29">
      <c r="AA161" t="s">
        <v>3757</v>
      </c>
      <c r="AB161" t="s">
        <v>3757</v>
      </c>
      <c r="AC161" t="s">
        <v>3757</v>
      </c>
    </row>
    <row r="162" spans="25:29">
      <c r="AA162" t="s">
        <v>2155</v>
      </c>
      <c r="AB162" t="s">
        <v>2155</v>
      </c>
      <c r="AC162" t="s">
        <v>2155</v>
      </c>
    </row>
    <row r="163" spans="25:29">
      <c r="AA163">
        <v>85.58</v>
      </c>
      <c r="AB163">
        <v>85.56</v>
      </c>
      <c r="AC163">
        <v>85.35</v>
      </c>
    </row>
    <row r="164" spans="25:29">
      <c r="AA164" t="s">
        <v>2167</v>
      </c>
      <c r="AB164" t="s">
        <v>2167</v>
      </c>
      <c r="AC164" t="s">
        <v>2167</v>
      </c>
    </row>
    <row r="165" spans="25:29">
      <c r="AA165" t="s">
        <v>3767</v>
      </c>
      <c r="AB165" t="s">
        <v>3767</v>
      </c>
      <c r="AC165" t="s">
        <v>3767</v>
      </c>
    </row>
    <row r="166" spans="25:29">
      <c r="AA166" t="s">
        <v>3756</v>
      </c>
      <c r="AB166" t="s">
        <v>3756</v>
      </c>
      <c r="AC166" t="s">
        <v>3756</v>
      </c>
    </row>
    <row r="167" spans="25:29">
      <c r="AA167" t="s">
        <v>2163</v>
      </c>
      <c r="AB167" t="s">
        <v>2163</v>
      </c>
      <c r="AC167" t="s">
        <v>2163</v>
      </c>
    </row>
    <row r="168" spans="25:29">
      <c r="AA168" t="s">
        <v>3760</v>
      </c>
      <c r="AB168" t="s">
        <v>3760</v>
      </c>
      <c r="AC168" t="s">
        <v>3760</v>
      </c>
    </row>
    <row r="169" spans="25:29">
      <c r="AA169" t="s">
        <v>3757</v>
      </c>
      <c r="AB169" t="s">
        <v>3757</v>
      </c>
      <c r="AC169" t="s">
        <v>3757</v>
      </c>
    </row>
    <row r="170" spans="25:29">
      <c r="AA170" t="s">
        <v>2155</v>
      </c>
      <c r="AB170" t="s">
        <v>2155</v>
      </c>
      <c r="AC170" t="s">
        <v>2155</v>
      </c>
    </row>
    <row r="171" spans="25:29">
      <c r="AA171">
        <v>76.66</v>
      </c>
      <c r="AB171">
        <v>76.650000000000006</v>
      </c>
      <c r="AC171">
        <v>76.989999999999995</v>
      </c>
    </row>
    <row r="172" spans="25:29">
      <c r="Y172" s="163" t="s">
        <v>2118</v>
      </c>
      <c r="AA172" t="s">
        <v>3756</v>
      </c>
      <c r="AB172" t="s">
        <v>3756</v>
      </c>
      <c r="AC172" t="s">
        <v>3756</v>
      </c>
    </row>
    <row r="173" spans="25:29">
      <c r="AA173" t="s">
        <v>2163</v>
      </c>
      <c r="AB173" t="s">
        <v>2163</v>
      </c>
      <c r="AC173" t="s">
        <v>2163</v>
      </c>
    </row>
    <row r="174" spans="25:29">
      <c r="AA174" t="s">
        <v>3761</v>
      </c>
      <c r="AB174" t="s">
        <v>3761</v>
      </c>
      <c r="AC174" t="s">
        <v>3761</v>
      </c>
    </row>
    <row r="175" spans="25:29">
      <c r="AA175" t="s">
        <v>3757</v>
      </c>
      <c r="AB175" t="s">
        <v>3757</v>
      </c>
      <c r="AC175" t="s">
        <v>3757</v>
      </c>
    </row>
    <row r="176" spans="25:29">
      <c r="AA176" t="s">
        <v>2155</v>
      </c>
      <c r="AB176" t="s">
        <v>2155</v>
      </c>
      <c r="AC176" t="s">
        <v>2155</v>
      </c>
    </row>
    <row r="177" spans="25:29">
      <c r="AA177">
        <v>24.81</v>
      </c>
      <c r="AB177">
        <v>24.81</v>
      </c>
      <c r="AC177">
        <v>24.99</v>
      </c>
    </row>
    <row r="178" spans="25:29">
      <c r="AA178" t="s">
        <v>2167</v>
      </c>
      <c r="AB178" t="s">
        <v>2167</v>
      </c>
      <c r="AC178" t="s">
        <v>2167</v>
      </c>
    </row>
    <row r="179" spans="25:29">
      <c r="AA179" t="s">
        <v>3768</v>
      </c>
      <c r="AB179" t="s">
        <v>3768</v>
      </c>
      <c r="AC179" t="s">
        <v>3768</v>
      </c>
    </row>
    <row r="180" spans="25:29">
      <c r="AA180" t="s">
        <v>3756</v>
      </c>
      <c r="AB180" t="s">
        <v>3756</v>
      </c>
      <c r="AC180" t="s">
        <v>3756</v>
      </c>
    </row>
    <row r="181" spans="25:29">
      <c r="AA181" t="s">
        <v>2163</v>
      </c>
      <c r="AB181" t="s">
        <v>2163</v>
      </c>
      <c r="AC181" t="s">
        <v>2163</v>
      </c>
    </row>
    <row r="182" spans="25:29">
      <c r="AA182" t="s">
        <v>3760</v>
      </c>
      <c r="AB182" t="s">
        <v>3760</v>
      </c>
      <c r="AC182" t="s">
        <v>3760</v>
      </c>
    </row>
    <row r="183" spans="25:29">
      <c r="AA183" t="s">
        <v>3757</v>
      </c>
      <c r="AB183" t="s">
        <v>3757</v>
      </c>
      <c r="AC183" t="s">
        <v>3757</v>
      </c>
    </row>
    <row r="184" spans="25:29">
      <c r="AA184" t="s">
        <v>2155</v>
      </c>
      <c r="AB184" t="s">
        <v>2155</v>
      </c>
      <c r="AC184" t="s">
        <v>2155</v>
      </c>
    </row>
    <row r="185" spans="25:29">
      <c r="AA185">
        <v>73.19</v>
      </c>
      <c r="AB185">
        <v>73.17</v>
      </c>
      <c r="AC185">
        <v>73.08</v>
      </c>
    </row>
    <row r="186" spans="25:29">
      <c r="Y186" s="163" t="s">
        <v>2118</v>
      </c>
      <c r="AA186" t="s">
        <v>3756</v>
      </c>
      <c r="AB186" t="s">
        <v>3756</v>
      </c>
      <c r="AC186" t="s">
        <v>3756</v>
      </c>
    </row>
    <row r="187" spans="25:29">
      <c r="AA187" t="s">
        <v>2163</v>
      </c>
      <c r="AB187" t="s">
        <v>2163</v>
      </c>
      <c r="AC187" t="s">
        <v>2163</v>
      </c>
    </row>
    <row r="188" spans="25:29">
      <c r="AA188" t="s">
        <v>3761</v>
      </c>
      <c r="AB188" t="s">
        <v>3761</v>
      </c>
      <c r="AC188" t="s">
        <v>3761</v>
      </c>
    </row>
    <row r="189" spans="25:29">
      <c r="AA189" t="s">
        <v>3757</v>
      </c>
      <c r="AB189" t="s">
        <v>3757</v>
      </c>
      <c r="AC189" t="s">
        <v>3757</v>
      </c>
    </row>
    <row r="190" spans="25:29">
      <c r="AA190" t="s">
        <v>2155</v>
      </c>
      <c r="AB190" t="s">
        <v>2155</v>
      </c>
      <c r="AC190" t="s">
        <v>2155</v>
      </c>
    </row>
    <row r="191" spans="25:29">
      <c r="AA191">
        <v>22.88</v>
      </c>
      <c r="AB191">
        <v>22.87</v>
      </c>
      <c r="AC191">
        <v>22.82</v>
      </c>
    </row>
    <row r="192" spans="25:29">
      <c r="AA192" t="s">
        <v>3775</v>
      </c>
      <c r="AB192" t="s">
        <v>3775</v>
      </c>
      <c r="AC192" t="s">
        <v>3775</v>
      </c>
    </row>
    <row r="193" spans="27:29">
      <c r="AA193" t="s">
        <v>3776</v>
      </c>
      <c r="AB193" t="s">
        <v>3776</v>
      </c>
      <c r="AC193" t="s">
        <v>3776</v>
      </c>
    </row>
    <row r="194" spans="27:29">
      <c r="AA194" t="s">
        <v>3756</v>
      </c>
      <c r="AB194" t="s">
        <v>3756</v>
      </c>
      <c r="AC194" t="s">
        <v>3756</v>
      </c>
    </row>
    <row r="195" spans="27:29">
      <c r="AA195" t="s">
        <v>3777</v>
      </c>
      <c r="AB195" t="s">
        <v>3777</v>
      </c>
      <c r="AC195" t="s">
        <v>3777</v>
      </c>
    </row>
    <row r="196" spans="27:29">
      <c r="AA196" t="s">
        <v>3757</v>
      </c>
      <c r="AB196" t="s">
        <v>3757</v>
      </c>
      <c r="AC196" t="s">
        <v>3757</v>
      </c>
    </row>
    <row r="197" spans="27:29">
      <c r="AA197" t="s">
        <v>2155</v>
      </c>
      <c r="AB197" t="s">
        <v>2155</v>
      </c>
      <c r="AC197" t="s">
        <v>2155</v>
      </c>
    </row>
    <row r="198" spans="27:29">
      <c r="AA198">
        <v>0.33</v>
      </c>
      <c r="AB198">
        <v>0.33</v>
      </c>
      <c r="AC198">
        <v>0.27</v>
      </c>
    </row>
    <row r="199" spans="27:29">
      <c r="AA199" t="s">
        <v>3756</v>
      </c>
      <c r="AB199" t="s">
        <v>3756</v>
      </c>
      <c r="AC199" t="s">
        <v>3756</v>
      </c>
    </row>
    <row r="200" spans="27:29">
      <c r="AA200" t="s">
        <v>3778</v>
      </c>
      <c r="AB200" t="s">
        <v>3778</v>
      </c>
      <c r="AC200" t="s">
        <v>3778</v>
      </c>
    </row>
    <row r="201" spans="27:29">
      <c r="AA201" t="s">
        <v>3757</v>
      </c>
      <c r="AB201" t="s">
        <v>3757</v>
      </c>
      <c r="AC201" t="s">
        <v>3757</v>
      </c>
    </row>
    <row r="202" spans="27:29">
      <c r="AA202" t="s">
        <v>2155</v>
      </c>
      <c r="AB202" t="s">
        <v>2155</v>
      </c>
      <c r="AC202" t="s">
        <v>2155</v>
      </c>
    </row>
    <row r="203" spans="27:29">
      <c r="AA203">
        <v>81</v>
      </c>
      <c r="AB203">
        <v>81</v>
      </c>
      <c r="AC203">
        <v>67</v>
      </c>
    </row>
    <row r="204" spans="27:29">
      <c r="AA204" t="s">
        <v>3775</v>
      </c>
      <c r="AB204" t="s">
        <v>3775</v>
      </c>
      <c r="AC204" t="s">
        <v>3775</v>
      </c>
    </row>
    <row r="205" spans="27:29">
      <c r="AA205" t="s">
        <v>3779</v>
      </c>
      <c r="AB205" t="s">
        <v>3779</v>
      </c>
      <c r="AC205" t="s">
        <v>3779</v>
      </c>
    </row>
    <row r="206" spans="27:29">
      <c r="AA206" t="s">
        <v>3756</v>
      </c>
      <c r="AB206" t="s">
        <v>3756</v>
      </c>
      <c r="AC206" t="s">
        <v>3756</v>
      </c>
    </row>
    <row r="207" spans="27:29">
      <c r="AA207" t="s">
        <v>3777</v>
      </c>
      <c r="AB207" t="s">
        <v>3777</v>
      </c>
      <c r="AC207" t="s">
        <v>3777</v>
      </c>
    </row>
    <row r="208" spans="27:29">
      <c r="AA208" t="s">
        <v>3757</v>
      </c>
      <c r="AB208" t="s">
        <v>3757</v>
      </c>
      <c r="AC208" t="s">
        <v>3757</v>
      </c>
    </row>
    <row r="209" spans="25:29">
      <c r="AA209" t="s">
        <v>2155</v>
      </c>
      <c r="AB209" t="s">
        <v>2155</v>
      </c>
      <c r="AC209" t="s">
        <v>2155</v>
      </c>
    </row>
    <row r="210" spans="25:29">
      <c r="AA210">
        <v>0.42</v>
      </c>
      <c r="AB210">
        <v>0.42</v>
      </c>
      <c r="AC210">
        <v>0.35</v>
      </c>
    </row>
    <row r="211" spans="25:29">
      <c r="Y211" s="163" t="s">
        <v>2118</v>
      </c>
      <c r="AA211" t="s">
        <v>3756</v>
      </c>
      <c r="AB211" t="s">
        <v>3756</v>
      </c>
      <c r="AC211" t="s">
        <v>3756</v>
      </c>
    </row>
    <row r="212" spans="25:29">
      <c r="AA212" t="s">
        <v>3778</v>
      </c>
      <c r="AB212" t="s">
        <v>3778</v>
      </c>
      <c r="AC212" t="s">
        <v>3778</v>
      </c>
    </row>
    <row r="213" spans="25:29">
      <c r="AA213" t="s">
        <v>3757</v>
      </c>
      <c r="AB213" t="s">
        <v>3757</v>
      </c>
      <c r="AC213" t="s">
        <v>3757</v>
      </c>
    </row>
    <row r="214" spans="25:29">
      <c r="AA214" t="s">
        <v>2155</v>
      </c>
      <c r="AB214" t="s">
        <v>2155</v>
      </c>
      <c r="AC214" t="s">
        <v>2155</v>
      </c>
    </row>
    <row r="215" spans="25:29">
      <c r="AA215">
        <v>106</v>
      </c>
      <c r="AB215">
        <v>106</v>
      </c>
      <c r="AC215">
        <v>87</v>
      </c>
    </row>
    <row r="216" spans="25:29">
      <c r="AA216" t="s">
        <v>3780</v>
      </c>
      <c r="AB216" t="s">
        <v>3780</v>
      </c>
      <c r="AC216" t="s">
        <v>3780</v>
      </c>
    </row>
    <row r="217" spans="25:29">
      <c r="AA217" t="s">
        <v>3755</v>
      </c>
      <c r="AB217" t="s">
        <v>3755</v>
      </c>
      <c r="AC217" t="s">
        <v>3755</v>
      </c>
    </row>
    <row r="218" spans="25:29">
      <c r="AA218" t="s">
        <v>3756</v>
      </c>
      <c r="AB218" t="s">
        <v>3756</v>
      </c>
      <c r="AC218" t="s">
        <v>3756</v>
      </c>
    </row>
    <row r="219" spans="25:29">
      <c r="AA219" t="s">
        <v>2161</v>
      </c>
      <c r="AB219" t="s">
        <v>2161</v>
      </c>
      <c r="AC219" t="s">
        <v>2161</v>
      </c>
    </row>
    <row r="220" spans="25:29">
      <c r="AA220" t="s">
        <v>2162</v>
      </c>
      <c r="AB220" t="s">
        <v>2162</v>
      </c>
      <c r="AC220" t="s">
        <v>2162</v>
      </c>
    </row>
    <row r="221" spans="25:29">
      <c r="AA221" t="s">
        <v>3757</v>
      </c>
      <c r="AB221" t="s">
        <v>3757</v>
      </c>
      <c r="AC221" t="s">
        <v>3757</v>
      </c>
    </row>
    <row r="222" spans="25:29">
      <c r="AA222" t="s">
        <v>2155</v>
      </c>
      <c r="AB222" t="s">
        <v>2155</v>
      </c>
      <c r="AC222" t="s">
        <v>2155</v>
      </c>
    </row>
    <row r="223" spans="25:29">
      <c r="AA223" s="913">
        <v>601983</v>
      </c>
      <c r="AB223" s="913">
        <v>903755</v>
      </c>
      <c r="AC223" s="913">
        <v>242552</v>
      </c>
    </row>
    <row r="224" spans="25:29">
      <c r="Y224" s="163" t="s">
        <v>2118</v>
      </c>
      <c r="AA224" t="s">
        <v>3756</v>
      </c>
      <c r="AB224" t="s">
        <v>3756</v>
      </c>
      <c r="AC224" t="s">
        <v>3756</v>
      </c>
    </row>
    <row r="225" spans="25:29">
      <c r="AA225" t="s">
        <v>3758</v>
      </c>
      <c r="AB225" t="s">
        <v>3758</v>
      </c>
      <c r="AC225" t="s">
        <v>3758</v>
      </c>
    </row>
    <row r="226" spans="25:29">
      <c r="AA226" t="s">
        <v>3757</v>
      </c>
      <c r="AB226" t="s">
        <v>3757</v>
      </c>
      <c r="AC226" t="s">
        <v>3757</v>
      </c>
    </row>
    <row r="227" spans="25:29">
      <c r="AA227" t="s">
        <v>2155</v>
      </c>
      <c r="AB227" t="s">
        <v>2155</v>
      </c>
      <c r="AC227" t="s">
        <v>2155</v>
      </c>
    </row>
    <row r="228" spans="25:29">
      <c r="AA228">
        <v>176.4</v>
      </c>
      <c r="AB228">
        <v>264.89999999999998</v>
      </c>
      <c r="AC228">
        <v>71.099999999999994</v>
      </c>
    </row>
    <row r="229" spans="25:29">
      <c r="AA229" t="s">
        <v>2168</v>
      </c>
      <c r="AB229" t="s">
        <v>2168</v>
      </c>
      <c r="AC229" t="s">
        <v>2168</v>
      </c>
    </row>
    <row r="230" spans="25:29">
      <c r="AA230" t="s">
        <v>3755</v>
      </c>
      <c r="AB230" t="s">
        <v>3755</v>
      </c>
      <c r="AC230" t="s">
        <v>3755</v>
      </c>
    </row>
    <row r="231" spans="25:29">
      <c r="AA231" t="s">
        <v>3756</v>
      </c>
      <c r="AB231" t="s">
        <v>3756</v>
      </c>
      <c r="AC231" t="s">
        <v>3756</v>
      </c>
    </row>
    <row r="232" spans="25:29">
      <c r="AA232" t="s">
        <v>2161</v>
      </c>
      <c r="AB232" t="s">
        <v>2161</v>
      </c>
      <c r="AC232" t="s">
        <v>2161</v>
      </c>
    </row>
    <row r="233" spans="25:29">
      <c r="AA233" t="s">
        <v>2162</v>
      </c>
      <c r="AB233" t="s">
        <v>2162</v>
      </c>
      <c r="AC233" t="s">
        <v>2162</v>
      </c>
    </row>
    <row r="234" spans="25:29">
      <c r="AA234" t="s">
        <v>3757</v>
      </c>
      <c r="AB234" t="s">
        <v>3757</v>
      </c>
      <c r="AC234" t="s">
        <v>3757</v>
      </c>
    </row>
    <row r="235" spans="25:29">
      <c r="AA235" t="s">
        <v>2155</v>
      </c>
      <c r="AB235" t="s">
        <v>2155</v>
      </c>
      <c r="AC235" t="s">
        <v>2155</v>
      </c>
    </row>
    <row r="236" spans="25:29">
      <c r="AA236" s="913">
        <v>423194</v>
      </c>
      <c r="AB236" s="913">
        <v>635340</v>
      </c>
      <c r="AC236" s="913">
        <v>167846</v>
      </c>
    </row>
    <row r="237" spans="25:29">
      <c r="Y237" s="163" t="s">
        <v>2118</v>
      </c>
      <c r="AA237" t="s">
        <v>3756</v>
      </c>
      <c r="AB237" t="s">
        <v>3756</v>
      </c>
      <c r="AC237" t="s">
        <v>3756</v>
      </c>
    </row>
    <row r="238" spans="25:29">
      <c r="AA238" t="s">
        <v>3758</v>
      </c>
      <c r="AB238" t="s">
        <v>3758</v>
      </c>
      <c r="AC238" t="s">
        <v>3758</v>
      </c>
    </row>
    <row r="239" spans="25:29">
      <c r="AA239" t="s">
        <v>3757</v>
      </c>
      <c r="AB239" t="s">
        <v>3757</v>
      </c>
      <c r="AC239" t="s">
        <v>3757</v>
      </c>
    </row>
    <row r="240" spans="25:29">
      <c r="AA240" t="s">
        <v>2155</v>
      </c>
      <c r="AB240" t="s">
        <v>2155</v>
      </c>
      <c r="AC240" t="s">
        <v>2155</v>
      </c>
    </row>
    <row r="241" spans="25:29">
      <c r="AA241">
        <v>124</v>
      </c>
      <c r="AB241">
        <v>186.2</v>
      </c>
      <c r="AC241">
        <v>49.2</v>
      </c>
    </row>
    <row r="242" spans="25:29">
      <c r="AA242" t="s">
        <v>2169</v>
      </c>
      <c r="AB242" t="s">
        <v>2169</v>
      </c>
      <c r="AC242" t="s">
        <v>2169</v>
      </c>
    </row>
    <row r="243" spans="25:29">
      <c r="AA243" t="s">
        <v>3781</v>
      </c>
      <c r="AB243" t="s">
        <v>3781</v>
      </c>
      <c r="AC243" t="s">
        <v>3781</v>
      </c>
    </row>
    <row r="244" spans="25:29">
      <c r="AA244" t="s">
        <v>3756</v>
      </c>
      <c r="AB244" t="s">
        <v>3756</v>
      </c>
      <c r="AC244" t="s">
        <v>3756</v>
      </c>
    </row>
    <row r="245" spans="25:29">
      <c r="AA245" t="s">
        <v>3782</v>
      </c>
      <c r="AB245" t="s">
        <v>3782</v>
      </c>
      <c r="AC245" t="s">
        <v>3782</v>
      </c>
    </row>
    <row r="246" spans="25:29">
      <c r="AA246" t="s">
        <v>3757</v>
      </c>
      <c r="AB246" t="s">
        <v>3757</v>
      </c>
      <c r="AC246" t="s">
        <v>3757</v>
      </c>
    </row>
    <row r="247" spans="25:29">
      <c r="AA247" t="s">
        <v>2155</v>
      </c>
      <c r="AB247" t="s">
        <v>2155</v>
      </c>
      <c r="AC247" t="s">
        <v>2155</v>
      </c>
    </row>
    <row r="248" spans="25:29">
      <c r="AA248">
        <v>497</v>
      </c>
      <c r="AB248">
        <v>497</v>
      </c>
      <c r="AC248">
        <v>480</v>
      </c>
    </row>
    <row r="249" spans="25:29">
      <c r="Y249" s="163" t="s">
        <v>2118</v>
      </c>
      <c r="AA249" t="s">
        <v>3756</v>
      </c>
      <c r="AB249" t="s">
        <v>3756</v>
      </c>
      <c r="AC249" t="s">
        <v>3756</v>
      </c>
    </row>
    <row r="250" spans="25:29">
      <c r="AA250" t="s">
        <v>3783</v>
      </c>
      <c r="AB250" t="s">
        <v>3783</v>
      </c>
      <c r="AC250" t="s">
        <v>3783</v>
      </c>
    </row>
    <row r="251" spans="25:29">
      <c r="AA251" t="s">
        <v>3765</v>
      </c>
      <c r="AB251" t="s">
        <v>3765</v>
      </c>
      <c r="AC251" t="s">
        <v>3765</v>
      </c>
    </row>
    <row r="252" spans="25:29">
      <c r="AA252" t="s">
        <v>3757</v>
      </c>
      <c r="AB252" t="s">
        <v>3757</v>
      </c>
      <c r="AC252" t="s">
        <v>3757</v>
      </c>
    </row>
    <row r="253" spans="25:29">
      <c r="AA253" t="s">
        <v>2155</v>
      </c>
      <c r="AB253" t="s">
        <v>2155</v>
      </c>
      <c r="AC253" t="s">
        <v>2155</v>
      </c>
    </row>
    <row r="254" spans="25:29">
      <c r="AA254">
        <v>2.52</v>
      </c>
      <c r="AB254">
        <v>2.52</v>
      </c>
      <c r="AC254">
        <v>2.44</v>
      </c>
    </row>
    <row r="255" spans="25:29">
      <c r="AA255" t="s">
        <v>2170</v>
      </c>
      <c r="AB255" t="s">
        <v>2170</v>
      </c>
      <c r="AC255" t="s">
        <v>2170</v>
      </c>
    </row>
    <row r="256" spans="25:29">
      <c r="AA256" t="s">
        <v>2171</v>
      </c>
      <c r="AB256" t="s">
        <v>2171</v>
      </c>
      <c r="AC256" t="s">
        <v>2171</v>
      </c>
    </row>
    <row r="257" spans="27:29">
      <c r="AA257" t="s">
        <v>3784</v>
      </c>
      <c r="AB257" t="s">
        <v>3784</v>
      </c>
      <c r="AC257" t="s">
        <v>3784</v>
      </c>
    </row>
    <row r="258" spans="27:29">
      <c r="AA258" t="s">
        <v>2155</v>
      </c>
      <c r="AB258" t="s">
        <v>2155</v>
      </c>
      <c r="AC258" t="s">
        <v>2155</v>
      </c>
    </row>
    <row r="259" spans="27:29">
      <c r="AA259">
        <v>42</v>
      </c>
      <c r="AB259">
        <v>63</v>
      </c>
      <c r="AC259">
        <v>30</v>
      </c>
    </row>
    <row r="260" spans="27:29">
      <c r="AA260" t="s">
        <v>3780</v>
      </c>
      <c r="AB260" t="s">
        <v>3780</v>
      </c>
      <c r="AC260" t="s">
        <v>3780</v>
      </c>
    </row>
    <row r="261" spans="27:29">
      <c r="AA261" t="s">
        <v>3781</v>
      </c>
      <c r="AB261" t="s">
        <v>3781</v>
      </c>
      <c r="AC261" t="s">
        <v>3781</v>
      </c>
    </row>
    <row r="262" spans="27:29">
      <c r="AA262" t="s">
        <v>3756</v>
      </c>
      <c r="AB262" t="s">
        <v>3756</v>
      </c>
      <c r="AC262" t="s">
        <v>3756</v>
      </c>
    </row>
    <row r="263" spans="27:29">
      <c r="AA263" t="s">
        <v>3782</v>
      </c>
      <c r="AB263" t="s">
        <v>3782</v>
      </c>
      <c r="AC263" t="s">
        <v>3782</v>
      </c>
    </row>
    <row r="264" spans="27:29">
      <c r="AA264" t="s">
        <v>3757</v>
      </c>
      <c r="AB264" t="s">
        <v>3757</v>
      </c>
      <c r="AC264" t="s">
        <v>3757</v>
      </c>
    </row>
    <row r="265" spans="27:29">
      <c r="AA265" t="s">
        <v>2155</v>
      </c>
      <c r="AB265" t="s">
        <v>2155</v>
      </c>
      <c r="AC265" t="s">
        <v>2155</v>
      </c>
    </row>
    <row r="266" spans="27:29">
      <c r="AA266">
        <v>591</v>
      </c>
      <c r="AB266">
        <v>640</v>
      </c>
      <c r="AC266">
        <v>649</v>
      </c>
    </row>
    <row r="267" spans="27:29">
      <c r="AA267" t="s">
        <v>3756</v>
      </c>
      <c r="AB267" t="s">
        <v>3756</v>
      </c>
      <c r="AC267" t="s">
        <v>3756</v>
      </c>
    </row>
    <row r="268" spans="27:29">
      <c r="AA268" t="s">
        <v>3783</v>
      </c>
      <c r="AB268" t="s">
        <v>3783</v>
      </c>
      <c r="AC268" t="s">
        <v>3783</v>
      </c>
    </row>
    <row r="269" spans="27:29">
      <c r="AA269" t="s">
        <v>3765</v>
      </c>
      <c r="AB269" t="s">
        <v>3765</v>
      </c>
      <c r="AC269" t="s">
        <v>3765</v>
      </c>
    </row>
    <row r="270" spans="27:29">
      <c r="AA270" t="s">
        <v>3757</v>
      </c>
      <c r="AB270" t="s">
        <v>3757</v>
      </c>
      <c r="AC270" t="s">
        <v>3757</v>
      </c>
    </row>
    <row r="271" spans="27:29">
      <c r="AA271" t="s">
        <v>2155</v>
      </c>
      <c r="AB271" t="s">
        <v>2155</v>
      </c>
      <c r="AC271" t="s">
        <v>2155</v>
      </c>
    </row>
    <row r="272" spans="27:29">
      <c r="AA272">
        <v>3</v>
      </c>
      <c r="AB272">
        <v>3.25</v>
      </c>
      <c r="AC272">
        <v>3.3</v>
      </c>
    </row>
    <row r="273" spans="25:29">
      <c r="AA273" t="s">
        <v>3785</v>
      </c>
      <c r="AB273" t="s">
        <v>3785</v>
      </c>
      <c r="AC273" t="s">
        <v>3785</v>
      </c>
    </row>
    <row r="274" spans="25:29">
      <c r="AA274" t="s">
        <v>3786</v>
      </c>
      <c r="AB274" t="s">
        <v>3786</v>
      </c>
      <c r="AC274" t="s">
        <v>3786</v>
      </c>
    </row>
    <row r="275" spans="25:29">
      <c r="AA275" t="s">
        <v>3756</v>
      </c>
      <c r="AB275" t="s">
        <v>3756</v>
      </c>
      <c r="AC275" t="s">
        <v>3756</v>
      </c>
    </row>
    <row r="276" spans="25:29">
      <c r="AA276" t="s">
        <v>2163</v>
      </c>
      <c r="AB276" t="s">
        <v>2163</v>
      </c>
      <c r="AC276" t="s">
        <v>2163</v>
      </c>
    </row>
    <row r="277" spans="25:29">
      <c r="AA277" t="s">
        <v>3760</v>
      </c>
      <c r="AB277" t="s">
        <v>3760</v>
      </c>
      <c r="AC277" t="s">
        <v>3760</v>
      </c>
    </row>
    <row r="278" spans="25:29">
      <c r="AA278" t="s">
        <v>3757</v>
      </c>
      <c r="AB278" t="s">
        <v>3757</v>
      </c>
      <c r="AC278" t="s">
        <v>3757</v>
      </c>
    </row>
    <row r="279" spans="25:29">
      <c r="AA279" t="s">
        <v>2155</v>
      </c>
      <c r="AB279" t="s">
        <v>2155</v>
      </c>
      <c r="AC279" t="s">
        <v>2155</v>
      </c>
    </row>
    <row r="280" spans="25:29">
      <c r="AA280">
        <v>49.93</v>
      </c>
      <c r="AB280">
        <v>49.89</v>
      </c>
      <c r="AC280">
        <v>47.1</v>
      </c>
    </row>
    <row r="281" spans="25:29">
      <c r="Y281" s="163" t="s">
        <v>2118</v>
      </c>
      <c r="AA281" t="s">
        <v>3756</v>
      </c>
      <c r="AB281" t="s">
        <v>3756</v>
      </c>
      <c r="AC281" t="s">
        <v>3756</v>
      </c>
    </row>
    <row r="282" spans="25:29">
      <c r="AA282" t="s">
        <v>2163</v>
      </c>
      <c r="AB282" t="s">
        <v>2163</v>
      </c>
      <c r="AC282" t="s">
        <v>2163</v>
      </c>
    </row>
    <row r="283" spans="25:29">
      <c r="AA283" t="s">
        <v>3761</v>
      </c>
      <c r="AB283" t="s">
        <v>3761</v>
      </c>
      <c r="AC283" t="s">
        <v>3761</v>
      </c>
    </row>
    <row r="284" spans="25:29">
      <c r="AA284" t="s">
        <v>3757</v>
      </c>
      <c r="AB284" t="s">
        <v>3757</v>
      </c>
      <c r="AC284" t="s">
        <v>3757</v>
      </c>
    </row>
    <row r="285" spans="25:29">
      <c r="AA285" t="s">
        <v>2155</v>
      </c>
      <c r="AB285" t="s">
        <v>2155</v>
      </c>
      <c r="AC285" t="s">
        <v>2155</v>
      </c>
    </row>
    <row r="286" spans="25:29">
      <c r="AA286">
        <v>9.9600000000000009</v>
      </c>
      <c r="AB286">
        <v>9.94</v>
      </c>
      <c r="AC286">
        <v>8.39</v>
      </c>
    </row>
    <row r="287" spans="25:29">
      <c r="AA287" t="s">
        <v>3787</v>
      </c>
      <c r="AB287" t="s">
        <v>3787</v>
      </c>
      <c r="AC287" t="s">
        <v>3787</v>
      </c>
    </row>
    <row r="288" spans="25:29">
      <c r="AA288" t="s">
        <v>3788</v>
      </c>
      <c r="AB288" t="s">
        <v>3788</v>
      </c>
      <c r="AC288" t="s">
        <v>3788</v>
      </c>
    </row>
    <row r="289" spans="25:29">
      <c r="AA289" t="s">
        <v>3756</v>
      </c>
      <c r="AB289" t="s">
        <v>3756</v>
      </c>
      <c r="AC289" t="s">
        <v>3756</v>
      </c>
    </row>
    <row r="290" spans="25:29">
      <c r="AA290" t="s">
        <v>2163</v>
      </c>
      <c r="AB290" t="s">
        <v>2163</v>
      </c>
      <c r="AC290" t="s">
        <v>2163</v>
      </c>
    </row>
    <row r="291" spans="25:29">
      <c r="AA291" t="s">
        <v>3760</v>
      </c>
      <c r="AB291" t="s">
        <v>3760</v>
      </c>
      <c r="AC291" t="s">
        <v>3760</v>
      </c>
    </row>
    <row r="292" spans="25:29">
      <c r="AA292" t="s">
        <v>3757</v>
      </c>
      <c r="AB292" t="s">
        <v>3757</v>
      </c>
      <c r="AC292" t="s">
        <v>3757</v>
      </c>
    </row>
    <row r="293" spans="25:29">
      <c r="AA293" t="s">
        <v>2155</v>
      </c>
      <c r="AB293" t="s">
        <v>2155</v>
      </c>
      <c r="AC293" t="s">
        <v>2155</v>
      </c>
    </row>
    <row r="294" spans="25:29">
      <c r="AA294">
        <v>138</v>
      </c>
      <c r="AB294">
        <v>138</v>
      </c>
      <c r="AC294">
        <v>136</v>
      </c>
    </row>
    <row r="295" spans="25:29">
      <c r="Y295" s="163" t="s">
        <v>2118</v>
      </c>
      <c r="AA295" t="s">
        <v>3756</v>
      </c>
      <c r="AB295" t="s">
        <v>3756</v>
      </c>
      <c r="AC295" t="s">
        <v>3756</v>
      </c>
    </row>
    <row r="296" spans="25:29">
      <c r="AA296" t="s">
        <v>2163</v>
      </c>
      <c r="AB296" t="s">
        <v>2163</v>
      </c>
      <c r="AC296" t="s">
        <v>2163</v>
      </c>
    </row>
    <row r="297" spans="25:29">
      <c r="AA297" t="s">
        <v>3761</v>
      </c>
      <c r="AB297" t="s">
        <v>3761</v>
      </c>
      <c r="AC297" t="s">
        <v>3761</v>
      </c>
    </row>
    <row r="298" spans="25:29">
      <c r="AA298" t="s">
        <v>3757</v>
      </c>
      <c r="AB298" t="s">
        <v>3757</v>
      </c>
      <c r="AC298" t="s">
        <v>3757</v>
      </c>
    </row>
    <row r="299" spans="25:29">
      <c r="AA299" t="s">
        <v>2155</v>
      </c>
      <c r="AB299" t="s">
        <v>2155</v>
      </c>
      <c r="AC299" t="s">
        <v>2155</v>
      </c>
    </row>
    <row r="300" spans="25:29">
      <c r="AA300">
        <v>58.89</v>
      </c>
      <c r="AB300">
        <v>58.89</v>
      </c>
      <c r="AC300">
        <v>57.78</v>
      </c>
    </row>
    <row r="301" spans="25:29">
      <c r="AA301" t="s">
        <v>3789</v>
      </c>
      <c r="AB301" t="s">
        <v>3789</v>
      </c>
      <c r="AC301" t="s">
        <v>3789</v>
      </c>
    </row>
    <row r="302" spans="25:29">
      <c r="AA302" t="s">
        <v>3750</v>
      </c>
      <c r="AB302" t="s">
        <v>3750</v>
      </c>
      <c r="AC302" t="s">
        <v>3750</v>
      </c>
    </row>
    <row r="303" spans="25:29">
      <c r="AA303" t="s">
        <v>3748</v>
      </c>
      <c r="AB303" t="s">
        <v>3748</v>
      </c>
      <c r="AC303" t="s">
        <v>3748</v>
      </c>
    </row>
    <row r="304" spans="25:29">
      <c r="AA304" t="s">
        <v>3756</v>
      </c>
      <c r="AB304" t="s">
        <v>3756</v>
      </c>
      <c r="AC304" t="s">
        <v>3756</v>
      </c>
    </row>
    <row r="305" spans="25:29">
      <c r="AA305" t="s">
        <v>3758</v>
      </c>
      <c r="AB305" t="s">
        <v>3758</v>
      </c>
      <c r="AC305" t="s">
        <v>3758</v>
      </c>
    </row>
    <row r="306" spans="25:29">
      <c r="AA306" t="s">
        <v>3757</v>
      </c>
      <c r="AB306" t="s">
        <v>3757</v>
      </c>
      <c r="AC306" t="s">
        <v>3757</v>
      </c>
    </row>
    <row r="307" spans="25:29">
      <c r="AA307" t="s">
        <v>2155</v>
      </c>
      <c r="AB307" t="s">
        <v>2155</v>
      </c>
      <c r="AC307" t="s">
        <v>2155</v>
      </c>
    </row>
    <row r="308" spans="25:29">
      <c r="AA308">
        <v>58.74</v>
      </c>
      <c r="AB308">
        <v>87.92</v>
      </c>
      <c r="AC308">
        <v>23.93</v>
      </c>
    </row>
    <row r="309" spans="25:29">
      <c r="Y309" s="163" t="s">
        <v>2118</v>
      </c>
      <c r="AA309" t="s">
        <v>3790</v>
      </c>
      <c r="AB309" t="s">
        <v>3790</v>
      </c>
      <c r="AC309" t="s">
        <v>3790</v>
      </c>
    </row>
    <row r="310" spans="25:29">
      <c r="AA310" t="s">
        <v>3749</v>
      </c>
      <c r="AB310" t="s">
        <v>3749</v>
      </c>
      <c r="AC310" t="s">
        <v>3749</v>
      </c>
    </row>
    <row r="311" spans="25:29" ht="30">
      <c r="AA311" s="777" t="s">
        <v>2159</v>
      </c>
      <c r="AB311" s="777" t="s">
        <v>2159</v>
      </c>
      <c r="AC311" s="777" t="s">
        <v>2159</v>
      </c>
    </row>
    <row r="312" spans="25:29">
      <c r="AA312" t="s">
        <v>3791</v>
      </c>
      <c r="AB312" t="s">
        <v>3791</v>
      </c>
      <c r="AC312" t="s">
        <v>3791</v>
      </c>
    </row>
    <row r="313" spans="25:29">
      <c r="AA313" t="s">
        <v>2155</v>
      </c>
      <c r="AB313" t="s">
        <v>2155</v>
      </c>
      <c r="AC313" t="s">
        <v>2155</v>
      </c>
    </row>
    <row r="314" spans="25:29" ht="30">
      <c r="AA314" s="777" t="s">
        <v>3792</v>
      </c>
      <c r="AB314" s="777" t="s">
        <v>3792</v>
      </c>
      <c r="AC314" s="777" t="s">
        <v>3792</v>
      </c>
    </row>
    <row r="315" spans="25:29">
      <c r="Y315" s="163" t="s">
        <v>2118</v>
      </c>
      <c r="AA315" t="s">
        <v>3793</v>
      </c>
      <c r="AB315" t="s">
        <v>3793</v>
      </c>
      <c r="AC315" t="s">
        <v>3793</v>
      </c>
    </row>
    <row r="316" spans="25:29">
      <c r="AA316" t="s">
        <v>3749</v>
      </c>
      <c r="AB316" t="s">
        <v>3749</v>
      </c>
      <c r="AC316" t="s">
        <v>3749</v>
      </c>
    </row>
    <row r="317" spans="25:29" ht="30">
      <c r="AA317" s="777" t="s">
        <v>2159</v>
      </c>
      <c r="AB317" s="777" t="s">
        <v>2159</v>
      </c>
      <c r="AC317" s="777" t="s">
        <v>2159</v>
      </c>
    </row>
    <row r="318" spans="25:29">
      <c r="AA318" t="s">
        <v>3794</v>
      </c>
      <c r="AB318" t="s">
        <v>3794</v>
      </c>
      <c r="AC318" t="s">
        <v>3794</v>
      </c>
    </row>
    <row r="319" spans="25:29">
      <c r="AA319" t="s">
        <v>2172</v>
      </c>
      <c r="AB319" t="s">
        <v>2172</v>
      </c>
      <c r="AC319" t="s">
        <v>2172</v>
      </c>
    </row>
    <row r="320" spans="25:29" ht="30">
      <c r="AA320" s="777" t="s">
        <v>2159</v>
      </c>
      <c r="AB320" s="777" t="s">
        <v>2159</v>
      </c>
      <c r="AC320" s="777" t="s">
        <v>2159</v>
      </c>
    </row>
    <row r="321" spans="27:29">
      <c r="AA321" t="s">
        <v>3795</v>
      </c>
      <c r="AB321" t="s">
        <v>3795</v>
      </c>
      <c r="AC321" t="s">
        <v>3795</v>
      </c>
    </row>
    <row r="322" spans="27:29">
      <c r="AA322" t="s">
        <v>3756</v>
      </c>
      <c r="AB322" t="s">
        <v>3756</v>
      </c>
      <c r="AC322" t="s">
        <v>3756</v>
      </c>
    </row>
    <row r="323" spans="27:29">
      <c r="AA323" t="s">
        <v>2173</v>
      </c>
      <c r="AB323" t="s">
        <v>2173</v>
      </c>
      <c r="AC323" t="s">
        <v>2173</v>
      </c>
    </row>
    <row r="324" spans="27:29">
      <c r="AA324" t="s">
        <v>3796</v>
      </c>
      <c r="AB324" t="s">
        <v>3796</v>
      </c>
      <c r="AC324" t="s">
        <v>3796</v>
      </c>
    </row>
    <row r="325" spans="27:29">
      <c r="AA325" t="s">
        <v>3757</v>
      </c>
      <c r="AB325" t="s">
        <v>3757</v>
      </c>
      <c r="AC325" t="s">
        <v>3757</v>
      </c>
    </row>
    <row r="326" spans="27:29">
      <c r="AA326" t="s">
        <v>2155</v>
      </c>
      <c r="AB326" t="s">
        <v>2155</v>
      </c>
      <c r="AC326" t="s">
        <v>2155</v>
      </c>
    </row>
    <row r="327" spans="27:29">
      <c r="AA327">
        <v>20.13</v>
      </c>
      <c r="AB327">
        <v>30.19</v>
      </c>
      <c r="AC327">
        <v>8.33</v>
      </c>
    </row>
    <row r="328" spans="27:29">
      <c r="AA328" t="s">
        <v>3756</v>
      </c>
      <c r="AB328" t="s">
        <v>3756</v>
      </c>
      <c r="AC328" t="s">
        <v>3756</v>
      </c>
    </row>
    <row r="329" spans="27:29">
      <c r="AA329" t="s">
        <v>3797</v>
      </c>
      <c r="AB329" t="s">
        <v>3797</v>
      </c>
      <c r="AC329" t="s">
        <v>3797</v>
      </c>
    </row>
    <row r="330" spans="27:29">
      <c r="AA330" t="s">
        <v>3796</v>
      </c>
      <c r="AB330" t="s">
        <v>3796</v>
      </c>
      <c r="AC330" t="s">
        <v>3796</v>
      </c>
    </row>
    <row r="331" spans="27:29">
      <c r="AA331" t="s">
        <v>3757</v>
      </c>
      <c r="AB331" t="s">
        <v>3757</v>
      </c>
      <c r="AC331" t="s">
        <v>3757</v>
      </c>
    </row>
    <row r="332" spans="27:29">
      <c r="AA332" t="s">
        <v>2155</v>
      </c>
      <c r="AB332" t="s">
        <v>2155</v>
      </c>
      <c r="AC332" t="s">
        <v>2155</v>
      </c>
    </row>
    <row r="333" spans="27:29">
      <c r="AA333">
        <v>1.87</v>
      </c>
      <c r="AB333">
        <v>2.8</v>
      </c>
      <c r="AC333">
        <v>0.77</v>
      </c>
    </row>
    <row r="334" spans="27:29">
      <c r="AA334" t="s">
        <v>2174</v>
      </c>
      <c r="AB334" t="s">
        <v>2174</v>
      </c>
      <c r="AC334" t="s">
        <v>2174</v>
      </c>
    </row>
    <row r="335" spans="27:29">
      <c r="AA335" t="s">
        <v>3798</v>
      </c>
      <c r="AB335" t="s">
        <v>3798</v>
      </c>
      <c r="AC335" t="s">
        <v>3798</v>
      </c>
    </row>
    <row r="336" spans="27:29">
      <c r="AA336" t="s">
        <v>3799</v>
      </c>
      <c r="AB336" t="s">
        <v>3799</v>
      </c>
      <c r="AC336" t="s">
        <v>3799</v>
      </c>
    </row>
    <row r="337" spans="27:29">
      <c r="AA337" t="s">
        <v>2155</v>
      </c>
      <c r="AB337" t="s">
        <v>2155</v>
      </c>
      <c r="AC337" t="s">
        <v>2155</v>
      </c>
    </row>
    <row r="338" spans="27:29">
      <c r="AA338">
        <v>14</v>
      </c>
      <c r="AB338">
        <v>14</v>
      </c>
      <c r="AC338">
        <v>12</v>
      </c>
    </row>
    <row r="339" spans="27:29">
      <c r="AA339" t="s">
        <v>2174</v>
      </c>
      <c r="AB339" t="s">
        <v>2174</v>
      </c>
      <c r="AC339" t="s">
        <v>2174</v>
      </c>
    </row>
    <row r="340" spans="27:29">
      <c r="AA340" t="s">
        <v>3798</v>
      </c>
      <c r="AB340" t="s">
        <v>3798</v>
      </c>
      <c r="AC340" t="s">
        <v>3798</v>
      </c>
    </row>
    <row r="341" spans="27:29">
      <c r="AA341" t="s">
        <v>3800</v>
      </c>
      <c r="AB341" t="s">
        <v>3800</v>
      </c>
      <c r="AC341" t="s">
        <v>3800</v>
      </c>
    </row>
    <row r="342" spans="27:29">
      <c r="AA342" t="s">
        <v>2155</v>
      </c>
      <c r="AB342" t="s">
        <v>2155</v>
      </c>
      <c r="AC342" t="s">
        <v>2155</v>
      </c>
    </row>
    <row r="343" spans="27:29">
      <c r="AA343">
        <v>551</v>
      </c>
      <c r="AB343">
        <v>551</v>
      </c>
      <c r="AC343">
        <v>472</v>
      </c>
    </row>
    <row r="344" spans="27:29">
      <c r="AA344" t="s">
        <v>2175</v>
      </c>
      <c r="AB344" t="s">
        <v>2175</v>
      </c>
      <c r="AC344" t="s">
        <v>2175</v>
      </c>
    </row>
    <row r="345" spans="27:29">
      <c r="AA345" t="s">
        <v>2155</v>
      </c>
      <c r="AB345" t="s">
        <v>2155</v>
      </c>
      <c r="AC345" t="s">
        <v>2155</v>
      </c>
    </row>
    <row r="346" spans="27:29">
      <c r="AA346">
        <v>4</v>
      </c>
      <c r="AB346">
        <v>4</v>
      </c>
      <c r="AC346">
        <v>4</v>
      </c>
    </row>
    <row r="347" spans="27:29">
      <c r="AA347" t="s">
        <v>3801</v>
      </c>
      <c r="AB347" t="s">
        <v>3801</v>
      </c>
      <c r="AC347" t="s">
        <v>3801</v>
      </c>
    </row>
    <row r="348" spans="27:29">
      <c r="AA348" t="s">
        <v>3749</v>
      </c>
      <c r="AB348" t="s">
        <v>3749</v>
      </c>
      <c r="AC348" t="s">
        <v>3749</v>
      </c>
    </row>
    <row r="349" spans="27:29" ht="30">
      <c r="AA349" s="777" t="s">
        <v>2159</v>
      </c>
      <c r="AB349" s="777" t="s">
        <v>2159</v>
      </c>
      <c r="AC349" s="777" t="s">
        <v>2159</v>
      </c>
    </row>
    <row r="350" spans="27:29">
      <c r="AA350" t="s">
        <v>3794</v>
      </c>
      <c r="AB350" t="s">
        <v>3794</v>
      </c>
      <c r="AC350" t="s">
        <v>3794</v>
      </c>
    </row>
    <row r="351" spans="27:29">
      <c r="AA351" t="s">
        <v>2172</v>
      </c>
      <c r="AB351" t="s">
        <v>2172</v>
      </c>
      <c r="AC351" t="s">
        <v>2172</v>
      </c>
    </row>
    <row r="352" spans="27:29" ht="30">
      <c r="AA352" s="777" t="s">
        <v>2159</v>
      </c>
      <c r="AB352" s="777" t="s">
        <v>2159</v>
      </c>
      <c r="AC352" s="777" t="s">
        <v>2159</v>
      </c>
    </row>
    <row r="353" spans="27:29">
      <c r="AA353" t="s">
        <v>2170</v>
      </c>
      <c r="AB353" t="s">
        <v>2170</v>
      </c>
      <c r="AC353" t="s">
        <v>2170</v>
      </c>
    </row>
    <row r="354" spans="27:29">
      <c r="AA354" t="s">
        <v>2171</v>
      </c>
      <c r="AB354" t="s">
        <v>2171</v>
      </c>
      <c r="AC354" t="s">
        <v>2171</v>
      </c>
    </row>
    <row r="355" spans="27:29">
      <c r="AA355" t="s">
        <v>3802</v>
      </c>
      <c r="AB355" t="s">
        <v>3802</v>
      </c>
      <c r="AC355" t="s">
        <v>3802</v>
      </c>
    </row>
    <row r="356" spans="27:29">
      <c r="AA356">
        <v>2</v>
      </c>
      <c r="AB356">
        <v>4</v>
      </c>
      <c r="AC356">
        <v>1</v>
      </c>
    </row>
    <row r="357" spans="27:29" ht="30">
      <c r="AA357" s="777" t="s">
        <v>2503</v>
      </c>
      <c r="AB357" s="777" t="s">
        <v>2503</v>
      </c>
      <c r="AC357" s="777" t="s">
        <v>2503</v>
      </c>
    </row>
    <row r="358" spans="27:29">
      <c r="AA358" t="s">
        <v>2174</v>
      </c>
      <c r="AB358" t="s">
        <v>2174</v>
      </c>
      <c r="AC358" t="s">
        <v>2174</v>
      </c>
    </row>
    <row r="359" spans="27:29">
      <c r="AA359" t="s">
        <v>3798</v>
      </c>
      <c r="AB359" t="s">
        <v>3798</v>
      </c>
      <c r="AC359" t="s">
        <v>3798</v>
      </c>
    </row>
    <row r="360" spans="27:29">
      <c r="AA360" t="s">
        <v>3799</v>
      </c>
      <c r="AB360" t="s">
        <v>3799</v>
      </c>
      <c r="AC360" t="s">
        <v>3799</v>
      </c>
    </row>
    <row r="361" spans="27:29">
      <c r="AA361">
        <v>14</v>
      </c>
      <c r="AB361">
        <v>12</v>
      </c>
      <c r="AC361">
        <v>12</v>
      </c>
    </row>
    <row r="362" spans="27:29">
      <c r="AA362" t="s">
        <v>2174</v>
      </c>
      <c r="AB362" t="s">
        <v>2174</v>
      </c>
      <c r="AC362" t="s">
        <v>2174</v>
      </c>
    </row>
    <row r="363" spans="27:29">
      <c r="AA363" t="s">
        <v>3798</v>
      </c>
      <c r="AB363" t="s">
        <v>3798</v>
      </c>
      <c r="AC363" t="s">
        <v>3798</v>
      </c>
    </row>
    <row r="364" spans="27:29">
      <c r="AA364" t="s">
        <v>3800</v>
      </c>
      <c r="AB364" t="s">
        <v>3800</v>
      </c>
      <c r="AC364" t="s">
        <v>3800</v>
      </c>
    </row>
    <row r="365" spans="27:29">
      <c r="AA365" t="s">
        <v>3803</v>
      </c>
      <c r="AB365" t="s">
        <v>3803</v>
      </c>
      <c r="AC365" t="s">
        <v>3803</v>
      </c>
    </row>
    <row r="366" spans="27:29">
      <c r="AA366">
        <v>551</v>
      </c>
      <c r="AB366">
        <v>472</v>
      </c>
      <c r="AC366">
        <v>472</v>
      </c>
    </row>
    <row r="367" spans="27:29">
      <c r="AA367" t="s">
        <v>3801</v>
      </c>
      <c r="AB367" t="s">
        <v>3801</v>
      </c>
      <c r="AC367" t="s">
        <v>3801</v>
      </c>
    </row>
    <row r="368" spans="27:29">
      <c r="AA368" t="s">
        <v>3804</v>
      </c>
      <c r="AB368" t="s">
        <v>3804</v>
      </c>
      <c r="AC368" t="s">
        <v>3804</v>
      </c>
    </row>
    <row r="369" spans="27:29">
      <c r="AA369" t="s">
        <v>2155</v>
      </c>
      <c r="AB369" t="s">
        <v>2155</v>
      </c>
      <c r="AC369" t="s">
        <v>2155</v>
      </c>
    </row>
    <row r="370" spans="27:29">
      <c r="AA370">
        <v>4</v>
      </c>
      <c r="AB370">
        <v>4</v>
      </c>
      <c r="AC370">
        <v>4</v>
      </c>
    </row>
    <row r="371" spans="27:29">
      <c r="AA371" t="s">
        <v>3385</v>
      </c>
      <c r="AB371" t="s">
        <v>3385</v>
      </c>
      <c r="AC371" t="s">
        <v>3385</v>
      </c>
    </row>
    <row r="372" spans="27:29">
      <c r="AA372" t="s">
        <v>3805</v>
      </c>
      <c r="AB372" t="s">
        <v>3805</v>
      </c>
      <c r="AC372" t="s">
        <v>3805</v>
      </c>
    </row>
    <row r="373" spans="27:29">
      <c r="AA373" t="s">
        <v>3756</v>
      </c>
      <c r="AB373" t="s">
        <v>3756</v>
      </c>
      <c r="AC373" t="s">
        <v>3756</v>
      </c>
    </row>
    <row r="374" spans="27:29">
      <c r="AA374" t="s">
        <v>2173</v>
      </c>
      <c r="AB374" t="s">
        <v>2173</v>
      </c>
      <c r="AC374" t="s">
        <v>2173</v>
      </c>
    </row>
    <row r="375" spans="27:29">
      <c r="AA375" t="s">
        <v>3796</v>
      </c>
      <c r="AB375" t="s">
        <v>3796</v>
      </c>
      <c r="AC375" t="s">
        <v>3796</v>
      </c>
    </row>
    <row r="376" spans="27:29">
      <c r="AA376" t="s">
        <v>3757</v>
      </c>
      <c r="AB376" t="s">
        <v>3757</v>
      </c>
      <c r="AC376" t="s">
        <v>3757</v>
      </c>
    </row>
    <row r="377" spans="27:29">
      <c r="AA377" t="s">
        <v>2155</v>
      </c>
      <c r="AB377" t="s">
        <v>2155</v>
      </c>
      <c r="AC377" t="s">
        <v>2155</v>
      </c>
    </row>
    <row r="378" spans="27:29">
      <c r="AA378">
        <v>68.61</v>
      </c>
      <c r="AB378">
        <v>105.56</v>
      </c>
      <c r="AC378">
        <v>31.14</v>
      </c>
    </row>
    <row r="379" spans="27:29">
      <c r="AA379" t="s">
        <v>3756</v>
      </c>
      <c r="AB379" t="s">
        <v>3756</v>
      </c>
      <c r="AC379" t="s">
        <v>3756</v>
      </c>
    </row>
    <row r="380" spans="27:29">
      <c r="AA380" t="s">
        <v>3797</v>
      </c>
      <c r="AB380" t="s">
        <v>3797</v>
      </c>
      <c r="AC380" t="s">
        <v>3797</v>
      </c>
    </row>
    <row r="381" spans="27:29">
      <c r="AA381" t="s">
        <v>3796</v>
      </c>
      <c r="AB381" t="s">
        <v>3796</v>
      </c>
      <c r="AC381" t="s">
        <v>3796</v>
      </c>
    </row>
    <row r="382" spans="27:29">
      <c r="AA382" t="s">
        <v>3757</v>
      </c>
      <c r="AB382" t="s">
        <v>3757</v>
      </c>
      <c r="AC382" t="s">
        <v>3757</v>
      </c>
    </row>
    <row r="383" spans="27:29">
      <c r="AA383" t="s">
        <v>2155</v>
      </c>
      <c r="AB383" t="s">
        <v>2155</v>
      </c>
      <c r="AC383" t="s">
        <v>2155</v>
      </c>
    </row>
    <row r="384" spans="27:29">
      <c r="AA384">
        <v>6.37</v>
      </c>
      <c r="AB384">
        <v>9.81</v>
      </c>
      <c r="AC384">
        <v>2.89</v>
      </c>
    </row>
    <row r="385" spans="27:29">
      <c r="AA385" t="s">
        <v>3385</v>
      </c>
      <c r="AB385" t="s">
        <v>3385</v>
      </c>
      <c r="AC385" t="s">
        <v>3385</v>
      </c>
    </row>
    <row r="386" spans="27:29">
      <c r="AA386" t="s">
        <v>2164</v>
      </c>
      <c r="AB386" t="s">
        <v>2164</v>
      </c>
      <c r="AC386" t="s">
        <v>2164</v>
      </c>
    </row>
    <row r="387" spans="27:29">
      <c r="AA387" t="s">
        <v>2165</v>
      </c>
      <c r="AB387" t="s">
        <v>2165</v>
      </c>
      <c r="AC387" t="s">
        <v>2165</v>
      </c>
    </row>
    <row r="388" spans="27:29">
      <c r="AA388" t="s">
        <v>2166</v>
      </c>
      <c r="AB388" t="s">
        <v>2166</v>
      </c>
      <c r="AC388" t="s">
        <v>2166</v>
      </c>
    </row>
    <row r="389" spans="27:29">
      <c r="AA389" t="s">
        <v>3756</v>
      </c>
      <c r="AB389" t="s">
        <v>3756</v>
      </c>
      <c r="AC389" t="s">
        <v>3756</v>
      </c>
    </row>
    <row r="390" spans="27:29">
      <c r="AA390" t="s">
        <v>3763</v>
      </c>
      <c r="AB390" t="s">
        <v>3763</v>
      </c>
      <c r="AC390" t="s">
        <v>3763</v>
      </c>
    </row>
    <row r="391" spans="27:29">
      <c r="AA391" t="s">
        <v>3757</v>
      </c>
      <c r="AB391" t="s">
        <v>3757</v>
      </c>
      <c r="AC391" t="s">
        <v>3757</v>
      </c>
    </row>
    <row r="392" spans="27:29">
      <c r="AA392" t="s">
        <v>2155</v>
      </c>
      <c r="AB392" t="s">
        <v>2155</v>
      </c>
      <c r="AC392" t="s">
        <v>2155</v>
      </c>
    </row>
    <row r="393" spans="27:29">
      <c r="AA393" s="913">
        <v>40580</v>
      </c>
      <c r="AB393" s="913">
        <v>67602</v>
      </c>
      <c r="AC393" s="913">
        <v>20222</v>
      </c>
    </row>
    <row r="394" spans="27:29">
      <c r="AA394" t="s">
        <v>3756</v>
      </c>
      <c r="AB394" t="s">
        <v>3756</v>
      </c>
      <c r="AC394" t="s">
        <v>3756</v>
      </c>
    </row>
    <row r="395" spans="27:29">
      <c r="AA395" t="s">
        <v>3764</v>
      </c>
      <c r="AB395" t="s">
        <v>3764</v>
      </c>
      <c r="AC395" t="s">
        <v>3764</v>
      </c>
    </row>
    <row r="396" spans="27:29">
      <c r="AA396" t="s">
        <v>3765</v>
      </c>
      <c r="AB396" t="s">
        <v>3765</v>
      </c>
      <c r="AC396" t="s">
        <v>3765</v>
      </c>
    </row>
    <row r="397" spans="27:29">
      <c r="AA397" t="s">
        <v>3757</v>
      </c>
      <c r="AB397" t="s">
        <v>3757</v>
      </c>
      <c r="AC397" t="s">
        <v>3757</v>
      </c>
    </row>
    <row r="398" spans="27:29">
      <c r="AA398" t="s">
        <v>2155</v>
      </c>
      <c r="AB398" t="s">
        <v>2155</v>
      </c>
      <c r="AC398" t="s">
        <v>2155</v>
      </c>
    </row>
    <row r="399" spans="27:29">
      <c r="AA399" s="913">
        <v>19150</v>
      </c>
      <c r="AB399" s="913">
        <v>31901</v>
      </c>
      <c r="AC399" s="913">
        <v>9543</v>
      </c>
    </row>
    <row r="400" spans="27:29">
      <c r="AA400" t="s">
        <v>3762</v>
      </c>
      <c r="AB400" t="s">
        <v>3762</v>
      </c>
      <c r="AC400" t="s">
        <v>3762</v>
      </c>
    </row>
    <row r="401" spans="27:29">
      <c r="AA401" t="s">
        <v>3806</v>
      </c>
      <c r="AB401" t="s">
        <v>3806</v>
      </c>
      <c r="AC401" t="s">
        <v>3806</v>
      </c>
    </row>
    <row r="402" spans="27:29" ht="30">
      <c r="AA402" s="777" t="s">
        <v>2159</v>
      </c>
      <c r="AB402" s="777" t="s">
        <v>2159</v>
      </c>
      <c r="AC402" s="777" t="s">
        <v>2159</v>
      </c>
    </row>
    <row r="403" spans="27:29">
      <c r="AA403" t="s">
        <v>3807</v>
      </c>
      <c r="AB403" t="s">
        <v>3807</v>
      </c>
      <c r="AC403" t="s">
        <v>3807</v>
      </c>
    </row>
    <row r="404" spans="27:29" ht="30">
      <c r="AA404" s="777" t="s">
        <v>2159</v>
      </c>
      <c r="AB404" s="777" t="s">
        <v>2159</v>
      </c>
      <c r="AC404" s="777" t="s">
        <v>2159</v>
      </c>
    </row>
    <row r="405" spans="27:29">
      <c r="AA405" t="s">
        <v>3808</v>
      </c>
      <c r="AB405" t="s">
        <v>3808</v>
      </c>
      <c r="AC405" t="s">
        <v>3808</v>
      </c>
    </row>
    <row r="406" spans="27:29" ht="30">
      <c r="AA406" s="777" t="s">
        <v>2159</v>
      </c>
      <c r="AB406" s="777" t="s">
        <v>2159</v>
      </c>
      <c r="AC406" s="777" t="s">
        <v>2159</v>
      </c>
    </row>
    <row r="407" spans="27:29">
      <c r="AA407" t="s">
        <v>3762</v>
      </c>
      <c r="AB407" t="s">
        <v>3762</v>
      </c>
      <c r="AC407" t="s">
        <v>3762</v>
      </c>
    </row>
    <row r="408" spans="27:29" ht="30">
      <c r="AA408" s="777" t="s">
        <v>3809</v>
      </c>
      <c r="AB408" s="777" t="s">
        <v>3809</v>
      </c>
      <c r="AC408" s="777" t="s">
        <v>3809</v>
      </c>
    </row>
    <row r="409" spans="27:29">
      <c r="AA409" t="s">
        <v>2170</v>
      </c>
      <c r="AB409" t="s">
        <v>2170</v>
      </c>
      <c r="AC409" t="s">
        <v>2170</v>
      </c>
    </row>
    <row r="410" spans="27:29">
      <c r="AA410" t="s">
        <v>2171</v>
      </c>
      <c r="AB410" t="s">
        <v>2171</v>
      </c>
      <c r="AC410" t="s">
        <v>2171</v>
      </c>
    </row>
    <row r="411" spans="27:29">
      <c r="AA411" t="s">
        <v>3810</v>
      </c>
      <c r="AB411" t="s">
        <v>3810</v>
      </c>
      <c r="AC411" t="s">
        <v>3810</v>
      </c>
    </row>
    <row r="412" spans="27:29">
      <c r="AA412" t="s">
        <v>2155</v>
      </c>
      <c r="AB412" t="s">
        <v>2155</v>
      </c>
      <c r="AC412" t="s">
        <v>2155</v>
      </c>
    </row>
    <row r="413" spans="27:29">
      <c r="AA413">
        <v>2</v>
      </c>
      <c r="AB413">
        <v>10</v>
      </c>
      <c r="AC413">
        <v>3</v>
      </c>
    </row>
    <row r="414" spans="27:29">
      <c r="AA414" t="s">
        <v>3811</v>
      </c>
      <c r="AB414" t="s">
        <v>3811</v>
      </c>
      <c r="AC414" t="s">
        <v>3811</v>
      </c>
    </row>
    <row r="415" spans="27:29" ht="30">
      <c r="AA415" s="777" t="s">
        <v>3812</v>
      </c>
      <c r="AB415" s="777" t="s">
        <v>3812</v>
      </c>
      <c r="AC415" s="777" t="s">
        <v>3812</v>
      </c>
    </row>
    <row r="416" spans="27:29">
      <c r="AA416">
        <v>900</v>
      </c>
      <c r="AB416">
        <v>630</v>
      </c>
      <c r="AC416">
        <v>630</v>
      </c>
    </row>
    <row r="417" spans="27:29">
      <c r="AA417" t="s">
        <v>3794</v>
      </c>
      <c r="AB417" t="s">
        <v>3794</v>
      </c>
      <c r="AC417" t="s">
        <v>3794</v>
      </c>
    </row>
    <row r="418" spans="27:29">
      <c r="AA418" t="s">
        <v>3762</v>
      </c>
      <c r="AB418" t="s">
        <v>3762</v>
      </c>
      <c r="AC418" t="s">
        <v>3762</v>
      </c>
    </row>
    <row r="419" spans="27:29" ht="30">
      <c r="AA419" s="777" t="s">
        <v>2159</v>
      </c>
      <c r="AB419" s="777" t="s">
        <v>2159</v>
      </c>
      <c r="AC419" s="777" t="s">
        <v>2159</v>
      </c>
    </row>
    <row r="420" spans="27:29">
      <c r="AA420" t="s">
        <v>3801</v>
      </c>
      <c r="AB420" t="s">
        <v>3801</v>
      </c>
      <c r="AC420" t="s">
        <v>3801</v>
      </c>
    </row>
    <row r="421" spans="27:29">
      <c r="AA421" t="s">
        <v>3813</v>
      </c>
      <c r="AB421" t="s">
        <v>3813</v>
      </c>
      <c r="AC421" t="s">
        <v>3813</v>
      </c>
    </row>
    <row r="422" spans="27:29">
      <c r="AA422" t="s">
        <v>3814</v>
      </c>
      <c r="AB422" t="s">
        <v>3814</v>
      </c>
      <c r="AC422" t="s">
        <v>3814</v>
      </c>
    </row>
    <row r="423" spans="27:29">
      <c r="AA423" t="s">
        <v>3815</v>
      </c>
      <c r="AB423" t="s">
        <v>3815</v>
      </c>
      <c r="AC423" t="s">
        <v>3815</v>
      </c>
    </row>
    <row r="424" spans="27:29" ht="30">
      <c r="AA424" s="777" t="s">
        <v>3816</v>
      </c>
      <c r="AB424" s="777" t="s">
        <v>3816</v>
      </c>
      <c r="AC424" s="777" t="s">
        <v>3816</v>
      </c>
    </row>
    <row r="425" spans="27:29">
      <c r="AA425" t="s">
        <v>3817</v>
      </c>
      <c r="AB425" t="s">
        <v>3817</v>
      </c>
      <c r="AC425" t="s">
        <v>3817</v>
      </c>
    </row>
    <row r="426" spans="27:29" ht="30">
      <c r="AA426" s="777" t="s">
        <v>3818</v>
      </c>
      <c r="AB426" s="777" t="s">
        <v>3818</v>
      </c>
      <c r="AC426" s="777" t="s">
        <v>3818</v>
      </c>
    </row>
    <row r="427" spans="27:29" ht="30">
      <c r="AA427" s="777" t="s">
        <v>2159</v>
      </c>
      <c r="AB427" s="777" t="s">
        <v>2159</v>
      </c>
      <c r="AC427" s="777" t="s">
        <v>2159</v>
      </c>
    </row>
    <row r="428" spans="27:29">
      <c r="AA428" t="s">
        <v>3806</v>
      </c>
      <c r="AB428" t="s">
        <v>3806</v>
      </c>
      <c r="AC428" t="s">
        <v>3806</v>
      </c>
    </row>
    <row r="429" spans="27:29">
      <c r="AA429" t="s">
        <v>2171</v>
      </c>
      <c r="AB429" t="s">
        <v>2171</v>
      </c>
      <c r="AC429" t="s">
        <v>2171</v>
      </c>
    </row>
    <row r="430" spans="27:29">
      <c r="AA430" t="s">
        <v>3819</v>
      </c>
      <c r="AB430" t="s">
        <v>3819</v>
      </c>
      <c r="AC430" t="s">
        <v>3819</v>
      </c>
    </row>
    <row r="431" spans="27:29" ht="30">
      <c r="AA431" s="777" t="s">
        <v>2159</v>
      </c>
      <c r="AB431" s="777" t="s">
        <v>2159</v>
      </c>
      <c r="AC431" s="777" t="s">
        <v>2159</v>
      </c>
    </row>
    <row r="432" spans="27:29">
      <c r="AA432" s="913">
        <v>1100</v>
      </c>
      <c r="AB432" s="913">
        <v>1100</v>
      </c>
      <c r="AC432" s="913">
        <v>1100</v>
      </c>
    </row>
    <row r="433" spans="23:29">
      <c r="AA433" t="s">
        <v>3789</v>
      </c>
      <c r="AB433" t="s">
        <v>3789</v>
      </c>
      <c r="AC433" t="s">
        <v>3789</v>
      </c>
    </row>
    <row r="434" spans="23:29" ht="30">
      <c r="AA434" s="777" t="s">
        <v>2159</v>
      </c>
      <c r="AB434" s="777" t="s">
        <v>2159</v>
      </c>
      <c r="AC434" s="777" t="s">
        <v>2159</v>
      </c>
    </row>
    <row r="435" spans="23:29">
      <c r="AA435" t="s">
        <v>3789</v>
      </c>
      <c r="AB435" t="s">
        <v>3789</v>
      </c>
      <c r="AC435" t="s">
        <v>3789</v>
      </c>
    </row>
    <row r="436" spans="23:29">
      <c r="AA436" t="s">
        <v>3820</v>
      </c>
      <c r="AB436" t="s">
        <v>3820</v>
      </c>
      <c r="AC436" t="s">
        <v>3820</v>
      </c>
    </row>
    <row r="437" spans="23:29">
      <c r="AA437" t="s">
        <v>2155</v>
      </c>
      <c r="AB437" t="s">
        <v>2155</v>
      </c>
      <c r="AC437" t="s">
        <v>2155</v>
      </c>
    </row>
    <row r="438" spans="23:29">
      <c r="AA438" t="s">
        <v>3821</v>
      </c>
      <c r="AB438" t="s">
        <v>3821</v>
      </c>
      <c r="AC438" t="s">
        <v>3821</v>
      </c>
    </row>
    <row r="439" spans="23:29" ht="45">
      <c r="AA439" s="777" t="s">
        <v>3822</v>
      </c>
      <c r="AB439" s="777" t="s">
        <v>3822</v>
      </c>
      <c r="AC439" s="777" t="s">
        <v>3822</v>
      </c>
    </row>
    <row r="440" spans="23:29">
      <c r="AA440" t="s">
        <v>2170</v>
      </c>
      <c r="AB440" t="s">
        <v>2170</v>
      </c>
      <c r="AC440" t="s">
        <v>2170</v>
      </c>
    </row>
    <row r="441" spans="23:29">
      <c r="AA441" t="s">
        <v>2155</v>
      </c>
      <c r="AB441" t="s">
        <v>2155</v>
      </c>
      <c r="AC441" t="s">
        <v>2155</v>
      </c>
    </row>
    <row r="442" spans="23:29">
      <c r="AA442">
        <v>2</v>
      </c>
      <c r="AB442">
        <v>3</v>
      </c>
      <c r="AC442">
        <v>2</v>
      </c>
    </row>
    <row r="443" spans="23:29">
      <c r="AA443" t="s">
        <v>3789</v>
      </c>
      <c r="AB443" t="s">
        <v>3789</v>
      </c>
      <c r="AC443" t="s">
        <v>3789</v>
      </c>
    </row>
    <row r="444" spans="23:29">
      <c r="AA444" t="s">
        <v>3823</v>
      </c>
      <c r="AB444" t="s">
        <v>3823</v>
      </c>
      <c r="AC444" t="s">
        <v>3823</v>
      </c>
    </row>
    <row r="445" spans="23:29">
      <c r="AA445" t="s">
        <v>2155</v>
      </c>
      <c r="AB445" t="s">
        <v>2155</v>
      </c>
      <c r="AC445" t="s">
        <v>2155</v>
      </c>
    </row>
    <row r="446" spans="23:29">
      <c r="AA446">
        <v>25</v>
      </c>
      <c r="AB446">
        <v>25</v>
      </c>
      <c r="AC446">
        <v>10</v>
      </c>
    </row>
    <row r="447" spans="23:29">
      <c r="W447" t="b">
        <f>ISNUMBER(AA447)</f>
        <v>0</v>
      </c>
      <c r="AA447" t="s">
        <v>2811</v>
      </c>
      <c r="AB447" t="s">
        <v>2811</v>
      </c>
      <c r="AC447" t="s">
        <v>2811</v>
      </c>
    </row>
    <row r="448" spans="23:29">
      <c r="AA448" t="s">
        <v>3736</v>
      </c>
      <c r="AB448" t="s">
        <v>3736</v>
      </c>
      <c r="AC448" t="s">
        <v>3736</v>
      </c>
    </row>
    <row r="449" spans="27:29">
      <c r="AA449" s="913">
        <v>2026</v>
      </c>
      <c r="AB449" s="913">
        <v>2026</v>
      </c>
      <c r="AC449" s="913">
        <v>2026</v>
      </c>
    </row>
    <row r="450" spans="27:29">
      <c r="AA450" t="s">
        <v>2510</v>
      </c>
      <c r="AB450" t="s">
        <v>2510</v>
      </c>
      <c r="AC450" t="s">
        <v>2510</v>
      </c>
    </row>
    <row r="451" spans="27:29">
      <c r="AA451" s="915">
        <v>0.625</v>
      </c>
      <c r="AB451" s="915">
        <v>0.625</v>
      </c>
      <c r="AC451" s="915">
        <v>0.625</v>
      </c>
    </row>
    <row r="452" spans="27:29">
      <c r="AA452" s="1612">
        <v>1.9166666666666667</v>
      </c>
      <c r="AB452" s="1612">
        <v>1.9166666666666667</v>
      </c>
      <c r="AC452" s="1612">
        <v>1.9166666666666667</v>
      </c>
    </row>
    <row r="453" spans="27:29">
      <c r="AA453">
        <v>19</v>
      </c>
      <c r="AB453">
        <v>20</v>
      </c>
      <c r="AC453">
        <v>20</v>
      </c>
    </row>
    <row r="454" spans="27:29">
      <c r="AA454" t="s">
        <v>2511</v>
      </c>
      <c r="AB454" t="s">
        <v>2511</v>
      </c>
      <c r="AC454" t="s">
        <v>2511</v>
      </c>
    </row>
    <row r="455" spans="27:29">
      <c r="AA455">
        <v>1</v>
      </c>
      <c r="AB455">
        <v>2</v>
      </c>
      <c r="AC455">
        <v>3</v>
      </c>
    </row>
    <row r="456" spans="27:29">
      <c r="AA456" t="s">
        <v>2171</v>
      </c>
      <c r="AB456" t="s">
        <v>2171</v>
      </c>
      <c r="AC456" t="s">
        <v>2171</v>
      </c>
    </row>
    <row r="457" spans="27:29">
      <c r="AA457">
        <v>3</v>
      </c>
      <c r="AB457">
        <v>3</v>
      </c>
      <c r="AC457">
        <v>3</v>
      </c>
    </row>
  </sheetData>
  <pageMargins left="0.7" right="0.7" top="0.75" bottom="0.75" header="0.3" footer="0.3"/>
  <pageSetup orientation="portrait" r:id="rId1"/>
  <tableParts count="1">
    <tablePart r:id="rId2"/>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I3_Drawing"/>
  <dimension ref="A1:H32"/>
  <sheetViews>
    <sheetView zoomScaleNormal="100" workbookViewId="0">
      <selection activeCell="I12" sqref="I12"/>
    </sheetView>
  </sheetViews>
  <sheetFormatPr defaultColWidth="9" defaultRowHeight="18"/>
  <cols>
    <col min="1" max="1" width="35.7109375" style="250" customWidth="1"/>
    <col min="2" max="7" width="35.7109375" style="273" customWidth="1"/>
    <col min="8" max="8" width="9" style="273"/>
    <col min="9" max="16384" width="9" style="250"/>
  </cols>
  <sheetData>
    <row r="1" spans="1:8" ht="23.25" customHeight="1" thickBot="1">
      <c r="A1" s="278" t="s">
        <v>673</v>
      </c>
      <c r="B1" s="251" t="s">
        <v>660</v>
      </c>
      <c r="C1" s="256" t="s">
        <v>661</v>
      </c>
      <c r="D1" s="260" t="s">
        <v>662</v>
      </c>
      <c r="E1" s="267" t="s">
        <v>663</v>
      </c>
      <c r="F1" s="264" t="s">
        <v>670</v>
      </c>
      <c r="G1" s="250"/>
      <c r="H1" s="250"/>
    </row>
    <row r="2" spans="1:8" ht="18.75" thickBot="1">
      <c r="A2" s="279"/>
      <c r="B2" s="252"/>
      <c r="C2" s="257"/>
      <c r="D2" s="261"/>
      <c r="E2" s="270"/>
      <c r="F2" s="266"/>
      <c r="G2" s="250"/>
      <c r="H2" s="250"/>
    </row>
    <row r="3" spans="1:8" ht="18.75" thickBot="1">
      <c r="A3" s="279"/>
      <c r="B3" s="253"/>
      <c r="C3" s="258"/>
      <c r="D3" s="262"/>
      <c r="E3" s="269"/>
      <c r="F3" s="265"/>
      <c r="G3" s="250"/>
      <c r="H3" s="250"/>
    </row>
    <row r="4" spans="1:8" ht="18.75" thickBot="1">
      <c r="A4" s="280"/>
      <c r="B4" s="285" t="s">
        <v>677</v>
      </c>
      <c r="C4" s="258"/>
      <c r="D4" s="262"/>
      <c r="E4" s="268"/>
      <c r="F4" s="266"/>
      <c r="G4" s="250"/>
      <c r="H4" s="250"/>
    </row>
    <row r="5" spans="1:8" ht="18.75" thickBot="1">
      <c r="A5" s="280"/>
      <c r="B5" s="253"/>
      <c r="C5" s="258"/>
      <c r="D5" s="284" t="s">
        <v>683</v>
      </c>
      <c r="E5" s="251" t="s">
        <v>664</v>
      </c>
      <c r="F5" s="266"/>
      <c r="G5" s="250"/>
      <c r="H5" s="250"/>
    </row>
    <row r="6" spans="1:8" ht="18.75" thickBot="1">
      <c r="A6" s="280"/>
      <c r="B6" s="253"/>
      <c r="C6" s="287" t="s">
        <v>674</v>
      </c>
      <c r="D6" s="263"/>
      <c r="E6" s="255"/>
      <c r="F6" s="266"/>
      <c r="G6" s="250"/>
      <c r="H6" s="250"/>
    </row>
    <row r="7" spans="1:8" ht="18.75" thickBot="1">
      <c r="A7" s="281"/>
      <c r="B7" s="255"/>
      <c r="C7" s="259"/>
      <c r="D7" s="263"/>
      <c r="E7" s="253"/>
      <c r="F7" s="266"/>
      <c r="G7" s="250"/>
      <c r="H7" s="250"/>
    </row>
    <row r="8" spans="1:8" ht="18.75" thickBot="1">
      <c r="A8" s="282"/>
      <c r="B8" s="286" t="s">
        <v>679</v>
      </c>
      <c r="C8" s="258"/>
      <c r="D8" s="262"/>
      <c r="E8" s="255"/>
      <c r="F8" s="295" t="s">
        <v>669</v>
      </c>
      <c r="G8" s="250"/>
      <c r="H8" s="250"/>
    </row>
    <row r="9" spans="1:8" ht="18.75" thickBot="1">
      <c r="A9" s="282"/>
      <c r="B9" s="253"/>
      <c r="C9" s="258"/>
      <c r="D9" s="284" t="s">
        <v>682</v>
      </c>
      <c r="E9" s="292"/>
      <c r="F9" s="272"/>
      <c r="G9" s="250"/>
      <c r="H9" s="250"/>
    </row>
    <row r="10" spans="1:8" ht="18.75" thickBot="1">
      <c r="A10" s="279"/>
      <c r="B10" s="253"/>
      <c r="C10" s="287" t="s">
        <v>675</v>
      </c>
      <c r="D10" s="263"/>
      <c r="E10" s="293"/>
      <c r="F10" s="297"/>
      <c r="G10" s="250"/>
      <c r="H10" s="250"/>
    </row>
    <row r="11" spans="1:8" ht="18.75" thickBot="1">
      <c r="A11" s="283"/>
      <c r="B11" s="253"/>
      <c r="C11" s="258"/>
      <c r="D11" s="262"/>
      <c r="E11" s="294" t="s">
        <v>665</v>
      </c>
      <c r="F11" s="298"/>
      <c r="G11" s="250"/>
      <c r="H11" s="250"/>
    </row>
    <row r="12" spans="1:8" ht="18.75" thickBot="1">
      <c r="A12" s="288" t="s">
        <v>686</v>
      </c>
      <c r="B12" s="286" t="s">
        <v>678</v>
      </c>
      <c r="C12" s="258"/>
      <c r="D12" s="263"/>
      <c r="E12" s="268"/>
      <c r="F12" s="296" t="s">
        <v>672</v>
      </c>
      <c r="G12" s="250"/>
      <c r="H12" s="250"/>
    </row>
    <row r="13" spans="1:8" ht="18.75" thickBot="1">
      <c r="A13" s="289"/>
      <c r="B13" s="253"/>
      <c r="C13" s="258"/>
      <c r="D13" s="284" t="s">
        <v>681</v>
      </c>
      <c r="E13" s="268"/>
      <c r="F13" s="261"/>
      <c r="G13" s="250"/>
      <c r="H13" s="250"/>
    </row>
    <row r="14" spans="1:8" ht="18.75" thickBot="1">
      <c r="A14" s="290"/>
      <c r="B14" s="253"/>
      <c r="C14" s="259"/>
      <c r="D14" s="263"/>
      <c r="E14" s="268"/>
      <c r="F14" s="262"/>
      <c r="G14" s="250"/>
      <c r="H14" s="250"/>
    </row>
    <row r="15" spans="1:8" ht="18.75" thickBot="1">
      <c r="A15" s="289"/>
      <c r="B15" s="255"/>
      <c r="C15" s="287" t="s">
        <v>680</v>
      </c>
      <c r="D15" s="263"/>
      <c r="E15" s="268"/>
      <c r="F15" s="263"/>
      <c r="G15" s="250"/>
      <c r="H15" s="250"/>
    </row>
    <row r="16" spans="1:8" ht="18.75" thickBot="1">
      <c r="A16" s="289"/>
      <c r="B16" s="253"/>
      <c r="C16" s="259"/>
      <c r="D16" s="263"/>
      <c r="E16" s="251" t="s">
        <v>666</v>
      </c>
      <c r="F16" s="263"/>
      <c r="G16" s="250"/>
      <c r="H16" s="250"/>
    </row>
    <row r="17" spans="1:8" ht="18.75" thickBot="1">
      <c r="A17" s="290"/>
      <c r="B17" s="253"/>
      <c r="C17" s="258"/>
      <c r="D17" s="284" t="s">
        <v>674</v>
      </c>
      <c r="E17" s="255"/>
      <c r="F17" s="263"/>
      <c r="G17" s="250"/>
      <c r="H17" s="250"/>
    </row>
    <row r="18" spans="1:8" ht="18.75" thickBot="1">
      <c r="A18" s="290"/>
      <c r="B18" s="286" t="s">
        <v>676</v>
      </c>
      <c r="C18" s="287" t="s">
        <v>684</v>
      </c>
      <c r="D18" s="263"/>
      <c r="E18" s="255"/>
      <c r="F18" s="262"/>
      <c r="G18" s="250"/>
      <c r="H18" s="250"/>
    </row>
    <row r="19" spans="1:8" ht="18.75" thickBot="1">
      <c r="A19" s="290"/>
      <c r="B19" s="253"/>
      <c r="C19" s="259"/>
      <c r="D19" s="263"/>
      <c r="E19" s="255"/>
      <c r="F19" s="267" t="s">
        <v>671</v>
      </c>
      <c r="G19" s="250"/>
      <c r="H19" s="250"/>
    </row>
    <row r="20" spans="1:8" ht="18.75" thickBot="1">
      <c r="A20" s="290"/>
      <c r="B20" s="253"/>
      <c r="C20" s="259"/>
      <c r="D20" s="263"/>
      <c r="E20" s="254"/>
      <c r="F20" s="274"/>
      <c r="G20" s="250"/>
      <c r="H20" s="250"/>
    </row>
    <row r="21" spans="1:8" ht="18.75" thickBot="1">
      <c r="A21" s="290"/>
      <c r="B21" s="253"/>
      <c r="C21" s="259"/>
      <c r="D21" s="284" t="s">
        <v>675</v>
      </c>
      <c r="E21" s="267" t="s">
        <v>667</v>
      </c>
      <c r="F21" s="268"/>
    </row>
    <row r="22" spans="1:8" ht="18.75" thickBot="1">
      <c r="A22" s="290"/>
      <c r="B22" s="253"/>
      <c r="C22" s="287" t="s">
        <v>685</v>
      </c>
      <c r="D22" s="263"/>
      <c r="E22" s="270"/>
      <c r="F22" s="268"/>
    </row>
    <row r="23" spans="1:8">
      <c r="A23" s="290"/>
      <c r="B23" s="253"/>
      <c r="C23" s="259"/>
      <c r="D23" s="263"/>
      <c r="E23" s="269"/>
      <c r="F23" s="268"/>
    </row>
    <row r="24" spans="1:8" ht="18.75" thickBot="1">
      <c r="A24" s="290"/>
      <c r="B24" s="253"/>
      <c r="C24" s="259"/>
      <c r="D24" s="263"/>
      <c r="E24" s="268"/>
      <c r="F24" s="268"/>
    </row>
    <row r="25" spans="1:8" ht="18.75" thickBot="1">
      <c r="A25" s="290"/>
      <c r="B25" s="253"/>
      <c r="C25" s="259"/>
      <c r="D25" s="263"/>
      <c r="E25" s="251" t="s">
        <v>668</v>
      </c>
      <c r="F25" s="268"/>
    </row>
    <row r="26" spans="1:8">
      <c r="A26" s="290"/>
      <c r="B26" s="253"/>
      <c r="C26" s="259"/>
      <c r="D26" s="263"/>
      <c r="E26" s="271"/>
      <c r="F26" s="268"/>
    </row>
    <row r="27" spans="1:8" ht="18.75" thickBot="1">
      <c r="A27" s="291"/>
      <c r="B27" s="254"/>
      <c r="C27" s="277"/>
      <c r="D27" s="276"/>
      <c r="E27" s="254"/>
      <c r="F27" s="275"/>
    </row>
    <row r="28" spans="1:8">
      <c r="B28" s="250"/>
      <c r="C28" s="250"/>
      <c r="D28" s="250"/>
      <c r="E28" s="250"/>
    </row>
    <row r="29" spans="1:8">
      <c r="B29" s="250"/>
      <c r="C29" s="250"/>
      <c r="D29" s="250"/>
      <c r="E29" s="250"/>
    </row>
    <row r="30" spans="1:8">
      <c r="B30" s="250"/>
      <c r="C30" s="250"/>
      <c r="D30" s="250"/>
      <c r="E30" s="250"/>
    </row>
    <row r="31" spans="1:8">
      <c r="B31" s="250"/>
      <c r="C31" s="250"/>
      <c r="D31" s="250"/>
      <c r="E31" s="250"/>
      <c r="F31" s="250"/>
    </row>
    <row r="32" spans="1:8">
      <c r="B32" s="250"/>
      <c r="C32" s="250"/>
      <c r="D32" s="250"/>
      <c r="E32" s="250"/>
      <c r="F32" s="250"/>
    </row>
  </sheetData>
  <pageMargins left="0.7" right="0.7" top="0.75" bottom="0.75" header="0.3" footer="0.3"/>
  <pageSetup orientation="portrait" r:id="rId1"/>
  <drawing r:id="rId2"/>
  <legacyDrawing r:id="rId3"/>
  <controls>
    <mc:AlternateContent xmlns:mc="http://schemas.openxmlformats.org/markup-compatibility/2006">
      <mc:Choice Requires="x14">
        <control shapeId="89233" r:id="rId4" name="STD">
          <controlPr defaultSize="0" autoLine="0" r:id="rId5">
            <anchor moveWithCells="1">
              <from>
                <xdr:col>0</xdr:col>
                <xdr:colOff>104775</xdr:colOff>
                <xdr:row>12</xdr:row>
                <xdr:rowOff>66675</xdr:rowOff>
              </from>
              <to>
                <xdr:col>0</xdr:col>
                <xdr:colOff>1485900</xdr:colOff>
                <xdr:row>13</xdr:row>
                <xdr:rowOff>95250</xdr:rowOff>
              </to>
            </anchor>
          </controlPr>
        </control>
      </mc:Choice>
      <mc:Fallback>
        <control shapeId="89233" r:id="rId4" name="STD"/>
      </mc:Fallback>
    </mc:AlternateContent>
    <mc:AlternateContent xmlns:mc="http://schemas.openxmlformats.org/markup-compatibility/2006">
      <mc:Choice Requires="x14">
        <control shapeId="89230" r:id="rId6" name="WOIsolator">
          <controlPr defaultSize="0" autoLine="0" r:id="rId7">
            <anchor moveWithCells="1">
              <from>
                <xdr:col>2</xdr:col>
                <xdr:colOff>57150</xdr:colOff>
                <xdr:row>24</xdr:row>
                <xdr:rowOff>200025</xdr:rowOff>
              </from>
              <to>
                <xdr:col>2</xdr:col>
                <xdr:colOff>1352550</xdr:colOff>
                <xdr:row>26</xdr:row>
                <xdr:rowOff>19050</xdr:rowOff>
              </to>
            </anchor>
          </controlPr>
        </control>
      </mc:Choice>
      <mc:Fallback>
        <control shapeId="89230" r:id="rId6" name="WOIsolator"/>
      </mc:Fallback>
    </mc:AlternateContent>
    <mc:AlternateContent xmlns:mc="http://schemas.openxmlformats.org/markup-compatibility/2006">
      <mc:Choice Requires="x14">
        <control shapeId="89229" r:id="rId8" name="Rubber_Pad">
          <controlPr defaultSize="0" autoLine="0" r:id="rId9">
            <anchor moveWithCells="1">
              <from>
                <xdr:col>2</xdr:col>
                <xdr:colOff>66675</xdr:colOff>
                <xdr:row>23</xdr:row>
                <xdr:rowOff>228600</xdr:rowOff>
              </from>
              <to>
                <xdr:col>2</xdr:col>
                <xdr:colOff>1362075</xdr:colOff>
                <xdr:row>25</xdr:row>
                <xdr:rowOff>38100</xdr:rowOff>
              </to>
            </anchor>
          </controlPr>
        </control>
      </mc:Choice>
      <mc:Fallback>
        <control shapeId="89229" r:id="rId8" name="Rubber_Pad"/>
      </mc:Fallback>
    </mc:AlternateContent>
    <mc:AlternateContent xmlns:mc="http://schemas.openxmlformats.org/markup-compatibility/2006">
      <mc:Choice Requires="x14">
        <control shapeId="89228" r:id="rId10" name="Spring2">
          <controlPr defaultSize="0" autoLine="0" r:id="rId11">
            <anchor moveWithCells="1">
              <from>
                <xdr:col>2</xdr:col>
                <xdr:colOff>66675</xdr:colOff>
                <xdr:row>23</xdr:row>
                <xdr:rowOff>38100</xdr:rowOff>
              </from>
              <to>
                <xdr:col>2</xdr:col>
                <xdr:colOff>1362075</xdr:colOff>
                <xdr:row>24</xdr:row>
                <xdr:rowOff>85725</xdr:rowOff>
              </to>
            </anchor>
          </controlPr>
        </control>
      </mc:Choice>
      <mc:Fallback>
        <control shapeId="89228" r:id="rId10" name="Spring2"/>
      </mc:Fallback>
    </mc:AlternateContent>
    <mc:AlternateContent xmlns:mc="http://schemas.openxmlformats.org/markup-compatibility/2006">
      <mc:Choice Requires="x14">
        <control shapeId="89227" r:id="rId12" name="Spring1">
          <controlPr defaultSize="0" autoLine="0" r:id="rId13">
            <anchor moveWithCells="1">
              <from>
                <xdr:col>2</xdr:col>
                <xdr:colOff>66675</xdr:colOff>
                <xdr:row>22</xdr:row>
                <xdr:rowOff>28575</xdr:rowOff>
              </from>
              <to>
                <xdr:col>2</xdr:col>
                <xdr:colOff>1362075</xdr:colOff>
                <xdr:row>23</xdr:row>
                <xdr:rowOff>85725</xdr:rowOff>
              </to>
            </anchor>
          </controlPr>
        </control>
      </mc:Choice>
      <mc:Fallback>
        <control shapeId="89227" r:id="rId12" name="Spring1"/>
      </mc:Fallback>
    </mc:AlternateContent>
    <mc:AlternateContent xmlns:mc="http://schemas.openxmlformats.org/markup-compatibility/2006">
      <mc:Choice Requires="x14">
        <control shapeId="89226" r:id="rId14" name="STD_Base">
          <controlPr defaultSize="0" autoLine="0" r:id="rId15">
            <anchor moveWithCells="1">
              <from>
                <xdr:col>1</xdr:col>
                <xdr:colOff>47625</xdr:colOff>
                <xdr:row>12</xdr:row>
                <xdr:rowOff>0</xdr:rowOff>
              </from>
              <to>
                <xdr:col>1</xdr:col>
                <xdr:colOff>1152525</xdr:colOff>
                <xdr:row>13</xdr:row>
                <xdr:rowOff>47625</xdr:rowOff>
              </to>
            </anchor>
          </controlPr>
        </control>
      </mc:Choice>
      <mc:Fallback>
        <control shapeId="89226" r:id="rId14" name="STD_Base"/>
      </mc:Fallback>
    </mc:AlternateContent>
    <mc:AlternateContent xmlns:mc="http://schemas.openxmlformats.org/markup-compatibility/2006">
      <mc:Choice Requires="x14">
        <control shapeId="89225" r:id="rId16" name="STG3_Pleated4">
          <controlPr defaultSize="0" disabled="1" autoLine="0" r:id="rId17">
            <anchor moveWithCells="1">
              <from>
                <xdr:col>4</xdr:col>
                <xdr:colOff>123825</xdr:colOff>
                <xdr:row>13</xdr:row>
                <xdr:rowOff>190500</xdr:rowOff>
              </from>
              <to>
                <xdr:col>4</xdr:col>
                <xdr:colOff>1181100</xdr:colOff>
                <xdr:row>15</xdr:row>
                <xdr:rowOff>0</xdr:rowOff>
              </to>
            </anchor>
          </controlPr>
        </control>
      </mc:Choice>
      <mc:Fallback>
        <control shapeId="89225" r:id="rId16" name="STG3_Pleated4"/>
      </mc:Fallback>
    </mc:AlternateContent>
    <mc:AlternateContent xmlns:mc="http://schemas.openxmlformats.org/markup-compatibility/2006">
      <mc:Choice Requires="x14">
        <control shapeId="89224" r:id="rId18" name="STG4_Pleated4">
          <controlPr defaultSize="0" disabled="1" autoLine="0" r:id="rId17">
            <anchor moveWithCells="1">
              <from>
                <xdr:col>4</xdr:col>
                <xdr:colOff>1295400</xdr:colOff>
                <xdr:row>18</xdr:row>
                <xdr:rowOff>38100</xdr:rowOff>
              </from>
              <to>
                <xdr:col>4</xdr:col>
                <xdr:colOff>2352675</xdr:colOff>
                <xdr:row>19</xdr:row>
                <xdr:rowOff>85725</xdr:rowOff>
              </to>
            </anchor>
          </controlPr>
        </control>
      </mc:Choice>
      <mc:Fallback>
        <control shapeId="89224" r:id="rId18" name="STG4_Pleated4"/>
      </mc:Fallback>
    </mc:AlternateContent>
    <mc:AlternateContent xmlns:mc="http://schemas.openxmlformats.org/markup-compatibility/2006">
      <mc:Choice Requires="x14">
        <control shapeId="89223" r:id="rId19" name="STG2_Pleated4">
          <controlPr defaultSize="0" disabled="1" autoLine="0" r:id="rId20">
            <anchor moveWithCells="1">
              <from>
                <xdr:col>4</xdr:col>
                <xdr:colOff>1276350</xdr:colOff>
                <xdr:row>8</xdr:row>
                <xdr:rowOff>95250</xdr:rowOff>
              </from>
              <to>
                <xdr:col>4</xdr:col>
                <xdr:colOff>2333625</xdr:colOff>
                <xdr:row>9</xdr:row>
                <xdr:rowOff>142875</xdr:rowOff>
              </to>
            </anchor>
          </controlPr>
        </control>
      </mc:Choice>
      <mc:Fallback>
        <control shapeId="89223" r:id="rId19" name="STG2_Pleated4"/>
      </mc:Fallback>
    </mc:AlternateContent>
    <mc:AlternateContent xmlns:mc="http://schemas.openxmlformats.org/markup-compatibility/2006">
      <mc:Choice Requires="x14">
        <control shapeId="89222" r:id="rId21" name="Access_Sec2">
          <controlPr defaultSize="0" autoLine="0" r:id="rId22">
            <anchor moveWithCells="1">
              <from>
                <xdr:col>5</xdr:col>
                <xdr:colOff>104775</xdr:colOff>
                <xdr:row>22</xdr:row>
                <xdr:rowOff>180975</xdr:rowOff>
              </from>
              <to>
                <xdr:col>5</xdr:col>
                <xdr:colOff>1609725</xdr:colOff>
                <xdr:row>23</xdr:row>
                <xdr:rowOff>219075</xdr:rowOff>
              </to>
            </anchor>
          </controlPr>
        </control>
      </mc:Choice>
      <mc:Fallback>
        <control shapeId="89222" r:id="rId21" name="Access_Sec2"/>
      </mc:Fallback>
    </mc:AlternateContent>
    <mc:AlternateContent xmlns:mc="http://schemas.openxmlformats.org/markup-compatibility/2006">
      <mc:Choice Requires="x14">
        <control shapeId="89221" r:id="rId23" name="Access_Sec1">
          <controlPr defaultSize="0" autoLine="0" r:id="rId24">
            <anchor moveWithCells="1">
              <from>
                <xdr:col>5</xdr:col>
                <xdr:colOff>123825</xdr:colOff>
                <xdr:row>21</xdr:row>
                <xdr:rowOff>171450</xdr:rowOff>
              </from>
              <to>
                <xdr:col>5</xdr:col>
                <xdr:colOff>1628775</xdr:colOff>
                <xdr:row>22</xdr:row>
                <xdr:rowOff>200025</xdr:rowOff>
              </to>
            </anchor>
          </controlPr>
        </control>
      </mc:Choice>
      <mc:Fallback>
        <control shapeId="89221" r:id="rId23" name="Access_Sec1"/>
      </mc:Fallback>
    </mc:AlternateContent>
    <mc:AlternateContent xmlns:mc="http://schemas.openxmlformats.org/markup-compatibility/2006">
      <mc:Choice Requires="x14">
        <control shapeId="89216" r:id="rId25" name="cODE">
          <controlPr defaultSize="0" autoLine="0" autoPict="0" r:id="rId26">
            <anchor moveWithCells="1">
              <from>
                <xdr:col>0</xdr:col>
                <xdr:colOff>133350</xdr:colOff>
                <xdr:row>25</xdr:row>
                <xdr:rowOff>47625</xdr:rowOff>
              </from>
              <to>
                <xdr:col>0</xdr:col>
                <xdr:colOff>2076450</xdr:colOff>
                <xdr:row>26</xdr:row>
                <xdr:rowOff>161925</xdr:rowOff>
              </to>
            </anchor>
          </controlPr>
        </control>
      </mc:Choice>
      <mc:Fallback>
        <control shapeId="89216" r:id="rId25" name="cODE"/>
      </mc:Fallback>
    </mc:AlternateContent>
    <mc:AlternateContent xmlns:mc="http://schemas.openxmlformats.org/markup-compatibility/2006">
      <mc:Choice Requires="x14">
        <control shapeId="89215" r:id="rId27" name="Energy_Recovery">
          <controlPr defaultSize="0" autoLine="0" r:id="rId28">
            <anchor moveWithCells="1">
              <from>
                <xdr:col>0</xdr:col>
                <xdr:colOff>114300</xdr:colOff>
                <xdr:row>7</xdr:row>
                <xdr:rowOff>228600</xdr:rowOff>
              </from>
              <to>
                <xdr:col>0</xdr:col>
                <xdr:colOff>1495425</xdr:colOff>
                <xdr:row>9</xdr:row>
                <xdr:rowOff>19050</xdr:rowOff>
              </to>
            </anchor>
          </controlPr>
        </control>
      </mc:Choice>
      <mc:Fallback>
        <control shapeId="89215" r:id="rId27" name="Energy_Recovery"/>
      </mc:Fallback>
    </mc:AlternateContent>
    <mc:AlternateContent xmlns:mc="http://schemas.openxmlformats.org/markup-compatibility/2006">
      <mc:Choice Requires="x14">
        <control shapeId="89214" r:id="rId29" name="STG2_Cooling">
          <controlPr defaultSize="0" autoLine="0" r:id="rId30">
            <anchor moveWithCells="1">
              <from>
                <xdr:col>0</xdr:col>
                <xdr:colOff>114300</xdr:colOff>
                <xdr:row>9</xdr:row>
                <xdr:rowOff>228600</xdr:rowOff>
              </from>
              <to>
                <xdr:col>0</xdr:col>
                <xdr:colOff>1495425</xdr:colOff>
                <xdr:row>11</xdr:row>
                <xdr:rowOff>19050</xdr:rowOff>
              </to>
            </anchor>
          </controlPr>
        </control>
      </mc:Choice>
      <mc:Fallback>
        <control shapeId="89214" r:id="rId29" name="STG2_Cooling"/>
      </mc:Fallback>
    </mc:AlternateContent>
    <mc:AlternateContent xmlns:mc="http://schemas.openxmlformats.org/markup-compatibility/2006">
      <mc:Choice Requires="x14">
        <control shapeId="89213" r:id="rId31" name="STG1_Cooling">
          <controlPr defaultSize="0" autoLine="0" r:id="rId32">
            <anchor moveWithCells="1">
              <from>
                <xdr:col>0</xdr:col>
                <xdr:colOff>104775</xdr:colOff>
                <xdr:row>9</xdr:row>
                <xdr:rowOff>9525</xdr:rowOff>
              </from>
              <to>
                <xdr:col>0</xdr:col>
                <xdr:colOff>1485900</xdr:colOff>
                <xdr:row>10</xdr:row>
                <xdr:rowOff>38100</xdr:rowOff>
              </to>
            </anchor>
          </controlPr>
        </control>
      </mc:Choice>
      <mc:Fallback>
        <control shapeId="89213" r:id="rId31" name="STG1_Cooling"/>
      </mc:Fallback>
    </mc:AlternateContent>
    <mc:AlternateContent xmlns:mc="http://schemas.openxmlformats.org/markup-compatibility/2006">
      <mc:Choice Requires="x14">
        <control shapeId="89212" r:id="rId33" name="STG6_Filter">
          <controlPr defaultSize="0" disabled="1" autoLine="0" r:id="rId34">
            <anchor moveWithCells="1">
              <from>
                <xdr:col>0</xdr:col>
                <xdr:colOff>104775</xdr:colOff>
                <xdr:row>6</xdr:row>
                <xdr:rowOff>228600</xdr:rowOff>
              </from>
              <to>
                <xdr:col>0</xdr:col>
                <xdr:colOff>1485900</xdr:colOff>
                <xdr:row>8</xdr:row>
                <xdr:rowOff>19050</xdr:rowOff>
              </to>
            </anchor>
          </controlPr>
        </control>
      </mc:Choice>
      <mc:Fallback>
        <control shapeId="89212" r:id="rId33" name="STG6_Filter"/>
      </mc:Fallback>
    </mc:AlternateContent>
    <mc:AlternateContent xmlns:mc="http://schemas.openxmlformats.org/markup-compatibility/2006">
      <mc:Choice Requires="x14">
        <control shapeId="89211" r:id="rId35" name="STG5_Filter">
          <controlPr defaultSize="0" disabled="1" autoLine="0" r:id="rId36">
            <anchor moveWithCells="1">
              <from>
                <xdr:col>0</xdr:col>
                <xdr:colOff>123825</xdr:colOff>
                <xdr:row>5</xdr:row>
                <xdr:rowOff>219075</xdr:rowOff>
              </from>
              <to>
                <xdr:col>0</xdr:col>
                <xdr:colOff>1504950</xdr:colOff>
                <xdr:row>7</xdr:row>
                <xdr:rowOff>9525</xdr:rowOff>
              </to>
            </anchor>
          </controlPr>
        </control>
      </mc:Choice>
      <mc:Fallback>
        <control shapeId="89211" r:id="rId35" name="STG5_Filter"/>
      </mc:Fallback>
    </mc:AlternateContent>
    <mc:AlternateContent xmlns:mc="http://schemas.openxmlformats.org/markup-compatibility/2006">
      <mc:Choice Requires="x14">
        <control shapeId="89210" r:id="rId37" name="STG4_Filter">
          <controlPr defaultSize="0" disabled="1" autoLine="0" r:id="rId38">
            <anchor moveWithCells="1">
              <from>
                <xdr:col>0</xdr:col>
                <xdr:colOff>123825</xdr:colOff>
                <xdr:row>4</xdr:row>
                <xdr:rowOff>219075</xdr:rowOff>
              </from>
              <to>
                <xdr:col>0</xdr:col>
                <xdr:colOff>1504950</xdr:colOff>
                <xdr:row>6</xdr:row>
                <xdr:rowOff>9525</xdr:rowOff>
              </to>
            </anchor>
          </controlPr>
        </control>
      </mc:Choice>
      <mc:Fallback>
        <control shapeId="89210" r:id="rId37" name="STG4_Filter"/>
      </mc:Fallback>
    </mc:AlternateContent>
    <mc:AlternateContent xmlns:mc="http://schemas.openxmlformats.org/markup-compatibility/2006">
      <mc:Choice Requires="x14">
        <control shapeId="89209" r:id="rId39" name="STG3_Filter">
          <controlPr defaultSize="0" disabled="1" autoLine="0" r:id="rId40">
            <anchor moveWithCells="1">
              <from>
                <xdr:col>0</xdr:col>
                <xdr:colOff>123825</xdr:colOff>
                <xdr:row>3</xdr:row>
                <xdr:rowOff>219075</xdr:rowOff>
              </from>
              <to>
                <xdr:col>0</xdr:col>
                <xdr:colOff>1504950</xdr:colOff>
                <xdr:row>5</xdr:row>
                <xdr:rowOff>9525</xdr:rowOff>
              </to>
            </anchor>
          </controlPr>
        </control>
      </mc:Choice>
      <mc:Fallback>
        <control shapeId="89209" r:id="rId39" name="STG3_Filter"/>
      </mc:Fallback>
    </mc:AlternateContent>
    <mc:AlternateContent xmlns:mc="http://schemas.openxmlformats.org/markup-compatibility/2006">
      <mc:Choice Requires="x14">
        <control shapeId="89208" r:id="rId41" name="STG2_Filter">
          <controlPr defaultSize="0" autoLine="0" r:id="rId42">
            <anchor moveWithCells="1">
              <from>
                <xdr:col>0</xdr:col>
                <xdr:colOff>123825</xdr:colOff>
                <xdr:row>3</xdr:row>
                <xdr:rowOff>0</xdr:rowOff>
              </from>
              <to>
                <xdr:col>0</xdr:col>
                <xdr:colOff>1504950</xdr:colOff>
                <xdr:row>4</xdr:row>
                <xdr:rowOff>28575</xdr:rowOff>
              </to>
            </anchor>
          </controlPr>
        </control>
      </mc:Choice>
      <mc:Fallback>
        <control shapeId="89208" r:id="rId41" name="STG2_Filter"/>
      </mc:Fallback>
    </mc:AlternateContent>
    <mc:AlternateContent xmlns:mc="http://schemas.openxmlformats.org/markup-compatibility/2006">
      <mc:Choice Requires="x14">
        <control shapeId="89207" r:id="rId43" name="STG1_Filter">
          <controlPr defaultSize="0" disabled="1" autoLine="0" r:id="rId44">
            <anchor moveWithCells="1">
              <from>
                <xdr:col>0</xdr:col>
                <xdr:colOff>123825</xdr:colOff>
                <xdr:row>2</xdr:row>
                <xdr:rowOff>19050</xdr:rowOff>
              </from>
              <to>
                <xdr:col>0</xdr:col>
                <xdr:colOff>1504950</xdr:colOff>
                <xdr:row>3</xdr:row>
                <xdr:rowOff>47625</xdr:rowOff>
              </to>
            </anchor>
          </controlPr>
        </control>
      </mc:Choice>
      <mc:Fallback>
        <control shapeId="89207" r:id="rId43" name="STG1_Filter"/>
      </mc:Fallback>
    </mc:AlternateContent>
    <mc:AlternateContent xmlns:mc="http://schemas.openxmlformats.org/markup-compatibility/2006">
      <mc:Choice Requires="x14">
        <control shapeId="89206" r:id="rId45" name="First_Section">
          <controlPr defaultSize="0" autoLine="0" r:id="rId46">
            <anchor moveWithCells="1">
              <from>
                <xdr:col>0</xdr:col>
                <xdr:colOff>76200</xdr:colOff>
                <xdr:row>1</xdr:row>
                <xdr:rowOff>19050</xdr:rowOff>
              </from>
              <to>
                <xdr:col>0</xdr:col>
                <xdr:colOff>1457325</xdr:colOff>
                <xdr:row>2</xdr:row>
                <xdr:rowOff>47625</xdr:rowOff>
              </to>
            </anchor>
          </controlPr>
        </control>
      </mc:Choice>
      <mc:Fallback>
        <control shapeId="89206" r:id="rId45" name="First_Section"/>
      </mc:Fallback>
    </mc:AlternateContent>
    <mc:AlternateContent xmlns:mc="http://schemas.openxmlformats.org/markup-compatibility/2006">
      <mc:Choice Requires="x14">
        <control shapeId="89205" r:id="rId47" name="Recov_2Fan_2M">
          <controlPr defaultSize="0" autoLine="0" r:id="rId48">
            <anchor moveWithCells="1">
              <from>
                <xdr:col>5</xdr:col>
                <xdr:colOff>76200</xdr:colOff>
                <xdr:row>16</xdr:row>
                <xdr:rowOff>85725</xdr:rowOff>
              </from>
              <to>
                <xdr:col>5</xdr:col>
                <xdr:colOff>1581150</xdr:colOff>
                <xdr:row>17</xdr:row>
                <xdr:rowOff>114300</xdr:rowOff>
              </to>
            </anchor>
          </controlPr>
        </control>
      </mc:Choice>
      <mc:Fallback>
        <control shapeId="89205" r:id="rId47" name="Recov_2Fan_2M"/>
      </mc:Fallback>
    </mc:AlternateContent>
    <mc:AlternateContent xmlns:mc="http://schemas.openxmlformats.org/markup-compatibility/2006">
      <mc:Choice Requires="x14">
        <control shapeId="89204" r:id="rId49" name="Recov_2Fan_1M">
          <controlPr defaultSize="0" autoLine="0" r:id="rId50">
            <anchor moveWithCells="1">
              <from>
                <xdr:col>5</xdr:col>
                <xdr:colOff>66675</xdr:colOff>
                <xdr:row>15</xdr:row>
                <xdr:rowOff>104775</xdr:rowOff>
              </from>
              <to>
                <xdr:col>5</xdr:col>
                <xdr:colOff>1571625</xdr:colOff>
                <xdr:row>16</xdr:row>
                <xdr:rowOff>133350</xdr:rowOff>
              </to>
            </anchor>
          </controlPr>
        </control>
      </mc:Choice>
      <mc:Fallback>
        <control shapeId="89204" r:id="rId49" name="Recov_2Fan_1M"/>
      </mc:Fallback>
    </mc:AlternateContent>
    <mc:AlternateContent xmlns:mc="http://schemas.openxmlformats.org/markup-compatibility/2006">
      <mc:Choice Requires="x14">
        <control shapeId="89203" r:id="rId51" name="Heat_Pipe_Recovery">
          <controlPr defaultSize="0" disabled="1" autoLine="0" r:id="rId52">
            <anchor moveWithCells="1">
              <from>
                <xdr:col>5</xdr:col>
                <xdr:colOff>47625</xdr:colOff>
                <xdr:row>14</xdr:row>
                <xdr:rowOff>0</xdr:rowOff>
              </from>
              <to>
                <xdr:col>5</xdr:col>
                <xdr:colOff>1933575</xdr:colOff>
                <xdr:row>15</xdr:row>
                <xdr:rowOff>47625</xdr:rowOff>
              </to>
            </anchor>
          </controlPr>
        </control>
      </mc:Choice>
      <mc:Fallback>
        <control shapeId="89203" r:id="rId51" name="Heat_Pipe_Recovery"/>
      </mc:Fallback>
    </mc:AlternateContent>
    <mc:AlternateContent xmlns:mc="http://schemas.openxmlformats.org/markup-compatibility/2006">
      <mc:Choice Requires="x14">
        <control shapeId="89202" r:id="rId53" name="Pleated_Heat_Exchanger">
          <controlPr defaultSize="0" disabled="1" autoLine="0" r:id="rId54">
            <anchor moveWithCells="1">
              <from>
                <xdr:col>5</xdr:col>
                <xdr:colOff>47625</xdr:colOff>
                <xdr:row>12</xdr:row>
                <xdr:rowOff>228600</xdr:rowOff>
              </from>
              <to>
                <xdr:col>5</xdr:col>
                <xdr:colOff>1924050</xdr:colOff>
                <xdr:row>14</xdr:row>
                <xdr:rowOff>38100</xdr:rowOff>
              </to>
            </anchor>
          </controlPr>
        </control>
      </mc:Choice>
      <mc:Fallback>
        <control shapeId="89202" r:id="rId53" name="Pleated_Heat_Exchanger"/>
      </mc:Fallback>
    </mc:AlternateContent>
    <mc:AlternateContent xmlns:mc="http://schemas.openxmlformats.org/markup-compatibility/2006">
      <mc:Choice Requires="x14">
        <control shapeId="89201" r:id="rId55" name="Energy_Wheel">
          <controlPr defaultSize="0" disabled="1" autoLine="0" r:id="rId56">
            <anchor moveWithCells="1">
              <from>
                <xdr:col>5</xdr:col>
                <xdr:colOff>47625</xdr:colOff>
                <xdr:row>12</xdr:row>
                <xdr:rowOff>0</xdr:rowOff>
              </from>
              <to>
                <xdr:col>5</xdr:col>
                <xdr:colOff>1390650</xdr:colOff>
                <xdr:row>13</xdr:row>
                <xdr:rowOff>47625</xdr:rowOff>
              </to>
            </anchor>
          </controlPr>
        </control>
      </mc:Choice>
      <mc:Fallback>
        <control shapeId="89201" r:id="rId55" name="Energy_Wheel"/>
      </mc:Fallback>
    </mc:AlternateContent>
    <mc:AlternateContent xmlns:mc="http://schemas.openxmlformats.org/markup-compatibility/2006">
      <mc:Choice Requires="x14">
        <control shapeId="89200" r:id="rId57" name="Droplet">
          <controlPr defaultSize="0" autoLine="0" r:id="rId58">
            <anchor moveWithCells="1">
              <from>
                <xdr:col>5</xdr:col>
                <xdr:colOff>114300</xdr:colOff>
                <xdr:row>20</xdr:row>
                <xdr:rowOff>190500</xdr:rowOff>
              </from>
              <to>
                <xdr:col>5</xdr:col>
                <xdr:colOff>1323975</xdr:colOff>
                <xdr:row>21</xdr:row>
                <xdr:rowOff>219075</xdr:rowOff>
              </to>
            </anchor>
          </controlPr>
        </control>
      </mc:Choice>
      <mc:Fallback>
        <control shapeId="89200" r:id="rId57" name="Droplet"/>
      </mc:Fallback>
    </mc:AlternateContent>
    <mc:AlternateContent xmlns:mc="http://schemas.openxmlformats.org/markup-compatibility/2006">
      <mc:Choice Requires="x14">
        <control shapeId="89199" r:id="rId59" name="Steam">
          <controlPr defaultSize="0" autoLine="0" r:id="rId60">
            <anchor moveWithCells="1">
              <from>
                <xdr:col>5</xdr:col>
                <xdr:colOff>114300</xdr:colOff>
                <xdr:row>19</xdr:row>
                <xdr:rowOff>190500</xdr:rowOff>
              </from>
              <to>
                <xdr:col>5</xdr:col>
                <xdr:colOff>1323975</xdr:colOff>
                <xdr:row>20</xdr:row>
                <xdr:rowOff>219075</xdr:rowOff>
              </to>
            </anchor>
          </controlPr>
        </control>
      </mc:Choice>
      <mc:Fallback>
        <control shapeId="89199" r:id="rId59" name="Steam"/>
      </mc:Fallback>
    </mc:AlternateContent>
    <mc:AlternateContent xmlns:mc="http://schemas.openxmlformats.org/markup-compatibility/2006">
      <mc:Choice Requires="x14">
        <control shapeId="89198" r:id="rId61" name="Elec_Heater">
          <controlPr defaultSize="0" autoLine="0" r:id="rId62">
            <anchor moveWithCells="1">
              <from>
                <xdr:col>5</xdr:col>
                <xdr:colOff>114300</xdr:colOff>
                <xdr:row>18</xdr:row>
                <xdr:rowOff>219075</xdr:rowOff>
              </from>
              <to>
                <xdr:col>5</xdr:col>
                <xdr:colOff>1323975</xdr:colOff>
                <xdr:row>20</xdr:row>
                <xdr:rowOff>9525</xdr:rowOff>
              </to>
            </anchor>
          </controlPr>
        </control>
      </mc:Choice>
      <mc:Fallback>
        <control shapeId="89198" r:id="rId61" name="Elec_Heater"/>
      </mc:Fallback>
    </mc:AlternateContent>
    <mc:AlternateContent xmlns:mc="http://schemas.openxmlformats.org/markup-compatibility/2006">
      <mc:Choice Requires="x14">
        <control shapeId="89197" r:id="rId63" name="GI_Profile">
          <controlPr defaultSize="0" autoLine="0" r:id="rId64">
            <anchor moveWithCells="1">
              <from>
                <xdr:col>1</xdr:col>
                <xdr:colOff>66675</xdr:colOff>
                <xdr:row>18</xdr:row>
                <xdr:rowOff>161925</xdr:rowOff>
              </from>
              <to>
                <xdr:col>1</xdr:col>
                <xdr:colOff>1714500</xdr:colOff>
                <xdr:row>19</xdr:row>
                <xdr:rowOff>209550</xdr:rowOff>
              </to>
            </anchor>
          </controlPr>
        </control>
      </mc:Choice>
      <mc:Fallback>
        <control shapeId="89197" r:id="rId63" name="GI_Profile"/>
      </mc:Fallback>
    </mc:AlternateContent>
    <mc:AlternateContent xmlns:mc="http://schemas.openxmlformats.org/markup-compatibility/2006">
      <mc:Choice Requires="x14">
        <control shapeId="89196" r:id="rId65" name="AL_Profile">
          <controlPr defaultSize="0" autoLine="0" r:id="rId66">
            <anchor moveWithCells="1">
              <from>
                <xdr:col>1</xdr:col>
                <xdr:colOff>76200</xdr:colOff>
                <xdr:row>17</xdr:row>
                <xdr:rowOff>190500</xdr:rowOff>
              </from>
              <to>
                <xdr:col>1</xdr:col>
                <xdr:colOff>1666875</xdr:colOff>
                <xdr:row>19</xdr:row>
                <xdr:rowOff>0</xdr:rowOff>
              </to>
            </anchor>
          </controlPr>
        </control>
      </mc:Choice>
      <mc:Fallback>
        <control shapeId="89196" r:id="rId65" name="AL_Profile"/>
      </mc:Fallback>
    </mc:AlternateContent>
    <mc:AlternateContent xmlns:mc="http://schemas.openxmlformats.org/markup-compatibility/2006">
      <mc:Choice Requires="x14">
        <control shapeId="89195" r:id="rId67" name="HGR">
          <controlPr defaultSize="0" disabled="1" autoLine="0" autoPict="0" r:id="rId68">
            <anchor moveWithCells="1">
              <from>
                <xdr:col>5</xdr:col>
                <xdr:colOff>95250</xdr:colOff>
                <xdr:row>3</xdr:row>
                <xdr:rowOff>180975</xdr:rowOff>
              </from>
              <to>
                <xdr:col>5</xdr:col>
                <xdr:colOff>1743075</xdr:colOff>
                <xdr:row>4</xdr:row>
                <xdr:rowOff>209550</xdr:rowOff>
              </to>
            </anchor>
          </controlPr>
        </control>
      </mc:Choice>
      <mc:Fallback>
        <control shapeId="89195" r:id="rId67" name="HGR"/>
      </mc:Fallback>
    </mc:AlternateContent>
    <mc:AlternateContent xmlns:mc="http://schemas.openxmlformats.org/markup-compatibility/2006">
      <mc:Choice Requires="x14">
        <control shapeId="89194" r:id="rId69" name="Horse_Shoe">
          <controlPr defaultSize="0" autoLine="0" r:id="rId70">
            <anchor moveWithCells="1">
              <from>
                <xdr:col>5</xdr:col>
                <xdr:colOff>95250</xdr:colOff>
                <xdr:row>2</xdr:row>
                <xdr:rowOff>200025</xdr:rowOff>
              </from>
              <to>
                <xdr:col>5</xdr:col>
                <xdr:colOff>1304925</xdr:colOff>
                <xdr:row>3</xdr:row>
                <xdr:rowOff>228600</xdr:rowOff>
              </to>
            </anchor>
          </controlPr>
        </control>
      </mc:Choice>
      <mc:Fallback>
        <control shapeId="89194" r:id="rId69" name="Horse_Shoe"/>
      </mc:Fallback>
    </mc:AlternateContent>
    <mc:AlternateContent xmlns:mc="http://schemas.openxmlformats.org/markup-compatibility/2006">
      <mc:Choice Requires="x14">
        <control shapeId="89193" r:id="rId71" name="UV_Lamp">
          <controlPr defaultSize="0" autoLine="0" r:id="rId72">
            <anchor moveWithCells="1">
              <from>
                <xdr:col>5</xdr:col>
                <xdr:colOff>95250</xdr:colOff>
                <xdr:row>2</xdr:row>
                <xdr:rowOff>0</xdr:rowOff>
              </from>
              <to>
                <xdr:col>5</xdr:col>
                <xdr:colOff>1304925</xdr:colOff>
                <xdr:row>3</xdr:row>
                <xdr:rowOff>28575</xdr:rowOff>
              </to>
            </anchor>
          </controlPr>
        </control>
      </mc:Choice>
      <mc:Fallback>
        <control shapeId="89193" r:id="rId71" name="UV_Lamp"/>
      </mc:Fallback>
    </mc:AlternateContent>
    <mc:AlternateContent xmlns:mc="http://schemas.openxmlformats.org/markup-compatibility/2006">
      <mc:Choice Requires="x14">
        <control shapeId="89192" r:id="rId73" name="STG2_Cooling_DX">
          <controlPr defaultSize="0" disabled="1" autoLine="0" r:id="rId74">
            <anchor moveWithCells="1">
              <from>
                <xdr:col>5</xdr:col>
                <xdr:colOff>1590675</xdr:colOff>
                <xdr:row>7</xdr:row>
                <xdr:rowOff>219075</xdr:rowOff>
              </from>
              <to>
                <xdr:col>6</xdr:col>
                <xdr:colOff>9525</xdr:colOff>
                <xdr:row>9</xdr:row>
                <xdr:rowOff>28575</xdr:rowOff>
              </to>
            </anchor>
          </controlPr>
        </control>
      </mc:Choice>
      <mc:Fallback>
        <control shapeId="89192" r:id="rId73" name="STG2_Cooling_DX"/>
      </mc:Fallback>
    </mc:AlternateContent>
    <mc:AlternateContent xmlns:mc="http://schemas.openxmlformats.org/markup-compatibility/2006">
      <mc:Choice Requires="x14">
        <control shapeId="89191" r:id="rId75" name="STG2_Cooling_CHW">
          <controlPr defaultSize="0" disabled="1" autoLine="0" r:id="rId76">
            <anchor moveWithCells="1">
              <from>
                <xdr:col>5</xdr:col>
                <xdr:colOff>38100</xdr:colOff>
                <xdr:row>7</xdr:row>
                <xdr:rowOff>228600</xdr:rowOff>
              </from>
              <to>
                <xdr:col>5</xdr:col>
                <xdr:colOff>1095375</xdr:colOff>
                <xdr:row>9</xdr:row>
                <xdr:rowOff>38100</xdr:rowOff>
              </to>
            </anchor>
          </controlPr>
        </control>
      </mc:Choice>
      <mc:Fallback>
        <control shapeId="89191" r:id="rId75" name="STG2_Cooling_CHW"/>
      </mc:Fallback>
    </mc:AlternateContent>
    <mc:AlternateContent xmlns:mc="http://schemas.openxmlformats.org/markup-compatibility/2006">
      <mc:Choice Requires="x14">
        <control shapeId="89189" r:id="rId77" name="STG1_DX">
          <controlPr defaultSize="0" autoLine="0" r:id="rId78">
            <anchor moveWithCells="1">
              <from>
                <xdr:col>5</xdr:col>
                <xdr:colOff>1257300</xdr:colOff>
                <xdr:row>1</xdr:row>
                <xdr:rowOff>19050</xdr:rowOff>
              </from>
              <to>
                <xdr:col>5</xdr:col>
                <xdr:colOff>2057400</xdr:colOff>
                <xdr:row>2</xdr:row>
                <xdr:rowOff>66675</xdr:rowOff>
              </to>
            </anchor>
          </controlPr>
        </control>
      </mc:Choice>
      <mc:Fallback>
        <control shapeId="89189" r:id="rId77" name="STG1_DX"/>
      </mc:Fallback>
    </mc:AlternateContent>
    <mc:AlternateContent xmlns:mc="http://schemas.openxmlformats.org/markup-compatibility/2006">
      <mc:Choice Requires="x14">
        <control shapeId="89188" r:id="rId79" name="STG1_CHW">
          <controlPr defaultSize="0" autoLine="0" r:id="rId80">
            <anchor moveWithCells="1">
              <from>
                <xdr:col>5</xdr:col>
                <xdr:colOff>95250</xdr:colOff>
                <xdr:row>1</xdr:row>
                <xdr:rowOff>9525</xdr:rowOff>
              </from>
              <to>
                <xdr:col>5</xdr:col>
                <xdr:colOff>1152525</xdr:colOff>
                <xdr:row>2</xdr:row>
                <xdr:rowOff>57150</xdr:rowOff>
              </to>
            </anchor>
          </controlPr>
        </control>
      </mc:Choice>
      <mc:Fallback>
        <control shapeId="89188" r:id="rId79" name="STG1_CHW"/>
      </mc:Fallback>
    </mc:AlternateContent>
    <mc:AlternateContent xmlns:mc="http://schemas.openxmlformats.org/markup-compatibility/2006">
      <mc:Choice Requires="x14">
        <control shapeId="89187" r:id="rId81" name="Mixing_STL">
          <controlPr defaultSize="0" disabled="1" autoLine="0" r:id="rId82">
            <anchor moveWithCells="1">
              <from>
                <xdr:col>3</xdr:col>
                <xdr:colOff>76200</xdr:colOff>
                <xdr:row>23</xdr:row>
                <xdr:rowOff>209550</xdr:rowOff>
              </from>
              <to>
                <xdr:col>3</xdr:col>
                <xdr:colOff>1285875</xdr:colOff>
                <xdr:row>25</xdr:row>
                <xdr:rowOff>0</xdr:rowOff>
              </to>
            </anchor>
          </controlPr>
        </control>
      </mc:Choice>
      <mc:Fallback>
        <control shapeId="89187" r:id="rId81" name="Mixing_STL"/>
      </mc:Fallback>
    </mc:AlternateContent>
    <mc:AlternateContent xmlns:mc="http://schemas.openxmlformats.org/markup-compatibility/2006">
      <mc:Choice Requires="x14">
        <control shapeId="89186" r:id="rId83" name="STG6_HEPA">
          <controlPr defaultSize="0" disabled="1" autoLine="0" r:id="rId84">
            <anchor moveWithCells="1">
              <from>
                <xdr:col>4</xdr:col>
                <xdr:colOff>133350</xdr:colOff>
                <xdr:row>25</xdr:row>
                <xdr:rowOff>200025</xdr:rowOff>
              </from>
              <to>
                <xdr:col>4</xdr:col>
                <xdr:colOff>1190625</xdr:colOff>
                <xdr:row>27</xdr:row>
                <xdr:rowOff>19050</xdr:rowOff>
              </to>
            </anchor>
          </controlPr>
        </control>
      </mc:Choice>
      <mc:Fallback>
        <control shapeId="89186" r:id="rId83" name="STG6_HEPA"/>
      </mc:Fallback>
    </mc:AlternateContent>
    <mc:AlternateContent xmlns:mc="http://schemas.openxmlformats.org/markup-compatibility/2006">
      <mc:Choice Requires="x14">
        <control shapeId="89185" r:id="rId85" name="STG6_Carbon">
          <controlPr defaultSize="0" disabled="1" autoLine="0" r:id="rId86">
            <anchor moveWithCells="1">
              <from>
                <xdr:col>4</xdr:col>
                <xdr:colOff>123825</xdr:colOff>
                <xdr:row>25</xdr:row>
                <xdr:rowOff>0</xdr:rowOff>
              </from>
              <to>
                <xdr:col>4</xdr:col>
                <xdr:colOff>1181100</xdr:colOff>
                <xdr:row>26</xdr:row>
                <xdr:rowOff>57150</xdr:rowOff>
              </to>
            </anchor>
          </controlPr>
        </control>
      </mc:Choice>
      <mc:Fallback>
        <control shapeId="89185" r:id="rId85" name="STG6_Carbon"/>
      </mc:Fallback>
    </mc:AlternateContent>
    <mc:AlternateContent xmlns:mc="http://schemas.openxmlformats.org/markup-compatibility/2006">
      <mc:Choice Requires="x14">
        <control shapeId="89184" r:id="rId87" name="STG6_Chemical">
          <controlPr defaultSize="0" disabled="1" autoLine="0" r:id="rId88">
            <anchor moveWithCells="1">
              <from>
                <xdr:col>4</xdr:col>
                <xdr:colOff>1295400</xdr:colOff>
                <xdr:row>25</xdr:row>
                <xdr:rowOff>9525</xdr:rowOff>
              </from>
              <to>
                <xdr:col>4</xdr:col>
                <xdr:colOff>2352675</xdr:colOff>
                <xdr:row>26</xdr:row>
                <xdr:rowOff>66675</xdr:rowOff>
              </to>
            </anchor>
          </controlPr>
        </control>
      </mc:Choice>
      <mc:Fallback>
        <control shapeId="89184" r:id="rId87" name="STG6_Chemical"/>
      </mc:Fallback>
    </mc:AlternateContent>
    <mc:AlternateContent xmlns:mc="http://schemas.openxmlformats.org/markup-compatibility/2006">
      <mc:Choice Requires="x14">
        <control shapeId="89183" r:id="rId89" name="ST5_HEPA">
          <controlPr defaultSize="0" disabled="1" autoLine="0" r:id="rId84">
            <anchor moveWithCells="1">
              <from>
                <xdr:col>4</xdr:col>
                <xdr:colOff>85725</xdr:colOff>
                <xdr:row>22</xdr:row>
                <xdr:rowOff>19050</xdr:rowOff>
              </from>
              <to>
                <xdr:col>4</xdr:col>
                <xdr:colOff>1143000</xdr:colOff>
                <xdr:row>23</xdr:row>
                <xdr:rowOff>76200</xdr:rowOff>
              </to>
            </anchor>
          </controlPr>
        </control>
      </mc:Choice>
      <mc:Fallback>
        <control shapeId="89183" r:id="rId89" name="ST5_HEPA"/>
      </mc:Fallback>
    </mc:AlternateContent>
    <mc:AlternateContent xmlns:mc="http://schemas.openxmlformats.org/markup-compatibility/2006">
      <mc:Choice Requires="x14">
        <control shapeId="89182" r:id="rId90" name="STG5_Carbon">
          <controlPr defaultSize="0" disabled="1" autoLine="0" r:id="rId86">
            <anchor moveWithCells="1">
              <from>
                <xdr:col>4</xdr:col>
                <xdr:colOff>76200</xdr:colOff>
                <xdr:row>21</xdr:row>
                <xdr:rowOff>9525</xdr:rowOff>
              </from>
              <to>
                <xdr:col>4</xdr:col>
                <xdr:colOff>1133475</xdr:colOff>
                <xdr:row>22</xdr:row>
                <xdr:rowOff>57150</xdr:rowOff>
              </to>
            </anchor>
          </controlPr>
        </control>
      </mc:Choice>
      <mc:Fallback>
        <control shapeId="89182" r:id="rId90" name="STG5_Carbon"/>
      </mc:Fallback>
    </mc:AlternateContent>
    <mc:AlternateContent xmlns:mc="http://schemas.openxmlformats.org/markup-compatibility/2006">
      <mc:Choice Requires="x14">
        <control shapeId="89181" r:id="rId91" name="STG5_Chemical">
          <controlPr defaultSize="0" disabled="1" autoLine="0" r:id="rId88">
            <anchor moveWithCells="1">
              <from>
                <xdr:col>4</xdr:col>
                <xdr:colOff>1247775</xdr:colOff>
                <xdr:row>21</xdr:row>
                <xdr:rowOff>19050</xdr:rowOff>
              </from>
              <to>
                <xdr:col>4</xdr:col>
                <xdr:colOff>2305050</xdr:colOff>
                <xdr:row>22</xdr:row>
                <xdr:rowOff>66675</xdr:rowOff>
              </to>
            </anchor>
          </controlPr>
        </control>
      </mc:Choice>
      <mc:Fallback>
        <control shapeId="89181" r:id="rId91" name="STG5_Chemical"/>
      </mc:Fallback>
    </mc:AlternateContent>
    <mc:AlternateContent xmlns:mc="http://schemas.openxmlformats.org/markup-compatibility/2006">
      <mc:Choice Requires="x14">
        <control shapeId="89180" r:id="rId92" name="STG1_ESP2">
          <controlPr defaultSize="0" autoLine="0" r:id="rId93">
            <anchor moveWithCells="1">
              <from>
                <xdr:col>4</xdr:col>
                <xdr:colOff>1247775</xdr:colOff>
                <xdr:row>2</xdr:row>
                <xdr:rowOff>200025</xdr:rowOff>
              </from>
              <to>
                <xdr:col>5</xdr:col>
                <xdr:colOff>19050</xdr:colOff>
                <xdr:row>4</xdr:row>
                <xdr:rowOff>9525</xdr:rowOff>
              </to>
            </anchor>
          </controlPr>
        </control>
      </mc:Choice>
      <mc:Fallback>
        <control shapeId="89180" r:id="rId92" name="STG1_ESP2"/>
      </mc:Fallback>
    </mc:AlternateContent>
    <mc:AlternateContent xmlns:mc="http://schemas.openxmlformats.org/markup-compatibility/2006">
      <mc:Choice Requires="x14">
        <control shapeId="89179" r:id="rId94" name="STG1_ESP1">
          <controlPr defaultSize="0" autoLine="0" autoPict="0" r:id="rId95">
            <anchor moveWithCells="1">
              <from>
                <xdr:col>4</xdr:col>
                <xdr:colOff>104775</xdr:colOff>
                <xdr:row>2</xdr:row>
                <xdr:rowOff>209550</xdr:rowOff>
              </from>
              <to>
                <xdr:col>4</xdr:col>
                <xdr:colOff>1257300</xdr:colOff>
                <xdr:row>4</xdr:row>
                <xdr:rowOff>19050</xdr:rowOff>
              </to>
            </anchor>
          </controlPr>
        </control>
      </mc:Choice>
      <mc:Fallback>
        <control shapeId="89179" r:id="rId94" name="STG1_ESP1"/>
      </mc:Fallback>
    </mc:AlternateContent>
    <mc:AlternateContent xmlns:mc="http://schemas.openxmlformats.org/markup-compatibility/2006">
      <mc:Choice Requires="x14">
        <control shapeId="89178" r:id="rId96" name="STG4_HEPA">
          <controlPr defaultSize="0" disabled="1" autoLine="0" r:id="rId84">
            <anchor moveWithCells="1">
              <from>
                <xdr:col>4</xdr:col>
                <xdr:colOff>133350</xdr:colOff>
                <xdr:row>18</xdr:row>
                <xdr:rowOff>38100</xdr:rowOff>
              </from>
              <to>
                <xdr:col>4</xdr:col>
                <xdr:colOff>1190625</xdr:colOff>
                <xdr:row>19</xdr:row>
                <xdr:rowOff>85725</xdr:rowOff>
              </to>
            </anchor>
          </controlPr>
        </control>
      </mc:Choice>
      <mc:Fallback>
        <control shapeId="89178" r:id="rId96" name="STG4_HEPA"/>
      </mc:Fallback>
    </mc:AlternateContent>
    <mc:AlternateContent xmlns:mc="http://schemas.openxmlformats.org/markup-compatibility/2006">
      <mc:Choice Requires="x14">
        <control shapeId="89177" r:id="rId97" name="STG4_Carbon">
          <controlPr defaultSize="0" disabled="1" autoLine="0" r:id="rId86">
            <anchor moveWithCells="1">
              <from>
                <xdr:col>4</xdr:col>
                <xdr:colOff>123825</xdr:colOff>
                <xdr:row>17</xdr:row>
                <xdr:rowOff>47625</xdr:rowOff>
              </from>
              <to>
                <xdr:col>4</xdr:col>
                <xdr:colOff>1181100</xdr:colOff>
                <xdr:row>18</xdr:row>
                <xdr:rowOff>95250</xdr:rowOff>
              </to>
            </anchor>
          </controlPr>
        </control>
      </mc:Choice>
      <mc:Fallback>
        <control shapeId="89177" r:id="rId97" name="STG4_Carbon"/>
      </mc:Fallback>
    </mc:AlternateContent>
    <mc:AlternateContent xmlns:mc="http://schemas.openxmlformats.org/markup-compatibility/2006">
      <mc:Choice Requires="x14">
        <control shapeId="89176" r:id="rId98" name="STG4_Chemical">
          <controlPr defaultSize="0" disabled="1" autoLine="0" r:id="rId99">
            <anchor moveWithCells="1">
              <from>
                <xdr:col>4</xdr:col>
                <xdr:colOff>1295400</xdr:colOff>
                <xdr:row>17</xdr:row>
                <xdr:rowOff>57150</xdr:rowOff>
              </from>
              <to>
                <xdr:col>4</xdr:col>
                <xdr:colOff>2352675</xdr:colOff>
                <xdr:row>18</xdr:row>
                <xdr:rowOff>104775</xdr:rowOff>
              </to>
            </anchor>
          </controlPr>
        </control>
      </mc:Choice>
      <mc:Fallback>
        <control shapeId="89176" r:id="rId98" name="STG4_Chemical"/>
      </mc:Fallback>
    </mc:AlternateContent>
    <mc:AlternateContent xmlns:mc="http://schemas.openxmlformats.org/markup-compatibility/2006">
      <mc:Choice Requires="x14">
        <control shapeId="89175" r:id="rId100" name="STG4_BAGF9">
          <controlPr defaultSize="0" disabled="1" autoLine="0" r:id="rId101">
            <anchor moveWithCells="1">
              <from>
                <xdr:col>4</xdr:col>
                <xdr:colOff>1276350</xdr:colOff>
                <xdr:row>16</xdr:row>
                <xdr:rowOff>66675</xdr:rowOff>
              </from>
              <to>
                <xdr:col>4</xdr:col>
                <xdr:colOff>2333625</xdr:colOff>
                <xdr:row>17</xdr:row>
                <xdr:rowOff>114300</xdr:rowOff>
              </to>
            </anchor>
          </controlPr>
        </control>
      </mc:Choice>
      <mc:Fallback>
        <control shapeId="89175" r:id="rId100" name="STG4_BAGF9"/>
      </mc:Fallback>
    </mc:AlternateContent>
    <mc:AlternateContent xmlns:mc="http://schemas.openxmlformats.org/markup-compatibility/2006">
      <mc:Choice Requires="x14">
        <control shapeId="89174" r:id="rId102" name="STG4_BAG">
          <controlPr defaultSize="0" disabled="1" autoLine="0" r:id="rId103">
            <anchor moveWithCells="1">
              <from>
                <xdr:col>4</xdr:col>
                <xdr:colOff>123825</xdr:colOff>
                <xdr:row>16</xdr:row>
                <xdr:rowOff>76200</xdr:rowOff>
              </from>
              <to>
                <xdr:col>4</xdr:col>
                <xdr:colOff>1181100</xdr:colOff>
                <xdr:row>17</xdr:row>
                <xdr:rowOff>123825</xdr:rowOff>
              </to>
            </anchor>
          </controlPr>
        </control>
      </mc:Choice>
      <mc:Fallback>
        <control shapeId="89174" r:id="rId102" name="STG4_BAG"/>
      </mc:Fallback>
    </mc:AlternateContent>
    <mc:AlternateContent xmlns:mc="http://schemas.openxmlformats.org/markup-compatibility/2006">
      <mc:Choice Requires="x14">
        <control shapeId="89172" r:id="rId104" name="STG3_HEPA">
          <controlPr defaultSize="0" disabled="1" autoLine="0" r:id="rId84">
            <anchor moveWithCells="1">
              <from>
                <xdr:col>4</xdr:col>
                <xdr:colOff>1285875</xdr:colOff>
                <xdr:row>13</xdr:row>
                <xdr:rowOff>9525</xdr:rowOff>
              </from>
              <to>
                <xdr:col>4</xdr:col>
                <xdr:colOff>2343150</xdr:colOff>
                <xdr:row>14</xdr:row>
                <xdr:rowOff>57150</xdr:rowOff>
              </to>
            </anchor>
          </controlPr>
        </control>
      </mc:Choice>
      <mc:Fallback>
        <control shapeId="89172" r:id="rId104" name="STG3_HEPA"/>
      </mc:Fallback>
    </mc:AlternateContent>
    <mc:AlternateContent xmlns:mc="http://schemas.openxmlformats.org/markup-compatibility/2006">
      <mc:Choice Requires="x14">
        <control shapeId="89171" r:id="rId105" name="STG3_Carbon">
          <controlPr defaultSize="0" disabled="1" autoLine="0" r:id="rId86">
            <anchor moveWithCells="1">
              <from>
                <xdr:col>4</xdr:col>
                <xdr:colOff>123825</xdr:colOff>
                <xdr:row>12</xdr:row>
                <xdr:rowOff>219075</xdr:rowOff>
              </from>
              <to>
                <xdr:col>4</xdr:col>
                <xdr:colOff>1181100</xdr:colOff>
                <xdr:row>14</xdr:row>
                <xdr:rowOff>28575</xdr:rowOff>
              </to>
            </anchor>
          </controlPr>
        </control>
      </mc:Choice>
      <mc:Fallback>
        <control shapeId="89171" r:id="rId105" name="STG3_Carbon"/>
      </mc:Fallback>
    </mc:AlternateContent>
    <mc:AlternateContent xmlns:mc="http://schemas.openxmlformats.org/markup-compatibility/2006">
      <mc:Choice Requires="x14">
        <control shapeId="89170" r:id="rId106" name="STG3_Chemical">
          <controlPr defaultSize="0" disabled="1" autoLine="0" r:id="rId99">
            <anchor moveWithCells="1">
              <from>
                <xdr:col>4</xdr:col>
                <xdr:colOff>1295400</xdr:colOff>
                <xdr:row>12</xdr:row>
                <xdr:rowOff>9525</xdr:rowOff>
              </from>
              <to>
                <xdr:col>4</xdr:col>
                <xdr:colOff>2352675</xdr:colOff>
                <xdr:row>13</xdr:row>
                <xdr:rowOff>57150</xdr:rowOff>
              </to>
            </anchor>
          </controlPr>
        </control>
      </mc:Choice>
      <mc:Fallback>
        <control shapeId="89170" r:id="rId106" name="STG3_Chemical"/>
      </mc:Fallback>
    </mc:AlternateContent>
    <mc:AlternateContent xmlns:mc="http://schemas.openxmlformats.org/markup-compatibility/2006">
      <mc:Choice Requires="x14">
        <control shapeId="89169" r:id="rId107" name="STG3_BAGF9">
          <controlPr defaultSize="0" disabled="1" autoLine="0" r:id="rId108">
            <anchor moveWithCells="1">
              <from>
                <xdr:col>4</xdr:col>
                <xdr:colOff>123825</xdr:colOff>
                <xdr:row>12</xdr:row>
                <xdr:rowOff>9525</xdr:rowOff>
              </from>
              <to>
                <xdr:col>4</xdr:col>
                <xdr:colOff>1181100</xdr:colOff>
                <xdr:row>13</xdr:row>
                <xdr:rowOff>57150</xdr:rowOff>
              </to>
            </anchor>
          </controlPr>
        </control>
      </mc:Choice>
      <mc:Fallback>
        <control shapeId="89169" r:id="rId107" name="STG3_BAGF9"/>
      </mc:Fallback>
    </mc:AlternateContent>
    <mc:AlternateContent xmlns:mc="http://schemas.openxmlformats.org/markup-compatibility/2006">
      <mc:Choice Requires="x14">
        <control shapeId="89168" r:id="rId109" name="STG3_BAG">
          <controlPr defaultSize="0" disabled="1" autoLine="0" r:id="rId103">
            <anchor moveWithCells="1">
              <from>
                <xdr:col>4</xdr:col>
                <xdr:colOff>1285875</xdr:colOff>
                <xdr:row>11</xdr:row>
                <xdr:rowOff>19050</xdr:rowOff>
              </from>
              <to>
                <xdr:col>4</xdr:col>
                <xdr:colOff>2343150</xdr:colOff>
                <xdr:row>12</xdr:row>
                <xdr:rowOff>66675</xdr:rowOff>
              </to>
            </anchor>
          </controlPr>
        </control>
      </mc:Choice>
      <mc:Fallback>
        <control shapeId="89168" r:id="rId109" name="STG3_BAG"/>
      </mc:Fallback>
    </mc:AlternateContent>
    <mc:AlternateContent xmlns:mc="http://schemas.openxmlformats.org/markup-compatibility/2006">
      <mc:Choice Requires="x14">
        <control shapeId="89167" r:id="rId110" name="STG3_Pleated">
          <controlPr defaultSize="0" disabled="1" autoLine="0" r:id="rId111">
            <anchor moveWithCells="1">
              <from>
                <xdr:col>4</xdr:col>
                <xdr:colOff>123825</xdr:colOff>
                <xdr:row>11</xdr:row>
                <xdr:rowOff>9525</xdr:rowOff>
              </from>
              <to>
                <xdr:col>4</xdr:col>
                <xdr:colOff>1181100</xdr:colOff>
                <xdr:row>12</xdr:row>
                <xdr:rowOff>57150</xdr:rowOff>
              </to>
            </anchor>
          </controlPr>
        </control>
      </mc:Choice>
      <mc:Fallback>
        <control shapeId="89167" r:id="rId110" name="STG3_Pleated"/>
      </mc:Fallback>
    </mc:AlternateContent>
    <mc:AlternateContent xmlns:mc="http://schemas.openxmlformats.org/markup-compatibility/2006">
      <mc:Choice Requires="x14">
        <control shapeId="89165" r:id="rId112" name="STG2_Carbon">
          <controlPr defaultSize="0" disabled="1" autoLine="0" r:id="rId113">
            <anchor moveWithCells="1">
              <from>
                <xdr:col>4</xdr:col>
                <xdr:colOff>95250</xdr:colOff>
                <xdr:row>8</xdr:row>
                <xdr:rowOff>76200</xdr:rowOff>
              </from>
              <to>
                <xdr:col>4</xdr:col>
                <xdr:colOff>1152525</xdr:colOff>
                <xdr:row>9</xdr:row>
                <xdr:rowOff>123825</xdr:rowOff>
              </to>
            </anchor>
          </controlPr>
        </control>
      </mc:Choice>
      <mc:Fallback>
        <control shapeId="89165" r:id="rId112" name="STG2_Carbon"/>
      </mc:Fallback>
    </mc:AlternateContent>
    <mc:AlternateContent xmlns:mc="http://schemas.openxmlformats.org/markup-compatibility/2006">
      <mc:Choice Requires="x14">
        <control shapeId="89164" r:id="rId114" name="STG2_Chemical">
          <controlPr defaultSize="0" disabled="1" autoLine="0" r:id="rId99">
            <anchor moveWithCells="1">
              <from>
                <xdr:col>4</xdr:col>
                <xdr:colOff>1266825</xdr:colOff>
                <xdr:row>7</xdr:row>
                <xdr:rowOff>66675</xdr:rowOff>
              </from>
              <to>
                <xdr:col>4</xdr:col>
                <xdr:colOff>2324100</xdr:colOff>
                <xdr:row>8</xdr:row>
                <xdr:rowOff>114300</xdr:rowOff>
              </to>
            </anchor>
          </controlPr>
        </control>
      </mc:Choice>
      <mc:Fallback>
        <control shapeId="89164" r:id="rId114" name="STG2_Chemical"/>
      </mc:Fallback>
    </mc:AlternateContent>
    <mc:AlternateContent xmlns:mc="http://schemas.openxmlformats.org/markup-compatibility/2006">
      <mc:Choice Requires="x14">
        <control shapeId="89163" r:id="rId115" name="STG2_BAGF9">
          <controlPr defaultSize="0" disabled="1" autoLine="0" r:id="rId116">
            <anchor moveWithCells="1">
              <from>
                <xdr:col>4</xdr:col>
                <xdr:colOff>95250</xdr:colOff>
                <xdr:row>7</xdr:row>
                <xdr:rowOff>66675</xdr:rowOff>
              </from>
              <to>
                <xdr:col>4</xdr:col>
                <xdr:colOff>1152525</xdr:colOff>
                <xdr:row>8</xdr:row>
                <xdr:rowOff>114300</xdr:rowOff>
              </to>
            </anchor>
          </controlPr>
        </control>
      </mc:Choice>
      <mc:Fallback>
        <control shapeId="89163" r:id="rId115" name="STG2_BAGF9"/>
      </mc:Fallback>
    </mc:AlternateContent>
    <mc:AlternateContent xmlns:mc="http://schemas.openxmlformats.org/markup-compatibility/2006">
      <mc:Choice Requires="x14">
        <control shapeId="89162" r:id="rId117" name="STG2_BAG">
          <controlPr defaultSize="0" disabled="1" autoLine="0" r:id="rId103">
            <anchor moveWithCells="1">
              <from>
                <xdr:col>4</xdr:col>
                <xdr:colOff>1257300</xdr:colOff>
                <xdr:row>6</xdr:row>
                <xdr:rowOff>57150</xdr:rowOff>
              </from>
              <to>
                <xdr:col>4</xdr:col>
                <xdr:colOff>2314575</xdr:colOff>
                <xdr:row>7</xdr:row>
                <xdr:rowOff>104775</xdr:rowOff>
              </to>
            </anchor>
          </controlPr>
        </control>
      </mc:Choice>
      <mc:Fallback>
        <control shapeId="89162" r:id="rId117" name="STG2_BAG"/>
      </mc:Fallback>
    </mc:AlternateContent>
    <mc:AlternateContent xmlns:mc="http://schemas.openxmlformats.org/markup-compatibility/2006">
      <mc:Choice Requires="x14">
        <control shapeId="89161" r:id="rId118" name="STG2_Pleated">
          <controlPr defaultSize="0" disabled="1" autoLine="0" r:id="rId111">
            <anchor moveWithCells="1">
              <from>
                <xdr:col>4</xdr:col>
                <xdr:colOff>95250</xdr:colOff>
                <xdr:row>6</xdr:row>
                <xdr:rowOff>47625</xdr:rowOff>
              </from>
              <to>
                <xdr:col>4</xdr:col>
                <xdr:colOff>1152525</xdr:colOff>
                <xdr:row>7</xdr:row>
                <xdr:rowOff>95250</xdr:rowOff>
              </to>
            </anchor>
          </controlPr>
        </control>
      </mc:Choice>
      <mc:Fallback>
        <control shapeId="89161" r:id="rId118" name="STG2_Pleated"/>
      </mc:Fallback>
    </mc:AlternateContent>
    <mc:AlternateContent xmlns:mc="http://schemas.openxmlformats.org/markup-compatibility/2006">
      <mc:Choice Requires="x14">
        <control shapeId="89160" r:id="rId119" name="STG2_AL2">
          <controlPr defaultSize="0" disabled="1" autoLine="0" r:id="rId120">
            <anchor moveWithCells="1">
              <from>
                <xdr:col>4</xdr:col>
                <xdr:colOff>1247775</xdr:colOff>
                <xdr:row>5</xdr:row>
                <xdr:rowOff>38100</xdr:rowOff>
              </from>
              <to>
                <xdr:col>4</xdr:col>
                <xdr:colOff>2305050</xdr:colOff>
                <xdr:row>6</xdr:row>
                <xdr:rowOff>85725</xdr:rowOff>
              </to>
            </anchor>
          </controlPr>
        </control>
      </mc:Choice>
      <mc:Fallback>
        <control shapeId="89160" r:id="rId119" name="STG2_AL2"/>
      </mc:Fallback>
    </mc:AlternateContent>
    <mc:AlternateContent xmlns:mc="http://schemas.openxmlformats.org/markup-compatibility/2006">
      <mc:Choice Requires="x14">
        <control shapeId="89159" r:id="rId121" name="STG2_AL1">
          <controlPr defaultSize="0" disabled="1" autoLine="0" r:id="rId122">
            <anchor moveWithCells="1">
              <from>
                <xdr:col>4</xdr:col>
                <xdr:colOff>95250</xdr:colOff>
                <xdr:row>5</xdr:row>
                <xdr:rowOff>28575</xdr:rowOff>
              </from>
              <to>
                <xdr:col>4</xdr:col>
                <xdr:colOff>1152525</xdr:colOff>
                <xdr:row>6</xdr:row>
                <xdr:rowOff>76200</xdr:rowOff>
              </to>
            </anchor>
          </controlPr>
        </control>
      </mc:Choice>
      <mc:Fallback>
        <control shapeId="89159" r:id="rId121" name="STG2_AL1"/>
      </mc:Fallback>
    </mc:AlternateContent>
    <mc:AlternateContent xmlns:mc="http://schemas.openxmlformats.org/markup-compatibility/2006">
      <mc:Choice Requires="x14">
        <control shapeId="89158" r:id="rId123" name="STG1_ESP">
          <controlPr defaultSize="0" autoLine="0" r:id="rId124">
            <anchor moveWithCells="1">
              <from>
                <xdr:col>4</xdr:col>
                <xdr:colOff>1247775</xdr:colOff>
                <xdr:row>1</xdr:row>
                <xdr:rowOff>219075</xdr:rowOff>
              </from>
              <to>
                <xdr:col>4</xdr:col>
                <xdr:colOff>2305050</xdr:colOff>
                <xdr:row>3</xdr:row>
                <xdr:rowOff>28575</xdr:rowOff>
              </to>
            </anchor>
          </controlPr>
        </control>
      </mc:Choice>
      <mc:Fallback>
        <control shapeId="89158" r:id="rId123" name="STG1_ESP"/>
      </mc:Fallback>
    </mc:AlternateContent>
    <mc:AlternateContent xmlns:mc="http://schemas.openxmlformats.org/markup-compatibility/2006">
      <mc:Choice Requires="x14">
        <control shapeId="89155" r:id="rId125" name="STG1_Pleated">
          <controlPr defaultSize="0" autoLine="0" r:id="rId126">
            <anchor moveWithCells="1">
              <from>
                <xdr:col>4</xdr:col>
                <xdr:colOff>104775</xdr:colOff>
                <xdr:row>1</xdr:row>
                <xdr:rowOff>209550</xdr:rowOff>
              </from>
              <to>
                <xdr:col>4</xdr:col>
                <xdr:colOff>1162050</xdr:colOff>
                <xdr:row>3</xdr:row>
                <xdr:rowOff>19050</xdr:rowOff>
              </to>
            </anchor>
          </controlPr>
        </control>
      </mc:Choice>
      <mc:Fallback>
        <control shapeId="89155" r:id="rId125" name="STG1_Pleated"/>
      </mc:Fallback>
    </mc:AlternateContent>
    <mc:AlternateContent xmlns:mc="http://schemas.openxmlformats.org/markup-compatibility/2006">
      <mc:Choice Requires="x14">
        <control shapeId="89154" r:id="rId127" name="STG1_AL2">
          <controlPr defaultSize="0" autoLine="0" r:id="rId128">
            <anchor moveWithCells="1">
              <from>
                <xdr:col>4</xdr:col>
                <xdr:colOff>1247775</xdr:colOff>
                <xdr:row>1</xdr:row>
                <xdr:rowOff>0</xdr:rowOff>
              </from>
              <to>
                <xdr:col>4</xdr:col>
                <xdr:colOff>2305050</xdr:colOff>
                <xdr:row>2</xdr:row>
                <xdr:rowOff>47625</xdr:rowOff>
              </to>
            </anchor>
          </controlPr>
        </control>
      </mc:Choice>
      <mc:Fallback>
        <control shapeId="89154" r:id="rId127" name="STG1_AL2"/>
      </mc:Fallback>
    </mc:AlternateContent>
    <mc:AlternateContent xmlns:mc="http://schemas.openxmlformats.org/markup-compatibility/2006">
      <mc:Choice Requires="x14">
        <control shapeId="89153" r:id="rId129" name="STG1_AL1">
          <controlPr defaultSize="0" autoLine="0" r:id="rId130">
            <anchor moveWithCells="1">
              <from>
                <xdr:col>4</xdr:col>
                <xdr:colOff>95250</xdr:colOff>
                <xdr:row>0</xdr:row>
                <xdr:rowOff>285750</xdr:rowOff>
              </from>
              <to>
                <xdr:col>4</xdr:col>
                <xdr:colOff>1152525</xdr:colOff>
                <xdr:row>2</xdr:row>
                <xdr:rowOff>38100</xdr:rowOff>
              </to>
            </anchor>
          </controlPr>
        </control>
      </mc:Choice>
      <mc:Fallback>
        <control shapeId="89153" r:id="rId129" name="STG1_AL1"/>
      </mc:Fallback>
    </mc:AlternateContent>
    <mc:AlternateContent xmlns:mc="http://schemas.openxmlformats.org/markup-compatibility/2006">
      <mc:Choice Requires="x14">
        <control shapeId="89152" r:id="rId131" name="Mixing_Bulkhead">
          <controlPr defaultSize="0" disabled="1" autoLine="0" r:id="rId132">
            <anchor moveWithCells="1">
              <from>
                <xdr:col>3</xdr:col>
                <xdr:colOff>76200</xdr:colOff>
                <xdr:row>22</xdr:row>
                <xdr:rowOff>200025</xdr:rowOff>
              </from>
              <to>
                <xdr:col>3</xdr:col>
                <xdr:colOff>1285875</xdr:colOff>
                <xdr:row>24</xdr:row>
                <xdr:rowOff>0</xdr:rowOff>
              </to>
            </anchor>
          </controlPr>
        </control>
      </mc:Choice>
      <mc:Fallback>
        <control shapeId="89152" r:id="rId131" name="Mixing_Bulkhead"/>
      </mc:Fallback>
    </mc:AlternateContent>
    <mc:AlternateContent xmlns:mc="http://schemas.openxmlformats.org/markup-compatibility/2006">
      <mc:Choice Requires="x14">
        <control shapeId="89151" r:id="rId133" name="Mixing_Inspection">
          <controlPr defaultSize="0" disabled="1" autoLine="0" r:id="rId134">
            <anchor moveWithCells="1">
              <from>
                <xdr:col>3</xdr:col>
                <xdr:colOff>95250</xdr:colOff>
                <xdr:row>22</xdr:row>
                <xdr:rowOff>0</xdr:rowOff>
              </from>
              <to>
                <xdr:col>3</xdr:col>
                <xdr:colOff>1304925</xdr:colOff>
                <xdr:row>23</xdr:row>
                <xdr:rowOff>38100</xdr:rowOff>
              </to>
            </anchor>
          </controlPr>
        </control>
      </mc:Choice>
      <mc:Fallback>
        <control shapeId="89151" r:id="rId133" name="Mixing_Inspection"/>
      </mc:Fallback>
    </mc:AlternateContent>
    <mc:AlternateContent xmlns:mc="http://schemas.openxmlformats.org/markup-compatibility/2006">
      <mc:Choice Requires="x14">
        <control shapeId="89150" r:id="rId135" name="Damper_Return">
          <controlPr defaultSize="0" disabled="1" autoLine="0" r:id="rId136">
            <anchor moveWithCells="1">
              <from>
                <xdr:col>3</xdr:col>
                <xdr:colOff>104775</xdr:colOff>
                <xdr:row>21</xdr:row>
                <xdr:rowOff>19050</xdr:rowOff>
              </from>
              <to>
                <xdr:col>3</xdr:col>
                <xdr:colOff>2000250</xdr:colOff>
                <xdr:row>22</xdr:row>
                <xdr:rowOff>47625</xdr:rowOff>
              </to>
            </anchor>
          </controlPr>
        </control>
      </mc:Choice>
      <mc:Fallback>
        <control shapeId="89150" r:id="rId135" name="Damper_Return"/>
      </mc:Fallback>
    </mc:AlternateContent>
    <mc:AlternateContent xmlns:mc="http://schemas.openxmlformats.org/markup-compatibility/2006">
      <mc:Choice Requires="x14">
        <control shapeId="89146" r:id="rId137" name="Back_Exhaust">
          <controlPr defaultSize="0" disabled="1" autoLine="0" r:id="rId138">
            <anchor moveWithCells="1">
              <from>
                <xdr:col>3</xdr:col>
                <xdr:colOff>76200</xdr:colOff>
                <xdr:row>13</xdr:row>
                <xdr:rowOff>38100</xdr:rowOff>
              </from>
              <to>
                <xdr:col>3</xdr:col>
                <xdr:colOff>1200150</xdr:colOff>
                <xdr:row>14</xdr:row>
                <xdr:rowOff>85725</xdr:rowOff>
              </to>
            </anchor>
          </controlPr>
        </control>
      </mc:Choice>
      <mc:Fallback>
        <control shapeId="89146" r:id="rId137" name="Back_Exhaust"/>
      </mc:Fallback>
    </mc:AlternateContent>
    <mc:AlternateContent xmlns:mc="http://schemas.openxmlformats.org/markup-compatibility/2006">
      <mc:Choice Requires="x14">
        <control shapeId="89145" r:id="rId139" name="Side_Exhaust">
          <controlPr defaultSize="0" disabled="1" autoLine="0" r:id="rId140">
            <anchor moveWithCells="1">
              <from>
                <xdr:col>3</xdr:col>
                <xdr:colOff>1171575</xdr:colOff>
                <xdr:row>13</xdr:row>
                <xdr:rowOff>57150</xdr:rowOff>
              </from>
              <to>
                <xdr:col>3</xdr:col>
                <xdr:colOff>2295525</xdr:colOff>
                <xdr:row>14</xdr:row>
                <xdr:rowOff>104775</xdr:rowOff>
              </to>
            </anchor>
          </controlPr>
        </control>
      </mc:Choice>
      <mc:Fallback>
        <control shapeId="89145" r:id="rId139" name="Side_Exhaust"/>
      </mc:Fallback>
    </mc:AlternateContent>
    <mc:AlternateContent xmlns:mc="http://schemas.openxmlformats.org/markup-compatibility/2006">
      <mc:Choice Requires="x14">
        <control shapeId="89144" r:id="rId141" name="Top_Exhaust">
          <controlPr defaultSize="0" disabled="1" autoLine="0" r:id="rId142">
            <anchor moveWithCells="1">
              <from>
                <xdr:col>3</xdr:col>
                <xdr:colOff>85725</xdr:colOff>
                <xdr:row>14</xdr:row>
                <xdr:rowOff>19050</xdr:rowOff>
              </from>
              <to>
                <xdr:col>3</xdr:col>
                <xdr:colOff>1162050</xdr:colOff>
                <xdr:row>15</xdr:row>
                <xdr:rowOff>66675</xdr:rowOff>
              </to>
            </anchor>
          </controlPr>
        </control>
      </mc:Choice>
      <mc:Fallback>
        <control shapeId="89144" r:id="rId141" name="Top_Exhaust"/>
      </mc:Fallback>
    </mc:AlternateContent>
    <mc:AlternateContent xmlns:mc="http://schemas.openxmlformats.org/markup-compatibility/2006">
      <mc:Choice Requires="x14">
        <control shapeId="89143" r:id="rId143" name="Mixing_Access_Right">
          <controlPr defaultSize="0" disabled="1" autoLine="0" r:id="rId144">
            <anchor moveWithCells="1">
              <from>
                <xdr:col>3</xdr:col>
                <xdr:colOff>1419225</xdr:colOff>
                <xdr:row>17</xdr:row>
                <xdr:rowOff>200025</xdr:rowOff>
              </from>
              <to>
                <xdr:col>3</xdr:col>
                <xdr:colOff>1962150</xdr:colOff>
                <xdr:row>19</xdr:row>
                <xdr:rowOff>9525</xdr:rowOff>
              </to>
            </anchor>
          </controlPr>
        </control>
      </mc:Choice>
      <mc:Fallback>
        <control shapeId="89143" r:id="rId143" name="Mixing_Access_Right"/>
      </mc:Fallback>
    </mc:AlternateContent>
    <mc:AlternateContent xmlns:mc="http://schemas.openxmlformats.org/markup-compatibility/2006">
      <mc:Choice Requires="x14">
        <control shapeId="89142" r:id="rId145" name="Mixing_Access_Left">
          <controlPr defaultSize="0" disabled="1" autoLine="0" r:id="rId146">
            <anchor moveWithCells="1">
              <from>
                <xdr:col>3</xdr:col>
                <xdr:colOff>1419225</xdr:colOff>
                <xdr:row>17</xdr:row>
                <xdr:rowOff>0</xdr:rowOff>
              </from>
              <to>
                <xdr:col>3</xdr:col>
                <xdr:colOff>1962150</xdr:colOff>
                <xdr:row>18</xdr:row>
                <xdr:rowOff>47625</xdr:rowOff>
              </to>
            </anchor>
          </controlPr>
        </control>
      </mc:Choice>
      <mc:Fallback>
        <control shapeId="89142" r:id="rId145" name="Mixing_Access_Left"/>
      </mc:Fallback>
    </mc:AlternateContent>
    <mc:AlternateContent xmlns:mc="http://schemas.openxmlformats.org/markup-compatibility/2006">
      <mc:Choice Requires="x14">
        <control shapeId="89141" r:id="rId147" name="Mixing_Access_Both">
          <controlPr defaultSize="0" disabled="1" autoLine="0" r:id="rId148">
            <anchor moveWithCells="1">
              <from>
                <xdr:col>3</xdr:col>
                <xdr:colOff>104775</xdr:colOff>
                <xdr:row>18</xdr:row>
                <xdr:rowOff>200025</xdr:rowOff>
              </from>
              <to>
                <xdr:col>3</xdr:col>
                <xdr:colOff>1609725</xdr:colOff>
                <xdr:row>19</xdr:row>
                <xdr:rowOff>228600</xdr:rowOff>
              </to>
            </anchor>
          </controlPr>
        </control>
      </mc:Choice>
      <mc:Fallback>
        <control shapeId="89141" r:id="rId147" name="Mixing_Access_Both"/>
      </mc:Fallback>
    </mc:AlternateContent>
    <mc:AlternateContent xmlns:mc="http://schemas.openxmlformats.org/markup-compatibility/2006">
      <mc:Choice Requires="x14">
        <control shapeId="89140" r:id="rId149" name="Mixing_Access_Panel">
          <controlPr defaultSize="0" disabled="1" autoLine="0" r:id="rId150">
            <anchor moveWithCells="1">
              <from>
                <xdr:col>3</xdr:col>
                <xdr:colOff>95250</xdr:colOff>
                <xdr:row>16</xdr:row>
                <xdr:rowOff>228600</xdr:rowOff>
              </from>
              <to>
                <xdr:col>3</xdr:col>
                <xdr:colOff>1152525</xdr:colOff>
                <xdr:row>18</xdr:row>
                <xdr:rowOff>38100</xdr:rowOff>
              </to>
            </anchor>
          </controlPr>
        </control>
      </mc:Choice>
      <mc:Fallback>
        <control shapeId="89140" r:id="rId149" name="Mixing_Access_Panel"/>
      </mc:Fallback>
    </mc:AlternateContent>
    <mc:AlternateContent xmlns:mc="http://schemas.openxmlformats.org/markup-compatibility/2006">
      <mc:Choice Requires="x14">
        <control shapeId="89139" r:id="rId151" name="Mixing_Access_Door">
          <controlPr defaultSize="0" disabled="1" autoLine="0" r:id="rId152">
            <anchor moveWithCells="1">
              <from>
                <xdr:col>3</xdr:col>
                <xdr:colOff>95250</xdr:colOff>
                <xdr:row>17</xdr:row>
                <xdr:rowOff>200025</xdr:rowOff>
              </from>
              <to>
                <xdr:col>3</xdr:col>
                <xdr:colOff>1152525</xdr:colOff>
                <xdr:row>19</xdr:row>
                <xdr:rowOff>9525</xdr:rowOff>
              </to>
            </anchor>
          </controlPr>
        </control>
      </mc:Choice>
      <mc:Fallback>
        <control shapeId="89139" r:id="rId151" name="Mixing_Access_Door"/>
      </mc:Fallback>
    </mc:AlternateContent>
    <mc:AlternateContent xmlns:mc="http://schemas.openxmlformats.org/markup-compatibility/2006">
      <mc:Choice Requires="x14">
        <control shapeId="89138" r:id="rId153" name="Back_Return">
          <controlPr defaultSize="0" disabled="1" autoLine="0" r:id="rId154">
            <anchor moveWithCells="1">
              <from>
                <xdr:col>3</xdr:col>
                <xdr:colOff>76200</xdr:colOff>
                <xdr:row>9</xdr:row>
                <xdr:rowOff>76200</xdr:rowOff>
              </from>
              <to>
                <xdr:col>3</xdr:col>
                <xdr:colOff>1200150</xdr:colOff>
                <xdr:row>10</xdr:row>
                <xdr:rowOff>123825</xdr:rowOff>
              </to>
            </anchor>
          </controlPr>
        </control>
      </mc:Choice>
      <mc:Fallback>
        <control shapeId="89138" r:id="rId153" name="Back_Return"/>
      </mc:Fallback>
    </mc:AlternateContent>
    <mc:AlternateContent xmlns:mc="http://schemas.openxmlformats.org/markup-compatibility/2006">
      <mc:Choice Requires="x14">
        <control shapeId="89137" r:id="rId155" name="Side_Return">
          <controlPr defaultSize="0" disabled="1" autoLine="0" r:id="rId156">
            <anchor moveWithCells="1">
              <from>
                <xdr:col>3</xdr:col>
                <xdr:colOff>1171575</xdr:colOff>
                <xdr:row>9</xdr:row>
                <xdr:rowOff>95250</xdr:rowOff>
              </from>
              <to>
                <xdr:col>3</xdr:col>
                <xdr:colOff>2295525</xdr:colOff>
                <xdr:row>10</xdr:row>
                <xdr:rowOff>142875</xdr:rowOff>
              </to>
            </anchor>
          </controlPr>
        </control>
      </mc:Choice>
      <mc:Fallback>
        <control shapeId="89137" r:id="rId155" name="Side_Return"/>
      </mc:Fallback>
    </mc:AlternateContent>
    <mc:AlternateContent xmlns:mc="http://schemas.openxmlformats.org/markup-compatibility/2006">
      <mc:Choice Requires="x14">
        <control shapeId="89136" r:id="rId157" name="Top_Return">
          <controlPr defaultSize="0" disabled="1" autoLine="0" r:id="rId158">
            <anchor moveWithCells="1">
              <from>
                <xdr:col>3</xdr:col>
                <xdr:colOff>85725</xdr:colOff>
                <xdr:row>10</xdr:row>
                <xdr:rowOff>57150</xdr:rowOff>
              </from>
              <to>
                <xdr:col>3</xdr:col>
                <xdr:colOff>1162050</xdr:colOff>
                <xdr:row>11</xdr:row>
                <xdr:rowOff>104775</xdr:rowOff>
              </to>
            </anchor>
          </controlPr>
        </control>
      </mc:Choice>
      <mc:Fallback>
        <control shapeId="89136" r:id="rId157" name="Top_Return"/>
      </mc:Fallback>
    </mc:AlternateContent>
    <mc:AlternateContent xmlns:mc="http://schemas.openxmlformats.org/markup-compatibility/2006">
      <mc:Choice Requires="x14">
        <control shapeId="89134" r:id="rId159" name="Back_Fresh">
          <controlPr defaultSize="0" disabled="1" autoLine="0" r:id="rId160">
            <anchor moveWithCells="1">
              <from>
                <xdr:col>3</xdr:col>
                <xdr:colOff>76200</xdr:colOff>
                <xdr:row>5</xdr:row>
                <xdr:rowOff>66675</xdr:rowOff>
              </from>
              <to>
                <xdr:col>3</xdr:col>
                <xdr:colOff>1200150</xdr:colOff>
                <xdr:row>6</xdr:row>
                <xdr:rowOff>114300</xdr:rowOff>
              </to>
            </anchor>
          </controlPr>
        </control>
      </mc:Choice>
      <mc:Fallback>
        <control shapeId="89134" r:id="rId159" name="Back_Fresh"/>
      </mc:Fallback>
    </mc:AlternateContent>
    <mc:AlternateContent xmlns:mc="http://schemas.openxmlformats.org/markup-compatibility/2006">
      <mc:Choice Requires="x14">
        <control shapeId="89133" r:id="rId161" name="Side_Fresh">
          <controlPr defaultSize="0" disabled="1" autoLine="0" r:id="rId162">
            <anchor moveWithCells="1">
              <from>
                <xdr:col>3</xdr:col>
                <xdr:colOff>1171575</xdr:colOff>
                <xdr:row>5</xdr:row>
                <xdr:rowOff>85725</xdr:rowOff>
              </from>
              <to>
                <xdr:col>3</xdr:col>
                <xdr:colOff>2295525</xdr:colOff>
                <xdr:row>6</xdr:row>
                <xdr:rowOff>133350</xdr:rowOff>
              </to>
            </anchor>
          </controlPr>
        </control>
      </mc:Choice>
      <mc:Fallback>
        <control shapeId="89133" r:id="rId161" name="Side_Fresh"/>
      </mc:Fallback>
    </mc:AlternateContent>
    <mc:AlternateContent xmlns:mc="http://schemas.openxmlformats.org/markup-compatibility/2006">
      <mc:Choice Requires="x14">
        <control shapeId="89132" r:id="rId163" name="Top_Fresh">
          <controlPr defaultSize="0" disabled="1" autoLine="0" r:id="rId164">
            <anchor moveWithCells="1">
              <from>
                <xdr:col>3</xdr:col>
                <xdr:colOff>85725</xdr:colOff>
                <xdr:row>6</xdr:row>
                <xdr:rowOff>38100</xdr:rowOff>
              </from>
              <to>
                <xdr:col>3</xdr:col>
                <xdr:colOff>1162050</xdr:colOff>
                <xdr:row>7</xdr:row>
                <xdr:rowOff>85725</xdr:rowOff>
              </to>
            </anchor>
          </controlPr>
        </control>
      </mc:Choice>
      <mc:Fallback>
        <control shapeId="89132" r:id="rId163" name="Top_Fresh"/>
      </mc:Fallback>
    </mc:AlternateContent>
    <mc:AlternateContent xmlns:mc="http://schemas.openxmlformats.org/markup-compatibility/2006">
      <mc:Choice Requires="x14">
        <control shapeId="89131" r:id="rId165" name="Economizer">
          <controlPr defaultSize="0" disabled="1" autoLine="0" r:id="rId166">
            <anchor moveWithCells="1">
              <from>
                <xdr:col>3</xdr:col>
                <xdr:colOff>1228725</xdr:colOff>
                <xdr:row>2</xdr:row>
                <xdr:rowOff>66675</xdr:rowOff>
              </from>
              <to>
                <xdr:col>3</xdr:col>
                <xdr:colOff>2286000</xdr:colOff>
                <xdr:row>3</xdr:row>
                <xdr:rowOff>114300</xdr:rowOff>
              </to>
            </anchor>
          </controlPr>
        </control>
      </mc:Choice>
      <mc:Fallback>
        <control shapeId="89131" r:id="rId165" name="Economizer"/>
      </mc:Fallback>
    </mc:AlternateContent>
    <mc:AlternateContent xmlns:mc="http://schemas.openxmlformats.org/markup-compatibility/2006">
      <mc:Choice Requires="x14">
        <control shapeId="89130" r:id="rId167" name="Return_Plenum">
          <controlPr defaultSize="0" disabled="1" autoLine="0" r:id="rId168">
            <anchor moveWithCells="1">
              <from>
                <xdr:col>3</xdr:col>
                <xdr:colOff>95250</xdr:colOff>
                <xdr:row>2</xdr:row>
                <xdr:rowOff>66675</xdr:rowOff>
              </from>
              <to>
                <xdr:col>3</xdr:col>
                <xdr:colOff>1152525</xdr:colOff>
                <xdr:row>3</xdr:row>
                <xdr:rowOff>114300</xdr:rowOff>
              </to>
            </anchor>
          </controlPr>
        </control>
      </mc:Choice>
      <mc:Fallback>
        <control shapeId="89130" r:id="rId167" name="Return_Plenum"/>
      </mc:Fallback>
    </mc:AlternateContent>
    <mc:AlternateContent xmlns:mc="http://schemas.openxmlformats.org/markup-compatibility/2006">
      <mc:Choice Requires="x14">
        <control shapeId="89129" r:id="rId169" name="Mixingbox">
          <controlPr defaultSize="0" disabled="1" autoLine="0" r:id="rId170">
            <anchor moveWithCells="1">
              <from>
                <xdr:col>3</xdr:col>
                <xdr:colOff>1257300</xdr:colOff>
                <xdr:row>1</xdr:row>
                <xdr:rowOff>38100</xdr:rowOff>
              </from>
              <to>
                <xdr:col>3</xdr:col>
                <xdr:colOff>2314575</xdr:colOff>
                <xdr:row>2</xdr:row>
                <xdr:rowOff>85725</xdr:rowOff>
              </to>
            </anchor>
          </controlPr>
        </control>
      </mc:Choice>
      <mc:Fallback>
        <control shapeId="89129" r:id="rId169" name="Mixingbox"/>
      </mc:Fallback>
    </mc:AlternateContent>
    <mc:AlternateContent xmlns:mc="http://schemas.openxmlformats.org/markup-compatibility/2006">
      <mc:Choice Requires="x14">
        <control shapeId="89128" r:id="rId171" name="Damper">
          <controlPr defaultSize="0" disabled="1" autoLine="0" r:id="rId172">
            <anchor moveWithCells="1">
              <from>
                <xdr:col>3</xdr:col>
                <xdr:colOff>95250</xdr:colOff>
                <xdr:row>1</xdr:row>
                <xdr:rowOff>28575</xdr:rowOff>
              </from>
              <to>
                <xdr:col>3</xdr:col>
                <xdr:colOff>1152525</xdr:colOff>
                <xdr:row>2</xdr:row>
                <xdr:rowOff>76200</xdr:rowOff>
              </to>
            </anchor>
          </controlPr>
        </control>
      </mc:Choice>
      <mc:Fallback>
        <control shapeId="89128" r:id="rId171" name="Damper"/>
      </mc:Fallback>
    </mc:AlternateContent>
    <mc:AlternateContent xmlns:mc="http://schemas.openxmlformats.org/markup-compatibility/2006">
      <mc:Choice Requires="x14">
        <control shapeId="89127" r:id="rId173" name="PlenumFanEPFN">
          <controlPr defaultSize="0" autoLine="0" r:id="rId174">
            <anchor moveWithCells="1">
              <from>
                <xdr:col>2</xdr:col>
                <xdr:colOff>1228725</xdr:colOff>
                <xdr:row>1</xdr:row>
                <xdr:rowOff>209550</xdr:rowOff>
              </from>
              <to>
                <xdr:col>2</xdr:col>
                <xdr:colOff>2305050</xdr:colOff>
                <xdr:row>3</xdr:row>
                <xdr:rowOff>19050</xdr:rowOff>
              </to>
            </anchor>
          </controlPr>
        </control>
      </mc:Choice>
      <mc:Fallback>
        <control shapeId="89127" r:id="rId173" name="PlenumFanEPFN"/>
      </mc:Fallback>
    </mc:AlternateContent>
    <mc:AlternateContent xmlns:mc="http://schemas.openxmlformats.org/markup-compatibility/2006">
      <mc:Choice Requires="x14">
        <control shapeId="89125" r:id="rId175" name="Return_Fan">
          <controlPr defaultSize="0" autoLine="0" r:id="rId176">
            <anchor moveWithCells="1">
              <from>
                <xdr:col>2</xdr:col>
                <xdr:colOff>1276350</xdr:colOff>
                <xdr:row>18</xdr:row>
                <xdr:rowOff>28575</xdr:rowOff>
              </from>
              <to>
                <xdr:col>3</xdr:col>
                <xdr:colOff>104775</xdr:colOff>
                <xdr:row>19</xdr:row>
                <xdr:rowOff>57150</xdr:rowOff>
              </to>
            </anchor>
          </controlPr>
        </control>
      </mc:Choice>
      <mc:Fallback>
        <control shapeId="89125" r:id="rId175" name="Return_Fan"/>
      </mc:Fallback>
    </mc:AlternateContent>
    <mc:AlternateContent xmlns:mc="http://schemas.openxmlformats.org/markup-compatibility/2006">
      <mc:Choice Requires="x14">
        <control shapeId="89124" r:id="rId177" name="Motor2_2RFan">
          <controlPr defaultSize="0" autoLine="0" r:id="rId48">
            <anchor moveWithCells="1">
              <from>
                <xdr:col>2</xdr:col>
                <xdr:colOff>57150</xdr:colOff>
                <xdr:row>20</xdr:row>
                <xdr:rowOff>0</xdr:rowOff>
              </from>
              <to>
                <xdr:col>2</xdr:col>
                <xdr:colOff>1562100</xdr:colOff>
                <xdr:row>21</xdr:row>
                <xdr:rowOff>28575</xdr:rowOff>
              </to>
            </anchor>
          </controlPr>
        </control>
      </mc:Choice>
      <mc:Fallback>
        <control shapeId="89124" r:id="rId177" name="Motor2_2RFan"/>
      </mc:Fallback>
    </mc:AlternateContent>
    <mc:AlternateContent xmlns:mc="http://schemas.openxmlformats.org/markup-compatibility/2006">
      <mc:Choice Requires="x14">
        <control shapeId="89123" r:id="rId178" name="Motor2_1RFan">
          <controlPr defaultSize="0" autoLine="0" r:id="rId179">
            <anchor moveWithCells="1">
              <from>
                <xdr:col>2</xdr:col>
                <xdr:colOff>66675</xdr:colOff>
                <xdr:row>19</xdr:row>
                <xdr:rowOff>19050</xdr:rowOff>
              </from>
              <to>
                <xdr:col>2</xdr:col>
                <xdr:colOff>1657350</xdr:colOff>
                <xdr:row>20</xdr:row>
                <xdr:rowOff>47625</xdr:rowOff>
              </to>
            </anchor>
          </controlPr>
        </control>
      </mc:Choice>
      <mc:Fallback>
        <control shapeId="89123" r:id="rId178" name="Motor2_1RFan"/>
      </mc:Fallback>
    </mc:AlternateContent>
    <mc:AlternateContent xmlns:mc="http://schemas.openxmlformats.org/markup-compatibility/2006">
      <mc:Choice Requires="x14">
        <control shapeId="89122" r:id="rId180" name="Sfan_Standby">
          <controlPr defaultSize="0" autoLine="0" r:id="rId181">
            <anchor moveWithCells="1">
              <from>
                <xdr:col>2</xdr:col>
                <xdr:colOff>57150</xdr:colOff>
                <xdr:row>18</xdr:row>
                <xdr:rowOff>38100</xdr:rowOff>
              </from>
              <to>
                <xdr:col>2</xdr:col>
                <xdr:colOff>1266825</xdr:colOff>
                <xdr:row>19</xdr:row>
                <xdr:rowOff>66675</xdr:rowOff>
              </to>
            </anchor>
          </controlPr>
        </control>
      </mc:Choice>
      <mc:Fallback>
        <control shapeId="89122" r:id="rId180" name="Sfan_Standby"/>
      </mc:Fallback>
    </mc:AlternateContent>
    <mc:AlternateContent xmlns:mc="http://schemas.openxmlformats.org/markup-compatibility/2006">
      <mc:Choice Requires="x14">
        <control shapeId="89121" r:id="rId182" name="Motor2_2fan">
          <controlPr defaultSize="0" autoLine="0" r:id="rId48">
            <anchor moveWithCells="1">
              <from>
                <xdr:col>2</xdr:col>
                <xdr:colOff>114300</xdr:colOff>
                <xdr:row>3</xdr:row>
                <xdr:rowOff>152400</xdr:rowOff>
              </from>
              <to>
                <xdr:col>2</xdr:col>
                <xdr:colOff>1619250</xdr:colOff>
                <xdr:row>4</xdr:row>
                <xdr:rowOff>180975</xdr:rowOff>
              </to>
            </anchor>
          </controlPr>
        </control>
      </mc:Choice>
      <mc:Fallback>
        <control shapeId="89121" r:id="rId182" name="Motor2_2fan"/>
      </mc:Fallback>
    </mc:AlternateContent>
    <mc:AlternateContent xmlns:mc="http://schemas.openxmlformats.org/markup-compatibility/2006">
      <mc:Choice Requires="x14">
        <control shapeId="89120" r:id="rId183" name="Motor2_1Fan">
          <controlPr defaultSize="0" autoLine="0" r:id="rId50">
            <anchor moveWithCells="1">
              <from>
                <xdr:col>2</xdr:col>
                <xdr:colOff>114300</xdr:colOff>
                <xdr:row>2</xdr:row>
                <xdr:rowOff>161925</xdr:rowOff>
              </from>
              <to>
                <xdr:col>2</xdr:col>
                <xdr:colOff>1619250</xdr:colOff>
                <xdr:row>3</xdr:row>
                <xdr:rowOff>190500</xdr:rowOff>
              </to>
            </anchor>
          </controlPr>
        </control>
      </mc:Choice>
      <mc:Fallback>
        <control shapeId="89120" r:id="rId183" name="Motor2_1Fan"/>
      </mc:Fallback>
    </mc:AlternateContent>
    <mc:AlternateContent xmlns:mc="http://schemas.openxmlformats.org/markup-compatibility/2006">
      <mc:Choice Requires="x14">
        <control shapeId="89118" r:id="rId184" name="Sfan_Bot">
          <controlPr defaultSize="0" autoLine="0" r:id="rId185">
            <anchor moveWithCells="1">
              <from>
                <xdr:col>2</xdr:col>
                <xdr:colOff>1133475</xdr:colOff>
                <xdr:row>15</xdr:row>
                <xdr:rowOff>209550</xdr:rowOff>
              </from>
              <to>
                <xdr:col>2</xdr:col>
                <xdr:colOff>2209800</xdr:colOff>
                <xdr:row>17</xdr:row>
                <xdr:rowOff>19050</xdr:rowOff>
              </to>
            </anchor>
          </controlPr>
        </control>
      </mc:Choice>
      <mc:Fallback>
        <control shapeId="89118" r:id="rId184" name="Sfan_Bot"/>
      </mc:Fallback>
    </mc:AlternateContent>
    <mc:AlternateContent xmlns:mc="http://schemas.openxmlformats.org/markup-compatibility/2006">
      <mc:Choice Requires="x14">
        <control shapeId="89117" r:id="rId186" name="Sfan_Front">
          <controlPr defaultSize="0" autoLine="0" r:id="rId187">
            <anchor moveWithCells="1">
              <from>
                <xdr:col>2</xdr:col>
                <xdr:colOff>28575</xdr:colOff>
                <xdr:row>14</xdr:row>
                <xdr:rowOff>228600</xdr:rowOff>
              </from>
              <to>
                <xdr:col>2</xdr:col>
                <xdr:colOff>1152525</xdr:colOff>
                <xdr:row>16</xdr:row>
                <xdr:rowOff>38100</xdr:rowOff>
              </to>
            </anchor>
          </controlPr>
        </control>
      </mc:Choice>
      <mc:Fallback>
        <control shapeId="89117" r:id="rId186" name="Sfan_Front"/>
      </mc:Fallback>
    </mc:AlternateContent>
    <mc:AlternateContent xmlns:mc="http://schemas.openxmlformats.org/markup-compatibility/2006">
      <mc:Choice Requires="x14">
        <control shapeId="89116" r:id="rId188" name="Sfan_Side">
          <controlPr defaultSize="0" autoLine="0" r:id="rId189">
            <anchor moveWithCells="1">
              <from>
                <xdr:col>2</xdr:col>
                <xdr:colOff>1123950</xdr:colOff>
                <xdr:row>15</xdr:row>
                <xdr:rowOff>9525</xdr:rowOff>
              </from>
              <to>
                <xdr:col>2</xdr:col>
                <xdr:colOff>2247900</xdr:colOff>
                <xdr:row>16</xdr:row>
                <xdr:rowOff>57150</xdr:rowOff>
              </to>
            </anchor>
          </controlPr>
        </control>
      </mc:Choice>
      <mc:Fallback>
        <control shapeId="89116" r:id="rId188" name="Sfan_Side"/>
      </mc:Fallback>
    </mc:AlternateContent>
    <mc:AlternateContent xmlns:mc="http://schemas.openxmlformats.org/markup-compatibility/2006">
      <mc:Choice Requires="x14">
        <control shapeId="89115" r:id="rId190" name="Sfan_Top">
          <controlPr defaultSize="0" autoLine="0" r:id="rId191">
            <anchor moveWithCells="1">
              <from>
                <xdr:col>2</xdr:col>
                <xdr:colOff>38100</xdr:colOff>
                <xdr:row>15</xdr:row>
                <xdr:rowOff>209550</xdr:rowOff>
              </from>
              <to>
                <xdr:col>2</xdr:col>
                <xdr:colOff>1114425</xdr:colOff>
                <xdr:row>17</xdr:row>
                <xdr:rowOff>19050</xdr:rowOff>
              </to>
            </anchor>
          </controlPr>
        </control>
      </mc:Choice>
      <mc:Fallback>
        <control shapeId="89115" r:id="rId190" name="Sfan_Top"/>
      </mc:Fallback>
    </mc:AlternateContent>
    <mc:AlternateContent xmlns:mc="http://schemas.openxmlformats.org/markup-compatibility/2006">
      <mc:Choice Requires="x14">
        <control shapeId="89114" r:id="rId192" name="Fan_Belt">
          <controlPr defaultSize="0" autoLine="0" r:id="rId193">
            <anchor moveWithCells="1">
              <from>
                <xdr:col>2</xdr:col>
                <xdr:colOff>133350</xdr:colOff>
                <xdr:row>12</xdr:row>
                <xdr:rowOff>180975</xdr:rowOff>
              </from>
              <to>
                <xdr:col>2</xdr:col>
                <xdr:colOff>1638300</xdr:colOff>
                <xdr:row>13</xdr:row>
                <xdr:rowOff>209550</xdr:rowOff>
              </to>
            </anchor>
          </controlPr>
        </control>
      </mc:Choice>
      <mc:Fallback>
        <control shapeId="89114" r:id="rId192" name="Fan_Belt"/>
      </mc:Fallback>
    </mc:AlternateContent>
    <mc:AlternateContent xmlns:mc="http://schemas.openxmlformats.org/markup-compatibility/2006">
      <mc:Choice Requires="x14">
        <control shapeId="89113" r:id="rId194" name="Supply_Damper">
          <controlPr defaultSize="0" autoLine="0" r:id="rId195">
            <anchor moveWithCells="1">
              <from>
                <xdr:col>2</xdr:col>
                <xdr:colOff>133350</xdr:colOff>
                <xdr:row>11</xdr:row>
                <xdr:rowOff>209550</xdr:rowOff>
              </from>
              <to>
                <xdr:col>2</xdr:col>
                <xdr:colOff>1638300</xdr:colOff>
                <xdr:row>13</xdr:row>
                <xdr:rowOff>0</xdr:rowOff>
              </to>
            </anchor>
          </controlPr>
        </control>
      </mc:Choice>
      <mc:Fallback>
        <control shapeId="89113" r:id="rId194" name="Supply_Damper"/>
      </mc:Fallback>
    </mc:AlternateContent>
    <mc:AlternateContent xmlns:mc="http://schemas.openxmlformats.org/markup-compatibility/2006">
      <mc:Choice Requires="x14">
        <control shapeId="89112" r:id="rId196" name="Right_Fan">
          <controlPr defaultSize="0" autoLine="0" r:id="rId197">
            <anchor moveWithCells="1">
              <from>
                <xdr:col>2</xdr:col>
                <xdr:colOff>1438275</xdr:colOff>
                <xdr:row>7</xdr:row>
                <xdr:rowOff>0</xdr:rowOff>
              </from>
              <to>
                <xdr:col>2</xdr:col>
                <xdr:colOff>1981200</xdr:colOff>
                <xdr:row>8</xdr:row>
                <xdr:rowOff>47625</xdr:rowOff>
              </to>
            </anchor>
          </controlPr>
        </control>
      </mc:Choice>
      <mc:Fallback>
        <control shapeId="89112" r:id="rId196" name="Right_Fan"/>
      </mc:Fallback>
    </mc:AlternateContent>
    <mc:AlternateContent xmlns:mc="http://schemas.openxmlformats.org/markup-compatibility/2006">
      <mc:Choice Requires="x14">
        <control shapeId="89111" r:id="rId198" name="Left_Fan">
          <controlPr defaultSize="0" autoLine="0" r:id="rId199">
            <anchor moveWithCells="1">
              <from>
                <xdr:col>2</xdr:col>
                <xdr:colOff>1438275</xdr:colOff>
                <xdr:row>6</xdr:row>
                <xdr:rowOff>0</xdr:rowOff>
              </from>
              <to>
                <xdr:col>2</xdr:col>
                <xdr:colOff>1981200</xdr:colOff>
                <xdr:row>7</xdr:row>
                <xdr:rowOff>47625</xdr:rowOff>
              </to>
            </anchor>
          </controlPr>
        </control>
      </mc:Choice>
      <mc:Fallback>
        <control shapeId="89111" r:id="rId198" name="Left_Fan"/>
      </mc:Fallback>
    </mc:AlternateContent>
    <mc:AlternateContent xmlns:mc="http://schemas.openxmlformats.org/markup-compatibility/2006">
      <mc:Choice Requires="x14">
        <control shapeId="89110" r:id="rId200" name="Access_Both">
          <controlPr defaultSize="0" autoLine="0" r:id="rId201">
            <anchor moveWithCells="1">
              <from>
                <xdr:col>2</xdr:col>
                <xdr:colOff>142875</xdr:colOff>
                <xdr:row>7</xdr:row>
                <xdr:rowOff>228600</xdr:rowOff>
              </from>
              <to>
                <xdr:col>2</xdr:col>
                <xdr:colOff>1647825</xdr:colOff>
                <xdr:row>9</xdr:row>
                <xdr:rowOff>19050</xdr:rowOff>
              </to>
            </anchor>
          </controlPr>
        </control>
      </mc:Choice>
      <mc:Fallback>
        <control shapeId="89110" r:id="rId200" name="Access_Both"/>
      </mc:Fallback>
    </mc:AlternateContent>
    <mc:AlternateContent xmlns:mc="http://schemas.openxmlformats.org/markup-compatibility/2006">
      <mc:Choice Requires="x14">
        <control shapeId="89109" r:id="rId202" name="Fan_Bulk">
          <controlPr defaultSize="0" autoLine="0" r:id="rId203">
            <anchor moveWithCells="1">
              <from>
                <xdr:col>2</xdr:col>
                <xdr:colOff>142875</xdr:colOff>
                <xdr:row>10</xdr:row>
                <xdr:rowOff>209550</xdr:rowOff>
              </from>
              <to>
                <xdr:col>2</xdr:col>
                <xdr:colOff>1352550</xdr:colOff>
                <xdr:row>12</xdr:row>
                <xdr:rowOff>0</xdr:rowOff>
              </to>
            </anchor>
          </controlPr>
        </control>
      </mc:Choice>
      <mc:Fallback>
        <control shapeId="89109" r:id="rId202" name="Fan_Bulk"/>
      </mc:Fallback>
    </mc:AlternateContent>
    <mc:AlternateContent xmlns:mc="http://schemas.openxmlformats.org/markup-compatibility/2006">
      <mc:Choice Requires="x14">
        <control shapeId="89108" r:id="rId204" name="Fan_Inspection">
          <controlPr defaultSize="0" autoLine="0" r:id="rId205">
            <anchor moveWithCells="1">
              <from>
                <xdr:col>2</xdr:col>
                <xdr:colOff>142875</xdr:colOff>
                <xdr:row>9</xdr:row>
                <xdr:rowOff>228600</xdr:rowOff>
              </from>
              <to>
                <xdr:col>2</xdr:col>
                <xdr:colOff>1352550</xdr:colOff>
                <xdr:row>11</xdr:row>
                <xdr:rowOff>19050</xdr:rowOff>
              </to>
            </anchor>
          </controlPr>
        </control>
      </mc:Choice>
      <mc:Fallback>
        <control shapeId="89108" r:id="rId204" name="Fan_Inspection"/>
      </mc:Fallback>
    </mc:AlternateContent>
    <mc:AlternateContent xmlns:mc="http://schemas.openxmlformats.org/markup-compatibility/2006">
      <mc:Choice Requires="x14">
        <control shapeId="89107" r:id="rId206" name="Fan_Access_Panel">
          <controlPr defaultSize="0" autoLine="0" r:id="rId207">
            <anchor moveWithCells="1">
              <from>
                <xdr:col>2</xdr:col>
                <xdr:colOff>114300</xdr:colOff>
                <xdr:row>5</xdr:row>
                <xdr:rowOff>228600</xdr:rowOff>
              </from>
              <to>
                <xdr:col>2</xdr:col>
                <xdr:colOff>1171575</xdr:colOff>
                <xdr:row>7</xdr:row>
                <xdr:rowOff>38100</xdr:rowOff>
              </to>
            </anchor>
          </controlPr>
        </control>
      </mc:Choice>
      <mc:Fallback>
        <control shapeId="89107" r:id="rId206" name="Fan_Access_Panel"/>
      </mc:Fallback>
    </mc:AlternateContent>
    <mc:AlternateContent xmlns:mc="http://schemas.openxmlformats.org/markup-compatibility/2006">
      <mc:Choice Requires="x14">
        <control shapeId="89106" r:id="rId208" name="Fan_Access_Door">
          <controlPr defaultSize="0" autoLine="0" r:id="rId209">
            <anchor moveWithCells="1">
              <from>
                <xdr:col>2</xdr:col>
                <xdr:colOff>114300</xdr:colOff>
                <xdr:row>7</xdr:row>
                <xdr:rowOff>0</xdr:rowOff>
              </from>
              <to>
                <xdr:col>2</xdr:col>
                <xdr:colOff>1171575</xdr:colOff>
                <xdr:row>8</xdr:row>
                <xdr:rowOff>47625</xdr:rowOff>
              </to>
            </anchor>
          </controlPr>
        </control>
      </mc:Choice>
      <mc:Fallback>
        <control shapeId="89106" r:id="rId208" name="Fan_Access_Door"/>
      </mc:Fallback>
    </mc:AlternateContent>
    <mc:AlternateContent xmlns:mc="http://schemas.openxmlformats.org/markup-compatibility/2006">
      <mc:Choice Requires="x14">
        <control shapeId="89105" r:id="rId210" name="PlenumFan">
          <controlPr defaultSize="0" autoLine="0" autoPict="0" r:id="rId211">
            <anchor moveWithCells="1">
              <from>
                <xdr:col>2</xdr:col>
                <xdr:colOff>114300</xdr:colOff>
                <xdr:row>1</xdr:row>
                <xdr:rowOff>190500</xdr:rowOff>
              </from>
              <to>
                <xdr:col>2</xdr:col>
                <xdr:colOff>1190625</xdr:colOff>
                <xdr:row>3</xdr:row>
                <xdr:rowOff>0</xdr:rowOff>
              </to>
            </anchor>
          </controlPr>
        </control>
      </mc:Choice>
      <mc:Fallback>
        <control shapeId="89105" r:id="rId210" name="PlenumFan"/>
      </mc:Fallback>
    </mc:AlternateContent>
    <mc:AlternateContent xmlns:mc="http://schemas.openxmlformats.org/markup-compatibility/2006">
      <mc:Choice Requires="x14">
        <control shapeId="89104" r:id="rId212" name="ECFan">
          <controlPr defaultSize="0" autoLine="0" r:id="rId213">
            <anchor moveWithCells="1">
              <from>
                <xdr:col>2</xdr:col>
                <xdr:colOff>1228725</xdr:colOff>
                <xdr:row>1</xdr:row>
                <xdr:rowOff>9525</xdr:rowOff>
              </from>
              <to>
                <xdr:col>2</xdr:col>
                <xdr:colOff>2286000</xdr:colOff>
                <xdr:row>2</xdr:row>
                <xdr:rowOff>57150</xdr:rowOff>
              </to>
            </anchor>
          </controlPr>
        </control>
      </mc:Choice>
      <mc:Fallback>
        <control shapeId="89104" r:id="rId212" name="ECFan"/>
      </mc:Fallback>
    </mc:AlternateContent>
    <mc:AlternateContent xmlns:mc="http://schemas.openxmlformats.org/markup-compatibility/2006">
      <mc:Choice Requires="x14">
        <control shapeId="89103" r:id="rId214" name="BeltFan">
          <controlPr defaultSize="0" autoLine="0" r:id="rId215">
            <anchor moveWithCells="1">
              <from>
                <xdr:col>2</xdr:col>
                <xdr:colOff>114300</xdr:colOff>
                <xdr:row>0</xdr:row>
                <xdr:rowOff>285750</xdr:rowOff>
              </from>
              <to>
                <xdr:col>2</xdr:col>
                <xdr:colOff>1171575</xdr:colOff>
                <xdr:row>2</xdr:row>
                <xdr:rowOff>38100</xdr:rowOff>
              </to>
            </anchor>
          </controlPr>
        </control>
      </mc:Choice>
      <mc:Fallback>
        <control shapeId="89103" r:id="rId214" name="BeltFan"/>
      </mc:Fallback>
    </mc:AlternateContent>
    <mc:AlternateContent xmlns:mc="http://schemas.openxmlformats.org/markup-compatibility/2006">
      <mc:Choice Requires="x14">
        <control shapeId="89102" r:id="rId216" name="Base180">
          <controlPr defaultSize="0" autoLine="0" r:id="rId217">
            <anchor moveWithCells="1">
              <from>
                <xdr:col>1</xdr:col>
                <xdr:colOff>47625</xdr:colOff>
                <xdr:row>15</xdr:row>
                <xdr:rowOff>0</xdr:rowOff>
              </from>
              <to>
                <xdr:col>1</xdr:col>
                <xdr:colOff>1514475</xdr:colOff>
                <xdr:row>16</xdr:row>
                <xdr:rowOff>47625</xdr:rowOff>
              </to>
            </anchor>
          </controlPr>
        </control>
      </mc:Choice>
      <mc:Fallback>
        <control shapeId="89102" r:id="rId216" name="Base180"/>
      </mc:Fallback>
    </mc:AlternateContent>
    <mc:AlternateContent xmlns:mc="http://schemas.openxmlformats.org/markup-compatibility/2006">
      <mc:Choice Requires="x14">
        <control shapeId="89101" r:id="rId218" name="Base100">
          <controlPr defaultSize="0" autoLine="0" autoPict="0" r:id="rId219">
            <anchor moveWithCells="1">
              <from>
                <xdr:col>1</xdr:col>
                <xdr:colOff>47625</xdr:colOff>
                <xdr:row>12</xdr:row>
                <xdr:rowOff>228600</xdr:rowOff>
              </from>
              <to>
                <xdr:col>1</xdr:col>
                <xdr:colOff>1590675</xdr:colOff>
                <xdr:row>14</xdr:row>
                <xdr:rowOff>38100</xdr:rowOff>
              </to>
            </anchor>
          </controlPr>
        </control>
      </mc:Choice>
      <mc:Fallback>
        <control shapeId="89101" r:id="rId218" name="Base100"/>
      </mc:Fallback>
    </mc:AlternateContent>
    <mc:AlternateContent xmlns:mc="http://schemas.openxmlformats.org/markup-compatibility/2006">
      <mc:Choice Requires="x14">
        <control shapeId="89100" r:id="rId220" name="Base140">
          <controlPr defaultSize="0" autoLine="0" r:id="rId221">
            <anchor moveWithCells="1">
              <from>
                <xdr:col>1</xdr:col>
                <xdr:colOff>47625</xdr:colOff>
                <xdr:row>14</xdr:row>
                <xdr:rowOff>0</xdr:rowOff>
              </from>
              <to>
                <xdr:col>1</xdr:col>
                <xdr:colOff>1590675</xdr:colOff>
                <xdr:row>15</xdr:row>
                <xdr:rowOff>47625</xdr:rowOff>
              </to>
            </anchor>
          </controlPr>
        </control>
      </mc:Choice>
      <mc:Fallback>
        <control shapeId="89100" r:id="rId220" name="Base140"/>
      </mc:Fallback>
    </mc:AlternateContent>
    <mc:AlternateContent xmlns:mc="http://schemas.openxmlformats.org/markup-compatibility/2006">
      <mc:Choice Requires="x14">
        <control shapeId="89095" r:id="rId222" name="Indoor">
          <controlPr defaultSize="0" disabled="1" autoLine="0" r:id="rId223">
            <anchor moveWithCells="1">
              <from>
                <xdr:col>1</xdr:col>
                <xdr:colOff>47625</xdr:colOff>
                <xdr:row>9</xdr:row>
                <xdr:rowOff>190500</xdr:rowOff>
              </from>
              <to>
                <xdr:col>1</xdr:col>
                <xdr:colOff>1152525</xdr:colOff>
                <xdr:row>11</xdr:row>
                <xdr:rowOff>0</xdr:rowOff>
              </to>
            </anchor>
          </controlPr>
        </control>
      </mc:Choice>
      <mc:Fallback>
        <control shapeId="89095" r:id="rId222" name="Indoor"/>
      </mc:Fallback>
    </mc:AlternateContent>
    <mc:AlternateContent xmlns:mc="http://schemas.openxmlformats.org/markup-compatibility/2006">
      <mc:Choice Requires="x14">
        <control shapeId="89094" r:id="rId224" name="Roof_Canopy">
          <controlPr defaultSize="0" autoLine="0" r:id="rId225">
            <anchor moveWithCells="1">
              <from>
                <xdr:col>1</xdr:col>
                <xdr:colOff>47625</xdr:colOff>
                <xdr:row>8</xdr:row>
                <xdr:rowOff>190500</xdr:rowOff>
              </from>
              <to>
                <xdr:col>1</xdr:col>
                <xdr:colOff>1152525</xdr:colOff>
                <xdr:row>10</xdr:row>
                <xdr:rowOff>0</xdr:rowOff>
              </to>
            </anchor>
          </controlPr>
        </control>
      </mc:Choice>
      <mc:Fallback>
        <control shapeId="89094" r:id="rId224" name="Roof_Canopy"/>
      </mc:Fallback>
    </mc:AlternateContent>
    <mc:AlternateContent xmlns:mc="http://schemas.openxmlformats.org/markup-compatibility/2006">
      <mc:Choice Requires="x14">
        <control shapeId="89093" r:id="rId226" name="Roof_Cover">
          <controlPr defaultSize="0" autoLine="0" r:id="rId227">
            <anchor moveWithCells="1">
              <from>
                <xdr:col>1</xdr:col>
                <xdr:colOff>47625</xdr:colOff>
                <xdr:row>7</xdr:row>
                <xdr:rowOff>219075</xdr:rowOff>
              </from>
              <to>
                <xdr:col>1</xdr:col>
                <xdr:colOff>1152525</xdr:colOff>
                <xdr:row>9</xdr:row>
                <xdr:rowOff>28575</xdr:rowOff>
              </to>
            </anchor>
          </controlPr>
        </control>
      </mc:Choice>
      <mc:Fallback>
        <control shapeId="89093" r:id="rId226" name="Roof_Cover"/>
      </mc:Fallback>
    </mc:AlternateContent>
    <mc:AlternateContent xmlns:mc="http://schemas.openxmlformats.org/markup-compatibility/2006">
      <mc:Choice Requires="x14">
        <control shapeId="89092" r:id="rId228" name="Insulation2">
          <controlPr defaultSize="0" autoLine="0" r:id="rId229">
            <anchor moveWithCells="1">
              <from>
                <xdr:col>1</xdr:col>
                <xdr:colOff>47625</xdr:colOff>
                <xdr:row>5</xdr:row>
                <xdr:rowOff>28575</xdr:rowOff>
              </from>
              <to>
                <xdr:col>1</xdr:col>
                <xdr:colOff>1152525</xdr:colOff>
                <xdr:row>6</xdr:row>
                <xdr:rowOff>76200</xdr:rowOff>
              </to>
            </anchor>
          </controlPr>
        </control>
      </mc:Choice>
      <mc:Fallback>
        <control shapeId="89092" r:id="rId228" name="Insulation2"/>
      </mc:Fallback>
    </mc:AlternateContent>
    <mc:AlternateContent xmlns:mc="http://schemas.openxmlformats.org/markup-compatibility/2006">
      <mc:Choice Requires="x14">
        <control shapeId="89091" r:id="rId230" name="Insulation1">
          <controlPr defaultSize="0" autoLine="0" r:id="rId231">
            <anchor moveWithCells="1">
              <from>
                <xdr:col>1</xdr:col>
                <xdr:colOff>47625</xdr:colOff>
                <xdr:row>4</xdr:row>
                <xdr:rowOff>19050</xdr:rowOff>
              </from>
              <to>
                <xdr:col>1</xdr:col>
                <xdr:colOff>962025</xdr:colOff>
                <xdr:row>5</xdr:row>
                <xdr:rowOff>66675</xdr:rowOff>
              </to>
            </anchor>
          </controlPr>
        </control>
      </mc:Choice>
      <mc:Fallback>
        <control shapeId="89091" r:id="rId230" name="Insulation1"/>
      </mc:Fallback>
    </mc:AlternateContent>
    <mc:AlternateContent xmlns:mc="http://schemas.openxmlformats.org/markup-compatibility/2006">
      <mc:Choice Requires="x14">
        <control shapeId="89090" r:id="rId232" name="PPH">
          <controlPr defaultSize="0" autoLine="0" r:id="rId233">
            <anchor moveWithCells="1">
              <from>
                <xdr:col>1</xdr:col>
                <xdr:colOff>895350</xdr:colOff>
                <xdr:row>1</xdr:row>
                <xdr:rowOff>38100</xdr:rowOff>
              </from>
              <to>
                <xdr:col>1</xdr:col>
                <xdr:colOff>1600200</xdr:colOff>
                <xdr:row>2</xdr:row>
                <xdr:rowOff>85725</xdr:rowOff>
              </to>
            </anchor>
          </controlPr>
        </control>
      </mc:Choice>
      <mc:Fallback>
        <control shapeId="89090" r:id="rId232" name="PPH"/>
      </mc:Fallback>
    </mc:AlternateContent>
    <mc:AlternateContent xmlns:mc="http://schemas.openxmlformats.org/markup-compatibility/2006">
      <mc:Choice Requires="x14">
        <control shapeId="89089" r:id="rId234" name="PAH">
          <controlPr defaultSize="0" autoLine="0" r:id="rId235">
            <anchor moveWithCells="1">
              <from>
                <xdr:col>1</xdr:col>
                <xdr:colOff>47625</xdr:colOff>
                <xdr:row>1</xdr:row>
                <xdr:rowOff>38100</xdr:rowOff>
              </from>
              <to>
                <xdr:col>1</xdr:col>
                <xdr:colOff>752475</xdr:colOff>
                <xdr:row>2</xdr:row>
                <xdr:rowOff>85725</xdr:rowOff>
              </to>
            </anchor>
          </controlPr>
        </control>
      </mc:Choice>
      <mc:Fallback>
        <control shapeId="89089" r:id="rId234" name="PAH"/>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J1_Quick_Chiller"/>
  <dimension ref="A1:AH25"/>
  <sheetViews>
    <sheetView zoomScale="80" zoomScaleNormal="80" workbookViewId="0">
      <selection activeCell="R29" sqref="R29"/>
    </sheetView>
  </sheetViews>
  <sheetFormatPr defaultColWidth="9.140625" defaultRowHeight="16.5"/>
  <cols>
    <col min="1" max="1" width="12.42578125" style="176" customWidth="1"/>
    <col min="2" max="2" width="10.85546875" style="176" customWidth="1"/>
    <col min="3" max="6" width="9.140625" style="176"/>
    <col min="7" max="7" width="11.5703125" style="176" bestFit="1" customWidth="1"/>
    <col min="8" max="8" width="9.140625" style="176"/>
    <col min="9" max="9" width="10.28515625" style="176" bestFit="1" customWidth="1"/>
    <col min="10" max="10" width="6.7109375" style="176" bestFit="1" customWidth="1"/>
    <col min="11" max="11" width="7.85546875" style="176" customWidth="1"/>
    <col min="12" max="12" width="9.140625" style="176" customWidth="1"/>
    <col min="13" max="13" width="7.5703125" style="176" customWidth="1"/>
    <col min="14" max="14" width="5.42578125" style="176" customWidth="1"/>
    <col min="15" max="15" width="3.5703125" style="176" customWidth="1"/>
    <col min="16" max="16" width="6.28515625" style="176" customWidth="1"/>
    <col min="17" max="17" width="9.140625" style="176"/>
    <col min="18" max="18" width="16.140625" style="176" customWidth="1"/>
    <col min="19" max="16384" width="9.140625" style="176"/>
  </cols>
  <sheetData>
    <row r="1" spans="1:34" ht="18.75" thickBot="1">
      <c r="A1" s="956" t="s">
        <v>1328</v>
      </c>
      <c r="B1" s="957" t="s">
        <v>9</v>
      </c>
      <c r="D1" s="2424" t="s">
        <v>2557</v>
      </c>
      <c r="E1" s="2425"/>
      <c r="F1" s="2425"/>
      <c r="G1" s="2425"/>
      <c r="H1" s="2425"/>
      <c r="I1" s="2426"/>
      <c r="Q1" s="958" t="s">
        <v>3</v>
      </c>
      <c r="R1" s="959" t="s">
        <v>1760</v>
      </c>
      <c r="S1" s="960" t="s">
        <v>27</v>
      </c>
      <c r="T1" s="961" t="s">
        <v>2531</v>
      </c>
      <c r="U1" s="960" t="s">
        <v>1285</v>
      </c>
      <c r="V1" s="961" t="s">
        <v>2534</v>
      </c>
      <c r="W1" s="961" t="s">
        <v>2535</v>
      </c>
      <c r="X1" s="961" t="s">
        <v>2537</v>
      </c>
      <c r="Y1" s="961" t="s">
        <v>2545</v>
      </c>
      <c r="Z1" s="960" t="s">
        <v>1283</v>
      </c>
      <c r="AA1" s="961" t="s">
        <v>2548</v>
      </c>
      <c r="AB1" s="961" t="s">
        <v>2230</v>
      </c>
      <c r="AC1" s="960" t="s">
        <v>1284</v>
      </c>
      <c r="AD1" s="961" t="s">
        <v>2551</v>
      </c>
      <c r="AE1" s="961" t="s">
        <v>2550</v>
      </c>
      <c r="AF1" s="961" t="s">
        <v>2552</v>
      </c>
      <c r="AG1" s="961" t="s">
        <v>2539</v>
      </c>
      <c r="AH1" s="961" t="s">
        <v>2556</v>
      </c>
    </row>
    <row r="2" spans="1:34" ht="23.25" customHeight="1" thickBot="1">
      <c r="A2" s="956"/>
      <c r="B2" s="957"/>
      <c r="D2" s="2430" t="s">
        <v>1765</v>
      </c>
      <c r="E2" s="2431"/>
      <c r="F2" s="2432"/>
      <c r="G2" s="2427" t="s">
        <v>2246</v>
      </c>
      <c r="H2" s="2428"/>
      <c r="I2" s="2429"/>
      <c r="R2" s="176" t="s">
        <v>1871</v>
      </c>
      <c r="S2" s="993">
        <v>0</v>
      </c>
      <c r="T2" s="176">
        <v>26996.100000000002</v>
      </c>
      <c r="U2" s="993">
        <v>0</v>
      </c>
      <c r="V2" s="176">
        <v>675</v>
      </c>
      <c r="W2" s="176">
        <v>8132.2799999999988</v>
      </c>
      <c r="X2" s="176">
        <v>3199.98</v>
      </c>
      <c r="Y2" s="176">
        <v>2025.0000000000002</v>
      </c>
      <c r="Z2" s="993">
        <v>0</v>
      </c>
      <c r="AA2" s="176">
        <v>945.00000000000011</v>
      </c>
      <c r="AB2" s="176">
        <v>135</v>
      </c>
      <c r="AC2" s="993">
        <v>0</v>
      </c>
      <c r="AD2" s="176">
        <v>368.28000000000003</v>
      </c>
      <c r="AE2" s="176">
        <v>607.5</v>
      </c>
      <c r="AF2" s="176">
        <v>368.28000000000003</v>
      </c>
      <c r="AG2" s="176">
        <v>135</v>
      </c>
      <c r="AH2" s="176">
        <v>286</v>
      </c>
    </row>
    <row r="3" spans="1:34">
      <c r="A3" s="956"/>
      <c r="B3" s="957"/>
      <c r="D3" s="962"/>
      <c r="E3" s="963"/>
      <c r="F3" s="964"/>
      <c r="G3" s="965"/>
      <c r="H3" s="966"/>
      <c r="I3" s="967"/>
      <c r="R3" s="176" t="s">
        <v>1871</v>
      </c>
      <c r="S3" s="993">
        <v>0</v>
      </c>
      <c r="T3" s="176">
        <v>26996.100000000002</v>
      </c>
      <c r="U3" s="993">
        <v>0</v>
      </c>
      <c r="V3" s="176">
        <v>675</v>
      </c>
      <c r="W3" s="176">
        <v>8132.2799999999988</v>
      </c>
      <c r="X3" s="176">
        <v>3199.98</v>
      </c>
      <c r="Y3" s="176">
        <v>2025.0000000000002</v>
      </c>
      <c r="Z3" s="993">
        <v>0</v>
      </c>
      <c r="AA3" s="176">
        <v>945.00000000000011</v>
      </c>
      <c r="AB3" s="176">
        <v>135</v>
      </c>
      <c r="AC3" s="993">
        <v>0</v>
      </c>
      <c r="AD3" s="176">
        <v>368.28000000000003</v>
      </c>
      <c r="AE3" s="176">
        <v>607.5</v>
      </c>
      <c r="AF3" s="176">
        <v>368.28000000000003</v>
      </c>
      <c r="AG3" s="176">
        <v>135</v>
      </c>
      <c r="AH3" s="176">
        <v>286</v>
      </c>
    </row>
    <row r="4" spans="1:34">
      <c r="A4" s="956"/>
      <c r="B4" s="957"/>
      <c r="D4" s="968"/>
      <c r="E4" s="969"/>
      <c r="F4" s="970"/>
      <c r="G4" s="971"/>
      <c r="H4" s="972"/>
      <c r="I4" s="973"/>
      <c r="R4" s="176" t="s">
        <v>1871</v>
      </c>
      <c r="S4" s="993">
        <v>0</v>
      </c>
      <c r="T4" s="176">
        <v>26996.100000000002</v>
      </c>
      <c r="U4" s="993">
        <v>0</v>
      </c>
      <c r="V4" s="176">
        <v>675</v>
      </c>
      <c r="W4" s="176">
        <v>8132.2799999999988</v>
      </c>
      <c r="X4" s="176">
        <v>3199.98</v>
      </c>
      <c r="Y4" s="176">
        <v>2025.0000000000002</v>
      </c>
      <c r="Z4" s="993">
        <v>0</v>
      </c>
      <c r="AA4" s="176">
        <v>945.00000000000011</v>
      </c>
      <c r="AB4" s="176">
        <v>135</v>
      </c>
      <c r="AC4" s="993">
        <v>0</v>
      </c>
      <c r="AD4" s="176">
        <v>368.28000000000003</v>
      </c>
      <c r="AE4" s="176">
        <v>607.5</v>
      </c>
      <c r="AF4" s="176">
        <v>368.28000000000003</v>
      </c>
      <c r="AG4" s="176">
        <v>135</v>
      </c>
      <c r="AH4" s="176">
        <v>286</v>
      </c>
    </row>
    <row r="5" spans="1:34">
      <c r="D5" s="968"/>
      <c r="E5" s="969"/>
      <c r="F5" s="970"/>
      <c r="G5" s="971"/>
      <c r="H5" s="972"/>
      <c r="I5" s="973"/>
      <c r="R5" s="176" t="s">
        <v>1871</v>
      </c>
      <c r="S5" s="993">
        <v>0</v>
      </c>
      <c r="T5" s="176">
        <v>26996.100000000002</v>
      </c>
      <c r="U5" s="993">
        <v>0</v>
      </c>
      <c r="V5" s="176">
        <v>675</v>
      </c>
      <c r="W5" s="176">
        <v>8132.2799999999988</v>
      </c>
      <c r="X5" s="176">
        <v>3199.98</v>
      </c>
      <c r="Y5" s="176">
        <v>2025.0000000000002</v>
      </c>
      <c r="Z5" s="993">
        <v>0</v>
      </c>
      <c r="AA5" s="176">
        <v>945.00000000000011</v>
      </c>
      <c r="AB5" s="176">
        <v>135</v>
      </c>
      <c r="AC5" s="993">
        <v>0</v>
      </c>
      <c r="AD5" s="176">
        <v>368.28000000000003</v>
      </c>
      <c r="AE5" s="176">
        <v>607.5</v>
      </c>
      <c r="AF5" s="176">
        <v>368.28000000000003</v>
      </c>
      <c r="AG5" s="176">
        <v>135</v>
      </c>
      <c r="AH5" s="176">
        <v>286</v>
      </c>
    </row>
    <row r="6" spans="1:34" ht="18" customHeight="1">
      <c r="A6" s="974" t="s">
        <v>1768</v>
      </c>
      <c r="B6" s="975" t="s">
        <v>1769</v>
      </c>
      <c r="D6" s="968"/>
      <c r="E6" s="969"/>
      <c r="F6" s="970"/>
      <c r="G6" s="971"/>
      <c r="H6" s="972"/>
      <c r="I6" s="973"/>
      <c r="R6" s="176" t="s">
        <v>1871</v>
      </c>
      <c r="S6" s="993">
        <v>0</v>
      </c>
      <c r="T6" s="176">
        <v>26996.100000000002</v>
      </c>
      <c r="U6" s="993">
        <v>0</v>
      </c>
      <c r="V6" s="176">
        <v>675</v>
      </c>
      <c r="W6" s="176">
        <v>8132.2799999999988</v>
      </c>
      <c r="X6" s="176">
        <v>3199.98</v>
      </c>
      <c r="Y6" s="176">
        <v>2025.0000000000002</v>
      </c>
      <c r="Z6" s="993">
        <v>0</v>
      </c>
      <c r="AA6" s="176">
        <v>945.00000000000011</v>
      </c>
      <c r="AB6" s="176">
        <v>135</v>
      </c>
      <c r="AC6" s="993">
        <v>0</v>
      </c>
      <c r="AD6" s="176">
        <v>368.28000000000003</v>
      </c>
      <c r="AE6" s="176">
        <v>607.5</v>
      </c>
      <c r="AF6" s="176">
        <v>368.28000000000003</v>
      </c>
      <c r="AG6" s="176">
        <v>135</v>
      </c>
      <c r="AH6" s="176">
        <v>286</v>
      </c>
    </row>
    <row r="7" spans="1:34">
      <c r="A7" s="976"/>
      <c r="B7" s="977"/>
      <c r="D7" s="968"/>
      <c r="E7" s="969"/>
      <c r="F7" s="970"/>
      <c r="G7" s="971"/>
      <c r="H7" s="972"/>
      <c r="I7" s="973"/>
      <c r="R7" s="176" t="s">
        <v>1871</v>
      </c>
      <c r="S7" s="993">
        <v>0</v>
      </c>
      <c r="T7" s="176">
        <v>26996.100000000002</v>
      </c>
      <c r="U7" s="993">
        <v>0</v>
      </c>
      <c r="V7" s="176">
        <v>675</v>
      </c>
      <c r="W7" s="176">
        <v>8132.2799999999988</v>
      </c>
      <c r="X7" s="176">
        <v>3199.98</v>
      </c>
      <c r="Y7" s="176">
        <v>2025.0000000000002</v>
      </c>
      <c r="Z7" s="993">
        <v>0</v>
      </c>
      <c r="AA7" s="176">
        <v>945.00000000000011</v>
      </c>
      <c r="AB7" s="176">
        <v>135</v>
      </c>
      <c r="AC7" s="993">
        <v>0</v>
      </c>
      <c r="AD7" s="176">
        <v>368.28000000000003</v>
      </c>
      <c r="AE7" s="176">
        <v>607.5</v>
      </c>
      <c r="AF7" s="176">
        <v>368.28000000000003</v>
      </c>
      <c r="AG7" s="176">
        <v>135</v>
      </c>
      <c r="AH7" s="176">
        <v>286</v>
      </c>
    </row>
    <row r="8" spans="1:34">
      <c r="A8" s="976"/>
      <c r="B8" s="977"/>
      <c r="D8" s="968"/>
      <c r="E8" s="969"/>
      <c r="F8" s="970"/>
      <c r="G8" s="971"/>
      <c r="H8" s="972"/>
      <c r="I8" s="973"/>
      <c r="R8" s="176" t="s">
        <v>1871</v>
      </c>
      <c r="S8" s="993">
        <v>0</v>
      </c>
      <c r="T8" s="176">
        <v>26996.100000000002</v>
      </c>
      <c r="U8" s="993">
        <v>0</v>
      </c>
      <c r="V8" s="176">
        <v>675</v>
      </c>
      <c r="W8" s="176">
        <v>8132.2799999999988</v>
      </c>
      <c r="X8" s="176">
        <v>3199.98</v>
      </c>
      <c r="Y8" s="176">
        <v>2025.0000000000002</v>
      </c>
      <c r="Z8" s="993">
        <v>0</v>
      </c>
      <c r="AA8" s="176">
        <v>945.00000000000011</v>
      </c>
      <c r="AB8" s="176">
        <v>135</v>
      </c>
      <c r="AC8" s="993">
        <v>0</v>
      </c>
      <c r="AD8" s="176">
        <v>368.28000000000003</v>
      </c>
      <c r="AE8" s="176">
        <v>607.5</v>
      </c>
      <c r="AF8" s="176">
        <v>368.28000000000003</v>
      </c>
      <c r="AG8" s="176">
        <v>135</v>
      </c>
      <c r="AH8" s="176">
        <v>286</v>
      </c>
    </row>
    <row r="9" spans="1:34">
      <c r="B9" s="977"/>
      <c r="D9" s="968"/>
      <c r="E9" s="969"/>
      <c r="F9" s="970"/>
      <c r="G9" s="971"/>
      <c r="H9" s="972"/>
      <c r="I9" s="973"/>
      <c r="R9" s="176" t="s">
        <v>1871</v>
      </c>
      <c r="S9" s="993">
        <v>0</v>
      </c>
      <c r="T9" s="176">
        <v>26996.100000000002</v>
      </c>
      <c r="U9" s="993">
        <v>0</v>
      </c>
      <c r="V9" s="176">
        <v>675</v>
      </c>
      <c r="W9" s="176">
        <v>8132.2799999999988</v>
      </c>
      <c r="X9" s="176">
        <v>3199.98</v>
      </c>
      <c r="Y9" s="176">
        <v>2025.0000000000002</v>
      </c>
      <c r="Z9" s="993">
        <v>0</v>
      </c>
      <c r="AA9" s="176">
        <v>945.00000000000011</v>
      </c>
      <c r="AB9" s="176">
        <v>135</v>
      </c>
      <c r="AC9" s="993">
        <v>0</v>
      </c>
      <c r="AD9" s="176">
        <v>368.28000000000003</v>
      </c>
      <c r="AE9" s="176">
        <v>607.5</v>
      </c>
      <c r="AF9" s="176">
        <v>368.28000000000003</v>
      </c>
      <c r="AG9" s="176">
        <v>135</v>
      </c>
      <c r="AH9" s="176">
        <v>286</v>
      </c>
    </row>
    <row r="10" spans="1:34">
      <c r="D10" s="968"/>
      <c r="E10" s="969"/>
      <c r="F10" s="970"/>
      <c r="G10" s="971"/>
      <c r="H10" s="972"/>
      <c r="I10" s="973"/>
      <c r="R10" s="176" t="s">
        <v>1871</v>
      </c>
      <c r="S10" s="993">
        <v>0</v>
      </c>
      <c r="T10" s="176">
        <v>26996.100000000002</v>
      </c>
      <c r="U10" s="993">
        <v>0</v>
      </c>
      <c r="V10" s="176">
        <v>675</v>
      </c>
      <c r="W10" s="176">
        <v>8132.2799999999988</v>
      </c>
      <c r="X10" s="176">
        <v>3199.98</v>
      </c>
      <c r="Y10" s="176">
        <v>2025.0000000000002</v>
      </c>
      <c r="Z10" s="993">
        <v>0</v>
      </c>
      <c r="AA10" s="176">
        <v>945.00000000000011</v>
      </c>
      <c r="AB10" s="176">
        <v>135</v>
      </c>
      <c r="AC10" s="993">
        <v>0</v>
      </c>
      <c r="AD10" s="176">
        <v>368.28000000000003</v>
      </c>
      <c r="AE10" s="176">
        <v>607.5</v>
      </c>
      <c r="AF10" s="176">
        <v>368.28000000000003</v>
      </c>
      <c r="AG10" s="176">
        <v>135</v>
      </c>
      <c r="AH10" s="176">
        <v>286</v>
      </c>
    </row>
    <row r="11" spans="1:34">
      <c r="D11" s="968"/>
      <c r="E11" s="969"/>
      <c r="F11" s="970"/>
      <c r="G11" s="971"/>
      <c r="H11" s="972"/>
      <c r="I11" s="973"/>
      <c r="R11" s="176" t="s">
        <v>1871</v>
      </c>
      <c r="S11" s="993">
        <v>0</v>
      </c>
      <c r="T11" s="176">
        <v>26996.100000000002</v>
      </c>
      <c r="U11" s="993">
        <v>0</v>
      </c>
      <c r="V11" s="176">
        <v>675</v>
      </c>
      <c r="W11" s="176">
        <v>8132.2799999999988</v>
      </c>
      <c r="X11" s="176">
        <v>3199.98</v>
      </c>
      <c r="Y11" s="176">
        <v>2025.0000000000002</v>
      </c>
      <c r="Z11" s="993">
        <v>0</v>
      </c>
      <c r="AA11" s="176">
        <v>945.00000000000011</v>
      </c>
      <c r="AB11" s="176">
        <v>135</v>
      </c>
      <c r="AC11" s="993">
        <v>0</v>
      </c>
      <c r="AD11" s="176">
        <v>368.28000000000003</v>
      </c>
      <c r="AE11" s="176">
        <v>607.5</v>
      </c>
      <c r="AF11" s="176">
        <v>368.28000000000003</v>
      </c>
      <c r="AG11" s="176">
        <v>135</v>
      </c>
      <c r="AH11" s="176">
        <v>286</v>
      </c>
    </row>
    <row r="12" spans="1:34" ht="17.25" thickBot="1">
      <c r="D12" s="978"/>
      <c r="E12" s="979"/>
      <c r="F12" s="980"/>
      <c r="G12" s="981"/>
      <c r="H12" s="982"/>
      <c r="I12" s="983"/>
      <c r="R12" s="176" t="s">
        <v>1871</v>
      </c>
      <c r="S12" s="993">
        <v>0</v>
      </c>
      <c r="T12" s="176">
        <v>26996.100000000002</v>
      </c>
      <c r="U12" s="993">
        <v>0</v>
      </c>
      <c r="V12" s="176">
        <v>675</v>
      </c>
      <c r="W12" s="176">
        <v>8132.2799999999988</v>
      </c>
      <c r="X12" s="176">
        <v>3199.98</v>
      </c>
      <c r="Y12" s="176">
        <v>2025.0000000000002</v>
      </c>
      <c r="Z12" s="993">
        <v>0</v>
      </c>
      <c r="AA12" s="176">
        <v>945.00000000000011</v>
      </c>
      <c r="AB12" s="176">
        <v>135</v>
      </c>
      <c r="AC12" s="993">
        <v>0</v>
      </c>
      <c r="AD12" s="176">
        <v>368.28000000000003</v>
      </c>
      <c r="AE12" s="176">
        <v>607.5</v>
      </c>
      <c r="AF12" s="176">
        <v>368.28000000000003</v>
      </c>
      <c r="AG12" s="176">
        <v>135</v>
      </c>
      <c r="AH12" s="176">
        <v>286</v>
      </c>
    </row>
    <row r="13" spans="1:34" ht="26.25" customHeight="1" thickBot="1">
      <c r="A13" s="984" t="s">
        <v>1779</v>
      </c>
      <c r="D13" s="2433" t="s">
        <v>2237</v>
      </c>
      <c r="E13" s="2434"/>
      <c r="F13" s="2435"/>
      <c r="G13" s="985"/>
      <c r="H13" s="985"/>
      <c r="I13" s="985"/>
      <c r="R13" s="176" t="s">
        <v>1871</v>
      </c>
      <c r="S13" s="993">
        <v>0</v>
      </c>
      <c r="T13" s="176">
        <v>26996.100000000002</v>
      </c>
      <c r="U13" s="993">
        <v>0</v>
      </c>
      <c r="V13" s="176">
        <v>675</v>
      </c>
      <c r="W13" s="176">
        <v>8132.2799999999988</v>
      </c>
      <c r="X13" s="176">
        <v>3199.98</v>
      </c>
      <c r="Y13" s="176">
        <v>2025.0000000000002</v>
      </c>
      <c r="Z13" s="993">
        <v>0</v>
      </c>
      <c r="AA13" s="176">
        <v>945.00000000000011</v>
      </c>
      <c r="AB13" s="176">
        <v>135</v>
      </c>
      <c r="AC13" s="993">
        <v>0</v>
      </c>
      <c r="AD13" s="176">
        <v>368.28000000000003</v>
      </c>
      <c r="AE13" s="176">
        <v>607.5</v>
      </c>
      <c r="AF13" s="176">
        <v>368.28000000000003</v>
      </c>
      <c r="AG13" s="176">
        <v>135</v>
      </c>
      <c r="AH13" s="176">
        <v>286</v>
      </c>
    </row>
    <row r="14" spans="1:34">
      <c r="A14" s="986"/>
      <c r="D14" s="987"/>
      <c r="E14" s="988"/>
      <c r="F14" s="989"/>
      <c r="G14" s="985"/>
      <c r="H14" s="985"/>
      <c r="I14" s="985"/>
      <c r="R14" s="176" t="s">
        <v>1871</v>
      </c>
      <c r="S14" s="993">
        <v>0</v>
      </c>
      <c r="T14" s="176">
        <v>26996.100000000002</v>
      </c>
      <c r="U14" s="993">
        <v>0</v>
      </c>
      <c r="V14" s="176">
        <v>675</v>
      </c>
      <c r="W14" s="176">
        <v>8132.2799999999988</v>
      </c>
      <c r="X14" s="176">
        <v>3199.98</v>
      </c>
      <c r="Y14" s="176">
        <v>2025.0000000000002</v>
      </c>
      <c r="Z14" s="993">
        <v>0</v>
      </c>
      <c r="AA14" s="176">
        <v>945.00000000000011</v>
      </c>
      <c r="AB14" s="176">
        <v>135</v>
      </c>
      <c r="AC14" s="993">
        <v>0</v>
      </c>
      <c r="AD14" s="176">
        <v>368.28000000000003</v>
      </c>
      <c r="AE14" s="176">
        <v>607.5</v>
      </c>
      <c r="AF14" s="176">
        <v>368.28000000000003</v>
      </c>
      <c r="AG14" s="176">
        <v>135</v>
      </c>
      <c r="AH14" s="176">
        <v>286</v>
      </c>
    </row>
    <row r="15" spans="1:34">
      <c r="A15" s="986"/>
      <c r="D15" s="987"/>
      <c r="E15" s="988"/>
      <c r="F15" s="989"/>
      <c r="G15" s="985"/>
      <c r="H15" s="985"/>
      <c r="I15" s="985"/>
      <c r="R15" s="176" t="s">
        <v>1871</v>
      </c>
      <c r="S15" s="993">
        <v>0</v>
      </c>
      <c r="T15" s="176">
        <v>26996.100000000002</v>
      </c>
      <c r="U15" s="993">
        <v>0</v>
      </c>
      <c r="V15" s="176">
        <v>675</v>
      </c>
      <c r="W15" s="176">
        <v>8132.2799999999988</v>
      </c>
      <c r="X15" s="176">
        <v>3199.98</v>
      </c>
      <c r="Y15" s="176">
        <v>2025.0000000000002</v>
      </c>
      <c r="Z15" s="993">
        <v>0</v>
      </c>
      <c r="AA15" s="176">
        <v>945.00000000000011</v>
      </c>
      <c r="AB15" s="176">
        <v>135</v>
      </c>
      <c r="AC15" s="993">
        <v>0</v>
      </c>
      <c r="AD15" s="176">
        <v>368.28000000000003</v>
      </c>
      <c r="AE15" s="176">
        <v>607.5</v>
      </c>
      <c r="AF15" s="176">
        <v>368.28000000000003</v>
      </c>
      <c r="AG15" s="176">
        <v>135</v>
      </c>
      <c r="AH15" s="176">
        <v>286</v>
      </c>
    </row>
    <row r="16" spans="1:34">
      <c r="D16" s="987"/>
      <c r="E16" s="988"/>
      <c r="F16" s="989"/>
      <c r="G16" s="985"/>
      <c r="H16" s="985"/>
      <c r="I16" s="985"/>
      <c r="R16" s="176" t="s">
        <v>1871</v>
      </c>
      <c r="S16" s="993">
        <v>0</v>
      </c>
      <c r="T16" s="176">
        <v>26996.100000000002</v>
      </c>
      <c r="U16" s="993">
        <v>0</v>
      </c>
      <c r="V16" s="176">
        <v>675</v>
      </c>
      <c r="W16" s="176">
        <v>8132.2799999999988</v>
      </c>
      <c r="X16" s="176">
        <v>3199.98</v>
      </c>
      <c r="Y16" s="176">
        <v>2025.0000000000002</v>
      </c>
      <c r="Z16" s="993">
        <v>0</v>
      </c>
      <c r="AA16" s="176">
        <v>945.00000000000011</v>
      </c>
      <c r="AB16" s="176">
        <v>135</v>
      </c>
      <c r="AC16" s="993">
        <v>0</v>
      </c>
      <c r="AD16" s="176">
        <v>368.28000000000003</v>
      </c>
      <c r="AE16" s="176">
        <v>607.5</v>
      </c>
      <c r="AF16" s="176">
        <v>368.28000000000003</v>
      </c>
      <c r="AG16" s="176">
        <v>135</v>
      </c>
      <c r="AH16" s="176">
        <v>286</v>
      </c>
    </row>
    <row r="17" spans="1:34">
      <c r="D17" s="987"/>
      <c r="E17" s="988"/>
      <c r="F17" s="989"/>
      <c r="G17" s="985"/>
      <c r="H17" s="985"/>
      <c r="I17" s="985"/>
      <c r="R17" s="176" t="s">
        <v>1871</v>
      </c>
      <c r="S17" s="993">
        <v>0</v>
      </c>
      <c r="T17" s="176">
        <v>26996.100000000002</v>
      </c>
      <c r="U17" s="993">
        <v>0</v>
      </c>
      <c r="V17" s="176">
        <v>675</v>
      </c>
      <c r="W17" s="176">
        <v>8132.2799999999988</v>
      </c>
      <c r="X17" s="176">
        <v>3199.98</v>
      </c>
      <c r="Y17" s="176">
        <v>2025.0000000000002</v>
      </c>
      <c r="Z17" s="993">
        <v>0</v>
      </c>
      <c r="AA17" s="176">
        <v>945.00000000000011</v>
      </c>
      <c r="AB17" s="176">
        <v>135</v>
      </c>
      <c r="AC17" s="993">
        <v>0</v>
      </c>
      <c r="AD17" s="176">
        <v>368.28000000000003</v>
      </c>
      <c r="AE17" s="176">
        <v>607.5</v>
      </c>
      <c r="AF17" s="176">
        <v>368.28000000000003</v>
      </c>
      <c r="AG17" s="176">
        <v>135</v>
      </c>
      <c r="AH17" s="176">
        <v>286</v>
      </c>
    </row>
    <row r="18" spans="1:34">
      <c r="A18" s="2438" t="s">
        <v>2558</v>
      </c>
      <c r="B18" s="2438"/>
      <c r="D18" s="987"/>
      <c r="E18" s="988"/>
      <c r="F18" s="989"/>
      <c r="G18" s="985"/>
      <c r="H18" s="985"/>
      <c r="I18" s="985"/>
      <c r="R18" s="176" t="s">
        <v>1871</v>
      </c>
      <c r="S18" s="993">
        <v>0</v>
      </c>
      <c r="T18" s="176">
        <v>26996.100000000002</v>
      </c>
      <c r="U18" s="993">
        <v>0</v>
      </c>
      <c r="V18" s="176">
        <v>675</v>
      </c>
      <c r="W18" s="176">
        <v>8132.2799999999988</v>
      </c>
      <c r="X18" s="176">
        <v>3199.98</v>
      </c>
      <c r="Y18" s="176">
        <v>2025.0000000000002</v>
      </c>
      <c r="Z18" s="993">
        <v>0</v>
      </c>
      <c r="AA18" s="176">
        <v>945.00000000000011</v>
      </c>
      <c r="AB18" s="176">
        <v>135</v>
      </c>
      <c r="AC18" s="993">
        <v>0</v>
      </c>
      <c r="AD18" s="176">
        <v>368.28000000000003</v>
      </c>
      <c r="AE18" s="176">
        <v>607.5</v>
      </c>
      <c r="AF18" s="176">
        <v>368.28000000000003</v>
      </c>
      <c r="AG18" s="176">
        <v>135</v>
      </c>
      <c r="AH18" s="176">
        <v>286</v>
      </c>
    </row>
    <row r="19" spans="1:34" ht="19.5" customHeight="1">
      <c r="A19" s="2436"/>
      <c r="B19" s="2437"/>
      <c r="D19" s="987"/>
      <c r="E19" s="988"/>
      <c r="F19" s="989"/>
      <c r="G19" s="985"/>
      <c r="H19" s="985"/>
      <c r="I19" s="985"/>
      <c r="R19" s="176" t="s">
        <v>1871</v>
      </c>
      <c r="S19" s="993">
        <v>0</v>
      </c>
      <c r="T19" s="176">
        <v>26996.100000000002</v>
      </c>
      <c r="U19" s="993">
        <v>0</v>
      </c>
      <c r="V19" s="176">
        <v>675</v>
      </c>
      <c r="W19" s="176">
        <v>8132.2799999999988</v>
      </c>
      <c r="X19" s="176">
        <v>3199.98</v>
      </c>
      <c r="Y19" s="176">
        <v>2025.0000000000002</v>
      </c>
      <c r="Z19" s="993">
        <v>0</v>
      </c>
      <c r="AA19" s="176">
        <v>945.00000000000011</v>
      </c>
      <c r="AB19" s="176">
        <v>135</v>
      </c>
      <c r="AC19" s="993">
        <v>0</v>
      </c>
      <c r="AD19" s="176">
        <v>368.28000000000003</v>
      </c>
      <c r="AE19" s="176">
        <v>607.5</v>
      </c>
      <c r="AF19" s="176">
        <v>368.28000000000003</v>
      </c>
      <c r="AG19" s="176">
        <v>135</v>
      </c>
      <c r="AH19" s="176">
        <v>286</v>
      </c>
    </row>
    <row r="20" spans="1:34" ht="19.5" customHeight="1">
      <c r="A20" s="2436"/>
      <c r="B20" s="2437"/>
      <c r="D20" s="987"/>
      <c r="E20" s="988"/>
      <c r="F20" s="989"/>
      <c r="G20" s="985"/>
      <c r="H20" s="985"/>
      <c r="I20" s="985"/>
    </row>
    <row r="21" spans="1:34" ht="19.5" customHeight="1">
      <c r="A21" s="2436"/>
      <c r="B21" s="2437"/>
      <c r="D21" s="987"/>
      <c r="E21" s="988"/>
      <c r="F21" s="989"/>
      <c r="G21" s="985"/>
      <c r="H21" s="985"/>
      <c r="I21" s="985"/>
    </row>
    <row r="22" spans="1:34" ht="19.5" customHeight="1">
      <c r="A22" s="2436"/>
      <c r="B22" s="2437"/>
      <c r="D22" s="987"/>
      <c r="E22" s="988"/>
      <c r="F22" s="989"/>
      <c r="G22" s="985"/>
      <c r="H22" s="985"/>
      <c r="I22" s="985"/>
    </row>
    <row r="23" spans="1:34">
      <c r="D23" s="987"/>
      <c r="E23" s="988"/>
      <c r="F23" s="989"/>
      <c r="G23" s="985"/>
      <c r="H23" s="985"/>
      <c r="I23" s="985"/>
    </row>
    <row r="24" spans="1:34">
      <c r="D24" s="987"/>
      <c r="E24" s="988"/>
      <c r="F24" s="989"/>
      <c r="G24" s="985"/>
      <c r="H24" s="985"/>
      <c r="I24" s="985"/>
    </row>
    <row r="25" spans="1:34" ht="17.25" thickBot="1">
      <c r="D25" s="990"/>
      <c r="E25" s="991"/>
      <c r="F25" s="992"/>
      <c r="G25" s="985"/>
      <c r="H25" s="985"/>
      <c r="I25" s="985"/>
    </row>
  </sheetData>
  <mergeCells count="9">
    <mergeCell ref="D1:I1"/>
    <mergeCell ref="G2:I2"/>
    <mergeCell ref="D2:F2"/>
    <mergeCell ref="D13:F13"/>
    <mergeCell ref="A22:B22"/>
    <mergeCell ref="A18:B18"/>
    <mergeCell ref="A19:B19"/>
    <mergeCell ref="A20:B20"/>
    <mergeCell ref="A21:B21"/>
  </mergeCells>
  <phoneticPr fontId="9"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5514" r:id="rId4" name="Q_BACnet">
          <controlPr defaultSize="0" autoLine="0" autoPict="0" r:id="rId5">
            <anchor moveWithCells="1">
              <from>
                <xdr:col>6</xdr:col>
                <xdr:colOff>104775</xdr:colOff>
                <xdr:row>10</xdr:row>
                <xdr:rowOff>142875</xdr:rowOff>
              </from>
              <to>
                <xdr:col>9</xdr:col>
                <xdr:colOff>0</xdr:colOff>
                <xdr:row>11</xdr:row>
                <xdr:rowOff>190500</xdr:rowOff>
              </to>
            </anchor>
          </controlPr>
        </control>
      </mc:Choice>
      <mc:Fallback>
        <control shapeId="105514" r:id="rId4" name="Q_BACnet"/>
      </mc:Fallback>
    </mc:AlternateContent>
    <mc:AlternateContent xmlns:mc="http://schemas.openxmlformats.org/markup-compatibility/2006">
      <mc:Choice Requires="x14">
        <control shapeId="105513" r:id="rId6" name="Q_Suc_Line_Accu">
          <controlPr defaultSize="0" autoLine="0" r:id="rId7">
            <anchor moveWithCells="1">
              <from>
                <xdr:col>3</xdr:col>
                <xdr:colOff>95250</xdr:colOff>
                <xdr:row>17</xdr:row>
                <xdr:rowOff>57150</xdr:rowOff>
              </from>
              <to>
                <xdr:col>5</xdr:col>
                <xdr:colOff>542925</xdr:colOff>
                <xdr:row>18</xdr:row>
                <xdr:rowOff>200025</xdr:rowOff>
              </to>
            </anchor>
          </controlPr>
        </control>
      </mc:Choice>
      <mc:Fallback>
        <control shapeId="105513" r:id="rId6" name="Q_Suc_Line_Accu"/>
      </mc:Fallback>
    </mc:AlternateContent>
    <mc:AlternateContent xmlns:mc="http://schemas.openxmlformats.org/markup-compatibility/2006">
      <mc:Choice Requires="x14">
        <control shapeId="105473" r:id="rId8" name="Quick_Hz_60">
          <controlPr defaultSize="0" autoLine="0" r:id="rId9">
            <anchor moveWithCells="1">
              <from>
                <xdr:col>0</xdr:col>
                <xdr:colOff>19050</xdr:colOff>
                <xdr:row>5</xdr:row>
                <xdr:rowOff>190500</xdr:rowOff>
              </from>
              <to>
                <xdr:col>0</xdr:col>
                <xdr:colOff>561975</xdr:colOff>
                <xdr:row>7</xdr:row>
                <xdr:rowOff>0</xdr:rowOff>
              </to>
            </anchor>
          </controlPr>
        </control>
      </mc:Choice>
      <mc:Fallback>
        <control shapeId="105473" r:id="rId8" name="Quick_Hz_60"/>
      </mc:Fallback>
    </mc:AlternateContent>
    <mc:AlternateContent xmlns:mc="http://schemas.openxmlformats.org/markup-compatibility/2006">
      <mc:Choice Requires="x14">
        <control shapeId="105474" r:id="rId10" name="Quick_Hz_50">
          <controlPr defaultSize="0" autoLine="0" r:id="rId11">
            <anchor moveWithCells="1">
              <from>
                <xdr:col>0</xdr:col>
                <xdr:colOff>38100</xdr:colOff>
                <xdr:row>6</xdr:row>
                <xdr:rowOff>200025</xdr:rowOff>
              </from>
              <to>
                <xdr:col>0</xdr:col>
                <xdr:colOff>581025</xdr:colOff>
                <xdr:row>8</xdr:row>
                <xdr:rowOff>19050</xdr:rowOff>
              </to>
            </anchor>
          </controlPr>
        </control>
      </mc:Choice>
      <mc:Fallback>
        <control shapeId="105474" r:id="rId10" name="Quick_Hz_50"/>
      </mc:Fallback>
    </mc:AlternateContent>
    <mc:AlternateContent xmlns:mc="http://schemas.openxmlformats.org/markup-compatibility/2006">
      <mc:Choice Requires="x14">
        <control shapeId="105475" r:id="rId12" name="Quick_Power_220">
          <controlPr defaultSize="0" autoLine="0" r:id="rId13">
            <anchor moveWithCells="1">
              <from>
                <xdr:col>1</xdr:col>
                <xdr:colOff>95250</xdr:colOff>
                <xdr:row>6</xdr:row>
                <xdr:rowOff>0</xdr:rowOff>
              </from>
              <to>
                <xdr:col>1</xdr:col>
                <xdr:colOff>638175</xdr:colOff>
                <xdr:row>7</xdr:row>
                <xdr:rowOff>38100</xdr:rowOff>
              </to>
            </anchor>
          </controlPr>
        </control>
      </mc:Choice>
      <mc:Fallback>
        <control shapeId="105475" r:id="rId12" name="Quick_Power_220"/>
      </mc:Fallback>
    </mc:AlternateContent>
    <mc:AlternateContent xmlns:mc="http://schemas.openxmlformats.org/markup-compatibility/2006">
      <mc:Choice Requires="x14">
        <control shapeId="105476" r:id="rId14" name="Quick_Power_380">
          <controlPr defaultSize="0" autoLine="0" r:id="rId15">
            <anchor moveWithCells="1">
              <from>
                <xdr:col>1</xdr:col>
                <xdr:colOff>123825</xdr:colOff>
                <xdr:row>6</xdr:row>
                <xdr:rowOff>200025</xdr:rowOff>
              </from>
              <to>
                <xdr:col>1</xdr:col>
                <xdr:colOff>666750</xdr:colOff>
                <xdr:row>8</xdr:row>
                <xdr:rowOff>19050</xdr:rowOff>
              </to>
            </anchor>
          </controlPr>
        </control>
      </mc:Choice>
      <mc:Fallback>
        <control shapeId="105476" r:id="rId14" name="Quick_Power_380"/>
      </mc:Fallback>
    </mc:AlternateContent>
    <mc:AlternateContent xmlns:mc="http://schemas.openxmlformats.org/markup-compatibility/2006">
      <mc:Choice Requires="x14">
        <control shapeId="105477" r:id="rId16" name="Quick_Power_460">
          <controlPr defaultSize="0" autoLine="0" r:id="rId17">
            <anchor moveWithCells="1">
              <from>
                <xdr:col>1</xdr:col>
                <xdr:colOff>114300</xdr:colOff>
                <xdr:row>8</xdr:row>
                <xdr:rowOff>0</xdr:rowOff>
              </from>
              <to>
                <xdr:col>1</xdr:col>
                <xdr:colOff>657225</xdr:colOff>
                <xdr:row>9</xdr:row>
                <xdr:rowOff>28575</xdr:rowOff>
              </to>
            </anchor>
          </controlPr>
        </control>
      </mc:Choice>
      <mc:Fallback>
        <control shapeId="105477" r:id="rId16" name="Quick_Power_460"/>
      </mc:Fallback>
    </mc:AlternateContent>
    <mc:AlternateContent xmlns:mc="http://schemas.openxmlformats.org/markup-compatibility/2006">
      <mc:Choice Requires="x14">
        <control shapeId="105478" r:id="rId18" name="QUICK_Chiller_R134a">
          <controlPr defaultSize="0" autoLine="0" r:id="rId19">
            <anchor moveWithCells="1">
              <from>
                <xdr:col>0</xdr:col>
                <xdr:colOff>0</xdr:colOff>
                <xdr:row>1</xdr:row>
                <xdr:rowOff>0</xdr:rowOff>
              </from>
              <to>
                <xdr:col>0</xdr:col>
                <xdr:colOff>676275</xdr:colOff>
                <xdr:row>1</xdr:row>
                <xdr:rowOff>247650</xdr:rowOff>
              </to>
            </anchor>
          </controlPr>
        </control>
      </mc:Choice>
      <mc:Fallback>
        <control shapeId="105478" r:id="rId18" name="QUICK_Chiller_R134a"/>
      </mc:Fallback>
    </mc:AlternateContent>
    <mc:AlternateContent xmlns:mc="http://schemas.openxmlformats.org/markup-compatibility/2006">
      <mc:Choice Requires="x14">
        <control shapeId="105479" r:id="rId20" name="QUICK_Chiller_R410A">
          <controlPr defaultSize="0" autoLine="0" r:id="rId21">
            <anchor moveWithCells="1">
              <from>
                <xdr:col>0</xdr:col>
                <xdr:colOff>0</xdr:colOff>
                <xdr:row>2</xdr:row>
                <xdr:rowOff>161925</xdr:rowOff>
              </from>
              <to>
                <xdr:col>0</xdr:col>
                <xdr:colOff>676275</xdr:colOff>
                <xdr:row>3</xdr:row>
                <xdr:rowOff>200025</xdr:rowOff>
              </to>
            </anchor>
          </controlPr>
        </control>
      </mc:Choice>
      <mc:Fallback>
        <control shapeId="105479" r:id="rId20" name="QUICK_Chiller_R410A"/>
      </mc:Fallback>
    </mc:AlternateContent>
    <mc:AlternateContent xmlns:mc="http://schemas.openxmlformats.org/markup-compatibility/2006">
      <mc:Choice Requires="x14">
        <control shapeId="105480" r:id="rId22" name="QUICK_Chiller_R407C">
          <controlPr defaultSize="0" autoLine="0" r:id="rId23">
            <anchor moveWithCells="1">
              <from>
                <xdr:col>0</xdr:col>
                <xdr:colOff>0</xdr:colOff>
                <xdr:row>1</xdr:row>
                <xdr:rowOff>266700</xdr:rowOff>
              </from>
              <to>
                <xdr:col>0</xdr:col>
                <xdr:colOff>676275</xdr:colOff>
                <xdr:row>3</xdr:row>
                <xdr:rowOff>9525</xdr:rowOff>
              </to>
            </anchor>
          </controlPr>
        </control>
      </mc:Choice>
      <mc:Fallback>
        <control shapeId="105480" r:id="rId22" name="QUICK_Chiller_R407C"/>
      </mc:Fallback>
    </mc:AlternateContent>
    <mc:AlternateContent xmlns:mc="http://schemas.openxmlformats.org/markup-compatibility/2006">
      <mc:Choice Requires="x14">
        <control shapeId="105481" r:id="rId24" name="QUICK_Chiller_PSC">
          <controlPr defaultSize="0" disabled="1" autoLine="0" r:id="rId25">
            <anchor moveWithCells="1">
              <from>
                <xdr:col>1</xdr:col>
                <xdr:colOff>57150</xdr:colOff>
                <xdr:row>1</xdr:row>
                <xdr:rowOff>266700</xdr:rowOff>
              </from>
              <to>
                <xdr:col>2</xdr:col>
                <xdr:colOff>9525</xdr:colOff>
                <xdr:row>3</xdr:row>
                <xdr:rowOff>9525</xdr:rowOff>
              </to>
            </anchor>
          </controlPr>
        </control>
      </mc:Choice>
      <mc:Fallback>
        <control shapeId="105481" r:id="rId24" name="QUICK_Chiller_PSC"/>
      </mc:Fallback>
    </mc:AlternateContent>
    <mc:AlternateContent xmlns:mc="http://schemas.openxmlformats.org/markup-compatibility/2006">
      <mc:Choice Requires="x14">
        <control shapeId="105482" r:id="rId26" name="QUICK_Chiller_RWC">
          <controlPr defaultSize="0" disabled="1" autoLine="0" r:id="rId27">
            <anchor moveWithCells="1">
              <from>
                <xdr:col>1</xdr:col>
                <xdr:colOff>57150</xdr:colOff>
                <xdr:row>2</xdr:row>
                <xdr:rowOff>161925</xdr:rowOff>
              </from>
              <to>
                <xdr:col>2</xdr:col>
                <xdr:colOff>9525</xdr:colOff>
                <xdr:row>3</xdr:row>
                <xdr:rowOff>200025</xdr:rowOff>
              </to>
            </anchor>
          </controlPr>
        </control>
      </mc:Choice>
      <mc:Fallback>
        <control shapeId="105482" r:id="rId26" name="QUICK_Chiller_RWC"/>
      </mc:Fallback>
    </mc:AlternateContent>
    <mc:AlternateContent xmlns:mc="http://schemas.openxmlformats.org/markup-compatibility/2006">
      <mc:Choice Requires="x14">
        <control shapeId="105483" r:id="rId28" name="QUICK_Chiller_APSA">
          <controlPr defaultSize="0" autoLine="0" r:id="rId29">
            <anchor moveWithCells="1">
              <from>
                <xdr:col>1</xdr:col>
                <xdr:colOff>47625</xdr:colOff>
                <xdr:row>1</xdr:row>
                <xdr:rowOff>0</xdr:rowOff>
              </from>
              <to>
                <xdr:col>2</xdr:col>
                <xdr:colOff>0</xdr:colOff>
                <xdr:row>1</xdr:row>
                <xdr:rowOff>238125</xdr:rowOff>
              </to>
            </anchor>
          </controlPr>
        </control>
      </mc:Choice>
      <mc:Fallback>
        <control shapeId="105483" r:id="rId28" name="QUICK_Chiller_APSA"/>
      </mc:Fallback>
    </mc:AlternateContent>
    <mc:AlternateContent xmlns:mc="http://schemas.openxmlformats.org/markup-compatibility/2006">
      <mc:Choice Requires="x14">
        <control shapeId="105484" r:id="rId30" name="SASO_JO">
          <controlPr defaultSize="0" disabled="1" autoLine="0" r:id="rId31">
            <anchor moveWithCells="1">
              <from>
                <xdr:col>0</xdr:col>
                <xdr:colOff>9525</xdr:colOff>
                <xdr:row>12</xdr:row>
                <xdr:rowOff>323850</xdr:rowOff>
              </from>
              <to>
                <xdr:col>0</xdr:col>
                <xdr:colOff>771525</xdr:colOff>
                <xdr:row>14</xdr:row>
                <xdr:rowOff>28575</xdr:rowOff>
              </to>
            </anchor>
          </controlPr>
        </control>
      </mc:Choice>
      <mc:Fallback>
        <control shapeId="105484" r:id="rId30" name="SASO_JO"/>
      </mc:Fallback>
    </mc:AlternateContent>
    <mc:AlternateContent xmlns:mc="http://schemas.openxmlformats.org/markup-compatibility/2006">
      <mc:Choice Requires="x14">
        <control shapeId="105485" r:id="rId32" name="SASO_KSA">
          <controlPr defaultSize="0" autoLine="0" r:id="rId33">
            <anchor moveWithCells="1">
              <from>
                <xdr:col>0</xdr:col>
                <xdr:colOff>19050</xdr:colOff>
                <xdr:row>14</xdr:row>
                <xdr:rowOff>0</xdr:rowOff>
              </from>
              <to>
                <xdr:col>0</xdr:col>
                <xdr:colOff>742950</xdr:colOff>
                <xdr:row>15</xdr:row>
                <xdr:rowOff>28575</xdr:rowOff>
              </to>
            </anchor>
          </controlPr>
        </control>
      </mc:Choice>
      <mc:Fallback>
        <control shapeId="105485" r:id="rId32" name="SASO_KSA"/>
      </mc:Fallback>
    </mc:AlternateContent>
    <mc:AlternateContent xmlns:mc="http://schemas.openxmlformats.org/markup-compatibility/2006">
      <mc:Choice Requires="x14">
        <control shapeId="105486" r:id="rId34" name="Chiller_Quick_Pricing">
          <controlPr defaultSize="0" autoLine="0" r:id="rId35">
            <anchor moveWithCells="1">
              <from>
                <xdr:col>10</xdr:col>
                <xdr:colOff>57150</xdr:colOff>
                <xdr:row>0</xdr:row>
                <xdr:rowOff>38100</xdr:rowOff>
              </from>
              <to>
                <xdr:col>11</xdr:col>
                <xdr:colOff>495300</xdr:colOff>
                <xdr:row>3</xdr:row>
                <xdr:rowOff>114300</xdr:rowOff>
              </to>
            </anchor>
          </controlPr>
        </control>
      </mc:Choice>
      <mc:Fallback>
        <control shapeId="105486" r:id="rId34" name="Chiller_Quick_Pricing"/>
      </mc:Fallback>
    </mc:AlternateContent>
    <mc:AlternateContent xmlns:mc="http://schemas.openxmlformats.org/markup-compatibility/2006">
      <mc:Choice Requires="x14">
        <control shapeId="105488" r:id="rId36" name="Q_Suction_Valve">
          <controlPr defaultSize="0" autoLine="0" r:id="rId37">
            <anchor moveWithCells="1">
              <from>
                <xdr:col>3</xdr:col>
                <xdr:colOff>76200</xdr:colOff>
                <xdr:row>12</xdr:row>
                <xdr:rowOff>314325</xdr:rowOff>
              </from>
              <to>
                <xdr:col>4</xdr:col>
                <xdr:colOff>476250</xdr:colOff>
                <xdr:row>14</xdr:row>
                <xdr:rowOff>38100</xdr:rowOff>
              </to>
            </anchor>
          </controlPr>
        </control>
      </mc:Choice>
      <mc:Fallback>
        <control shapeId="105488" r:id="rId36" name="Q_Suction_Valve"/>
      </mc:Fallback>
    </mc:AlternateContent>
    <mc:AlternateContent xmlns:mc="http://schemas.openxmlformats.org/markup-compatibility/2006">
      <mc:Choice Requires="x14">
        <control shapeId="105489" r:id="rId38" name="Q_Elec_Heater_Trap">
          <controlPr defaultSize="0" autoLine="0" r:id="rId39">
            <anchor moveWithCells="1">
              <from>
                <xdr:col>6</xdr:col>
                <xdr:colOff>123825</xdr:colOff>
                <xdr:row>8</xdr:row>
                <xdr:rowOff>133350</xdr:rowOff>
              </from>
              <to>
                <xdr:col>8</xdr:col>
                <xdr:colOff>9525</xdr:colOff>
                <xdr:row>9</xdr:row>
                <xdr:rowOff>190500</xdr:rowOff>
              </to>
            </anchor>
          </controlPr>
        </control>
      </mc:Choice>
      <mc:Fallback>
        <control shapeId="105489" r:id="rId38" name="Q_Elec_Heater_Trap"/>
      </mc:Fallback>
    </mc:AlternateContent>
    <mc:AlternateContent xmlns:mc="http://schemas.openxmlformats.org/markup-compatibility/2006">
      <mc:Choice Requires="x14">
        <control shapeId="105490" r:id="rId40" name="Q_Wire_Mesh">
          <controlPr defaultSize="0" disabled="1" autoLine="0" r:id="rId41">
            <anchor moveWithCells="1">
              <from>
                <xdr:col>3</xdr:col>
                <xdr:colOff>95250</xdr:colOff>
                <xdr:row>2</xdr:row>
                <xdr:rowOff>38100</xdr:rowOff>
              </from>
              <to>
                <xdr:col>4</xdr:col>
                <xdr:colOff>523875</xdr:colOff>
                <xdr:row>3</xdr:row>
                <xdr:rowOff>95250</xdr:rowOff>
              </to>
            </anchor>
          </controlPr>
        </control>
      </mc:Choice>
      <mc:Fallback>
        <control shapeId="105490" r:id="rId40" name="Q_Wire_Mesh"/>
      </mc:Fallback>
    </mc:AlternateContent>
    <mc:AlternateContent xmlns:mc="http://schemas.openxmlformats.org/markup-compatibility/2006">
      <mc:Choice Requires="x14">
        <control shapeId="105491" r:id="rId42" name="Q_EOL_Comp">
          <controlPr defaultSize="0" autoLine="0" r:id="rId43">
            <anchor moveWithCells="1">
              <from>
                <xdr:col>6</xdr:col>
                <xdr:colOff>104775</xdr:colOff>
                <xdr:row>3</xdr:row>
                <xdr:rowOff>76200</xdr:rowOff>
              </from>
              <to>
                <xdr:col>7</xdr:col>
                <xdr:colOff>600075</xdr:colOff>
                <xdr:row>4</xdr:row>
                <xdr:rowOff>133350</xdr:rowOff>
              </to>
            </anchor>
          </controlPr>
        </control>
      </mc:Choice>
      <mc:Fallback>
        <control shapeId="105491" r:id="rId42" name="Q_EOL_Comp"/>
      </mc:Fallback>
    </mc:AlternateContent>
    <mc:AlternateContent xmlns:mc="http://schemas.openxmlformats.org/markup-compatibility/2006">
      <mc:Choice Requires="x14">
        <control shapeId="105492" r:id="rId44" name="Q_WFS">
          <controlPr defaultSize="0" autoLine="0" r:id="rId45">
            <anchor moveWithCells="1">
              <from>
                <xdr:col>6</xdr:col>
                <xdr:colOff>114300</xdr:colOff>
                <xdr:row>9</xdr:row>
                <xdr:rowOff>142875</xdr:rowOff>
              </from>
              <to>
                <xdr:col>8</xdr:col>
                <xdr:colOff>47625</xdr:colOff>
                <xdr:row>10</xdr:row>
                <xdr:rowOff>200025</xdr:rowOff>
              </to>
            </anchor>
          </controlPr>
        </control>
      </mc:Choice>
      <mc:Fallback>
        <control shapeId="105492" r:id="rId44" name="Q_WFS"/>
      </mc:Fallback>
    </mc:AlternateContent>
    <mc:AlternateContent xmlns:mc="http://schemas.openxmlformats.org/markup-compatibility/2006">
      <mc:Choice Requires="x14">
        <control shapeId="105493" r:id="rId46" name="Q_Cooler_Jacket">
          <controlPr defaultSize="0" autoLine="0" r:id="rId47">
            <anchor moveWithCells="1">
              <from>
                <xdr:col>3</xdr:col>
                <xdr:colOff>85725</xdr:colOff>
                <xdr:row>3</xdr:row>
                <xdr:rowOff>85725</xdr:rowOff>
              </from>
              <to>
                <xdr:col>5</xdr:col>
                <xdr:colOff>190500</xdr:colOff>
                <xdr:row>4</xdr:row>
                <xdr:rowOff>142875</xdr:rowOff>
              </to>
            </anchor>
          </controlPr>
        </control>
      </mc:Choice>
      <mc:Fallback>
        <control shapeId="105493" r:id="rId46" name="Q_Cooler_Jacket"/>
      </mc:Fallback>
    </mc:AlternateContent>
    <mc:AlternateContent xmlns:mc="http://schemas.openxmlformats.org/markup-compatibility/2006">
      <mc:Choice Requires="x14">
        <control shapeId="105494" r:id="rId48" name="Q_Cooler_Jacket_SS">
          <controlPr defaultSize="0" autoLine="0" r:id="rId49">
            <anchor moveWithCells="1">
              <from>
                <xdr:col>3</xdr:col>
                <xdr:colOff>85725</xdr:colOff>
                <xdr:row>4</xdr:row>
                <xdr:rowOff>95250</xdr:rowOff>
              </from>
              <to>
                <xdr:col>5</xdr:col>
                <xdr:colOff>190500</xdr:colOff>
                <xdr:row>5</xdr:row>
                <xdr:rowOff>152400</xdr:rowOff>
              </to>
            </anchor>
          </controlPr>
        </control>
      </mc:Choice>
      <mc:Fallback>
        <control shapeId="105494" r:id="rId48" name="Q_Cooler_Jacket_SS"/>
      </mc:Fallback>
    </mc:AlternateContent>
    <mc:AlternateContent xmlns:mc="http://schemas.openxmlformats.org/markup-compatibility/2006">
      <mc:Choice Requires="x14">
        <control shapeId="105495" r:id="rId50" name="Q_High_Pressure_Relef">
          <controlPr defaultSize="0" autoLine="0" r:id="rId51">
            <anchor moveWithCells="1">
              <from>
                <xdr:col>3</xdr:col>
                <xdr:colOff>85725</xdr:colOff>
                <xdr:row>15</xdr:row>
                <xdr:rowOff>28575</xdr:rowOff>
              </from>
              <to>
                <xdr:col>5</xdr:col>
                <xdr:colOff>552450</xdr:colOff>
                <xdr:row>16</xdr:row>
                <xdr:rowOff>85725</xdr:rowOff>
              </to>
            </anchor>
          </controlPr>
        </control>
      </mc:Choice>
      <mc:Fallback>
        <control shapeId="105495" r:id="rId50" name="Q_High_Pressure_Relef"/>
      </mc:Fallback>
    </mc:AlternateContent>
    <mc:AlternateContent xmlns:mc="http://schemas.openxmlformats.org/markup-compatibility/2006">
      <mc:Choice Requires="x14">
        <control shapeId="105496" r:id="rId52" name="Q_Cooler_Insu">
          <controlPr defaultSize="0" autoLine="0" r:id="rId53">
            <anchor moveWithCells="1">
              <from>
                <xdr:col>3</xdr:col>
                <xdr:colOff>85725</xdr:colOff>
                <xdr:row>5</xdr:row>
                <xdr:rowOff>142875</xdr:rowOff>
              </from>
              <to>
                <xdr:col>5</xdr:col>
                <xdr:colOff>438150</xdr:colOff>
                <xdr:row>6</xdr:row>
                <xdr:rowOff>180975</xdr:rowOff>
              </to>
            </anchor>
          </controlPr>
        </control>
      </mc:Choice>
      <mc:Fallback>
        <control shapeId="105496" r:id="rId52" name="Q_Cooler_Insu"/>
      </mc:Fallback>
    </mc:AlternateContent>
    <mc:AlternateContent xmlns:mc="http://schemas.openxmlformats.org/markup-compatibility/2006">
      <mc:Choice Requires="x14">
        <control shapeId="105497" r:id="rId54" name="Q_Comp_Compart">
          <controlPr defaultSize="0" autoLine="0" r:id="rId55">
            <anchor moveWithCells="1">
              <from>
                <xdr:col>3</xdr:col>
                <xdr:colOff>85725</xdr:colOff>
                <xdr:row>6</xdr:row>
                <xdr:rowOff>114300</xdr:rowOff>
              </from>
              <to>
                <xdr:col>5</xdr:col>
                <xdr:colOff>438150</xdr:colOff>
                <xdr:row>7</xdr:row>
                <xdr:rowOff>171450</xdr:rowOff>
              </to>
            </anchor>
          </controlPr>
        </control>
      </mc:Choice>
      <mc:Fallback>
        <control shapeId="105497" r:id="rId54" name="Q_Comp_Compart"/>
      </mc:Fallback>
    </mc:AlternateContent>
    <mc:AlternateContent xmlns:mc="http://schemas.openxmlformats.org/markup-compatibility/2006">
      <mc:Choice Requires="x14">
        <control shapeId="105498" r:id="rId56" name="Q_Comp_Jacket">
          <controlPr defaultSize="0" autoLine="0" r:id="rId57">
            <anchor moveWithCells="1">
              <from>
                <xdr:col>3</xdr:col>
                <xdr:colOff>76200</xdr:colOff>
                <xdr:row>7</xdr:row>
                <xdr:rowOff>114300</xdr:rowOff>
              </from>
              <to>
                <xdr:col>5</xdr:col>
                <xdr:colOff>428625</xdr:colOff>
                <xdr:row>8</xdr:row>
                <xdr:rowOff>171450</xdr:rowOff>
              </to>
            </anchor>
          </controlPr>
        </control>
      </mc:Choice>
      <mc:Fallback>
        <control shapeId="105498" r:id="rId56" name="Q_Comp_Jacket"/>
      </mc:Fallback>
    </mc:AlternateContent>
    <mc:AlternateContent xmlns:mc="http://schemas.openxmlformats.org/markup-compatibility/2006">
      <mc:Choice Requires="x14">
        <control shapeId="105499" r:id="rId58" name="Q_HLPG">
          <controlPr defaultSize="0" autoLine="0" r:id="rId59">
            <anchor moveWithCells="1">
              <from>
                <xdr:col>3</xdr:col>
                <xdr:colOff>104775</xdr:colOff>
                <xdr:row>16</xdr:row>
                <xdr:rowOff>38100</xdr:rowOff>
              </from>
              <to>
                <xdr:col>4</xdr:col>
                <xdr:colOff>104775</xdr:colOff>
                <xdr:row>17</xdr:row>
                <xdr:rowOff>95250</xdr:rowOff>
              </to>
            </anchor>
          </controlPr>
        </control>
      </mc:Choice>
      <mc:Fallback>
        <control shapeId="105499" r:id="rId58" name="Q_HLPG"/>
      </mc:Fallback>
    </mc:AlternateContent>
    <mc:AlternateContent xmlns:mc="http://schemas.openxmlformats.org/markup-compatibility/2006">
      <mc:Choice Requires="x14">
        <control shapeId="105500" r:id="rId60" name="Q_CB_CFM">
          <controlPr defaultSize="0" autoLine="0" r:id="rId61">
            <anchor moveWithCells="1">
              <from>
                <xdr:col>6</xdr:col>
                <xdr:colOff>104775</xdr:colOff>
                <xdr:row>2</xdr:row>
                <xdr:rowOff>38100</xdr:rowOff>
              </from>
              <to>
                <xdr:col>7</xdr:col>
                <xdr:colOff>104775</xdr:colOff>
                <xdr:row>3</xdr:row>
                <xdr:rowOff>95250</xdr:rowOff>
              </to>
            </anchor>
          </controlPr>
        </control>
      </mc:Choice>
      <mc:Fallback>
        <control shapeId="105500" r:id="rId60" name="Q_CB_CFM"/>
      </mc:Fallback>
    </mc:AlternateContent>
    <mc:AlternateContent xmlns:mc="http://schemas.openxmlformats.org/markup-compatibility/2006">
      <mc:Choice Requires="x14">
        <control shapeId="105501" r:id="rId62" name="Q_EOL_CFM">
          <controlPr defaultSize="0" autoLine="0" r:id="rId63">
            <anchor moveWithCells="1">
              <from>
                <xdr:col>6</xdr:col>
                <xdr:colOff>104775</xdr:colOff>
                <xdr:row>4</xdr:row>
                <xdr:rowOff>95250</xdr:rowOff>
              </from>
              <to>
                <xdr:col>7</xdr:col>
                <xdr:colOff>295275</xdr:colOff>
                <xdr:row>5</xdr:row>
                <xdr:rowOff>152400</xdr:rowOff>
              </to>
            </anchor>
          </controlPr>
        </control>
      </mc:Choice>
      <mc:Fallback>
        <control shapeId="105501" r:id="rId62" name="Q_EOL_CFM"/>
      </mc:Fallback>
    </mc:AlternateContent>
    <mc:AlternateContent xmlns:mc="http://schemas.openxmlformats.org/markup-compatibility/2006">
      <mc:Choice Requires="x14">
        <control shapeId="105502" r:id="rId64" name="Q_HGBP">
          <controlPr defaultSize="0" autoLine="0" r:id="rId65">
            <anchor moveWithCells="1">
              <from>
                <xdr:col>3</xdr:col>
                <xdr:colOff>104775</xdr:colOff>
                <xdr:row>13</xdr:row>
                <xdr:rowOff>152400</xdr:rowOff>
              </from>
              <to>
                <xdr:col>5</xdr:col>
                <xdr:colOff>552450</xdr:colOff>
                <xdr:row>15</xdr:row>
                <xdr:rowOff>76200</xdr:rowOff>
              </to>
            </anchor>
          </controlPr>
        </control>
      </mc:Choice>
      <mc:Fallback>
        <control shapeId="105502" r:id="rId64" name="Q_HGBP"/>
      </mc:Fallback>
    </mc:AlternateContent>
    <mc:AlternateContent xmlns:mc="http://schemas.openxmlformats.org/markup-compatibility/2006">
      <mc:Choice Requires="x14">
        <control shapeId="105503" r:id="rId66" name="Q_Chiller_MicroChannel">
          <controlPr defaultSize="0" autoLine="0" r:id="rId67">
            <anchor moveWithCells="1">
              <from>
                <xdr:col>0</xdr:col>
                <xdr:colOff>57150</xdr:colOff>
                <xdr:row>18</xdr:row>
                <xdr:rowOff>19050</xdr:rowOff>
              </from>
              <to>
                <xdr:col>1</xdr:col>
                <xdr:colOff>304800</xdr:colOff>
                <xdr:row>19</xdr:row>
                <xdr:rowOff>9525</xdr:rowOff>
              </to>
            </anchor>
          </controlPr>
        </control>
      </mc:Choice>
      <mc:Fallback>
        <control shapeId="105503" r:id="rId66" name="Q_Chiller_MicroChannel"/>
      </mc:Fallback>
    </mc:AlternateContent>
    <mc:AlternateContent xmlns:mc="http://schemas.openxmlformats.org/markup-compatibility/2006">
      <mc:Choice Requires="x14">
        <control shapeId="105504" r:id="rId68" name="Q_Chiller_Cu_Cu">
          <controlPr defaultSize="0" autoLine="0" r:id="rId69">
            <anchor moveWithCells="1">
              <from>
                <xdr:col>0</xdr:col>
                <xdr:colOff>66675</xdr:colOff>
                <xdr:row>20</xdr:row>
                <xdr:rowOff>0</xdr:rowOff>
              </from>
              <to>
                <xdr:col>1</xdr:col>
                <xdr:colOff>85725</xdr:colOff>
                <xdr:row>21</xdr:row>
                <xdr:rowOff>0</xdr:rowOff>
              </to>
            </anchor>
          </controlPr>
        </control>
      </mc:Choice>
      <mc:Fallback>
        <control shapeId="105504" r:id="rId68" name="Q_Chiller_Cu_Cu"/>
      </mc:Fallback>
    </mc:AlternateContent>
    <mc:AlternateContent xmlns:mc="http://schemas.openxmlformats.org/markup-compatibility/2006">
      <mc:Choice Requires="x14">
        <control shapeId="105505" r:id="rId70" name="Q_Chiller_CU_Al">
          <controlPr defaultSize="0" autoLine="0" r:id="rId71">
            <anchor moveWithCells="1">
              <from>
                <xdr:col>0</xdr:col>
                <xdr:colOff>57150</xdr:colOff>
                <xdr:row>18</xdr:row>
                <xdr:rowOff>228600</xdr:rowOff>
              </from>
              <to>
                <xdr:col>1</xdr:col>
                <xdr:colOff>371475</xdr:colOff>
                <xdr:row>19</xdr:row>
                <xdr:rowOff>228600</xdr:rowOff>
              </to>
            </anchor>
          </controlPr>
        </control>
      </mc:Choice>
      <mc:Fallback>
        <control shapeId="105505" r:id="rId70" name="Q_Chiller_CU_Al"/>
      </mc:Fallback>
    </mc:AlternateContent>
    <mc:AlternateContent xmlns:mc="http://schemas.openxmlformats.org/markup-compatibility/2006">
      <mc:Choice Requires="x14">
        <control shapeId="105506" r:id="rId72" name="Q_Chiller_CU_Pre_Coated">
          <controlPr defaultSize="0" disabled="1" autoLine="0" r:id="rId73">
            <anchor moveWithCells="1">
              <from>
                <xdr:col>0</xdr:col>
                <xdr:colOff>57150</xdr:colOff>
                <xdr:row>21</xdr:row>
                <xdr:rowOff>0</xdr:rowOff>
              </from>
              <to>
                <xdr:col>1</xdr:col>
                <xdr:colOff>685800</xdr:colOff>
                <xdr:row>22</xdr:row>
                <xdr:rowOff>0</xdr:rowOff>
              </to>
            </anchor>
          </controlPr>
        </control>
      </mc:Choice>
      <mc:Fallback>
        <control shapeId="105506" r:id="rId72" name="Q_Chiller_CU_Pre_Coated"/>
      </mc:Fallback>
    </mc:AlternateContent>
    <mc:AlternateContent xmlns:mc="http://schemas.openxmlformats.org/markup-compatibility/2006">
      <mc:Choice Requires="x14">
        <control shapeId="105507" r:id="rId74" name="Q_MDS_Non_Fused">
          <controlPr defaultSize="0" autoLine="0" r:id="rId75">
            <anchor moveWithCells="1">
              <from>
                <xdr:col>6</xdr:col>
                <xdr:colOff>114300</xdr:colOff>
                <xdr:row>5</xdr:row>
                <xdr:rowOff>123825</xdr:rowOff>
              </from>
              <to>
                <xdr:col>7</xdr:col>
                <xdr:colOff>590550</xdr:colOff>
                <xdr:row>6</xdr:row>
                <xdr:rowOff>161925</xdr:rowOff>
              </to>
            </anchor>
          </controlPr>
        </control>
      </mc:Choice>
      <mc:Fallback>
        <control shapeId="105507" r:id="rId74" name="Q_MDS_Non_Fused"/>
      </mc:Fallback>
    </mc:AlternateContent>
    <mc:AlternateContent xmlns:mc="http://schemas.openxmlformats.org/markup-compatibility/2006">
      <mc:Choice Requires="x14">
        <control shapeId="105508" r:id="rId76" name="Q_MDS_Fused">
          <controlPr defaultSize="0" autoLine="0" r:id="rId77">
            <anchor moveWithCells="1">
              <from>
                <xdr:col>6</xdr:col>
                <xdr:colOff>123825</xdr:colOff>
                <xdr:row>6</xdr:row>
                <xdr:rowOff>104775</xdr:rowOff>
              </from>
              <to>
                <xdr:col>7</xdr:col>
                <xdr:colOff>600075</xdr:colOff>
                <xdr:row>7</xdr:row>
                <xdr:rowOff>161925</xdr:rowOff>
              </to>
            </anchor>
          </controlPr>
        </control>
      </mc:Choice>
      <mc:Fallback>
        <control shapeId="105508" r:id="rId76" name="Q_MDS_Fused"/>
      </mc:Fallback>
    </mc:AlternateContent>
    <mc:AlternateContent xmlns:mc="http://schemas.openxmlformats.org/markup-compatibility/2006">
      <mc:Choice Requires="x14">
        <control shapeId="105509" r:id="rId78" name="Q_MCB">
          <controlPr defaultSize="0" autoLine="0" r:id="rId79">
            <anchor moveWithCells="1">
              <from>
                <xdr:col>6</xdr:col>
                <xdr:colOff>123825</xdr:colOff>
                <xdr:row>7</xdr:row>
                <xdr:rowOff>104775</xdr:rowOff>
              </from>
              <to>
                <xdr:col>7</xdr:col>
                <xdr:colOff>600075</xdr:colOff>
                <xdr:row>8</xdr:row>
                <xdr:rowOff>161925</xdr:rowOff>
              </to>
            </anchor>
          </controlPr>
        </control>
      </mc:Choice>
      <mc:Fallback>
        <control shapeId="105509" r:id="rId78" name="Q_MCB"/>
      </mc:Fallback>
    </mc:AlternateContent>
    <mc:AlternateContent xmlns:mc="http://schemas.openxmlformats.org/markup-compatibility/2006">
      <mc:Choice Requires="x14">
        <control shapeId="105510" r:id="rId80" name="Q_Post_Coating">
          <controlPr defaultSize="0" autoLine="0" autoPict="0" r:id="rId81">
            <anchor moveWithCells="1">
              <from>
                <xdr:col>3</xdr:col>
                <xdr:colOff>57150</xdr:colOff>
                <xdr:row>10</xdr:row>
                <xdr:rowOff>57150</xdr:rowOff>
              </from>
              <to>
                <xdr:col>5</xdr:col>
                <xdr:colOff>571500</xdr:colOff>
                <xdr:row>11</xdr:row>
                <xdr:rowOff>104775</xdr:rowOff>
              </to>
            </anchor>
          </controlPr>
        </control>
      </mc:Choice>
      <mc:Fallback>
        <control shapeId="105510" r:id="rId80" name="Q_Post_Coating"/>
      </mc:Fallback>
    </mc:AlternateContent>
    <mc:AlternateContent xmlns:mc="http://schemas.openxmlformats.org/markup-compatibility/2006">
      <mc:Choice Requires="x14">
        <control shapeId="105512" r:id="rId82" name="Q_Chiller_Coil_Coating">
          <controlPr defaultSize="0" autoLine="0" r:id="rId83">
            <anchor moveWithCells="1">
              <from>
                <xdr:col>3</xdr:col>
                <xdr:colOff>85725</xdr:colOff>
                <xdr:row>8</xdr:row>
                <xdr:rowOff>133350</xdr:rowOff>
              </from>
              <to>
                <xdr:col>5</xdr:col>
                <xdr:colOff>114300</xdr:colOff>
                <xdr:row>9</xdr:row>
                <xdr:rowOff>190500</xdr:rowOff>
              </to>
            </anchor>
          </controlPr>
        </control>
      </mc:Choice>
      <mc:Fallback>
        <control shapeId="105512" r:id="rId82" name="Q_Chiller_Coil_Coating"/>
      </mc:Fallback>
    </mc:AlternateContent>
  </controls>
  <tableParts count="1">
    <tablePart r:id="rId84"/>
  </tablePart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J2_Quick_PPH"/>
  <dimension ref="A1:AE64"/>
  <sheetViews>
    <sheetView topLeftCell="D1" zoomScale="85" zoomScaleNormal="85" workbookViewId="0">
      <selection activeCell="S16" sqref="S16"/>
    </sheetView>
  </sheetViews>
  <sheetFormatPr defaultRowHeight="16.5"/>
  <cols>
    <col min="1" max="1" width="12.140625" style="176" hidden="1" customWidth="1"/>
    <col min="2" max="2" width="6.140625" style="176" hidden="1" customWidth="1"/>
    <col min="3" max="3" width="4.28515625" style="176" hidden="1" customWidth="1"/>
    <col min="4" max="4" width="9.140625" style="176" customWidth="1"/>
    <col min="5" max="5" width="9.140625" style="176"/>
    <col min="6" max="6" width="21.85546875" style="176" customWidth="1"/>
    <col min="7" max="7" width="11.140625" style="176" customWidth="1"/>
    <col min="8" max="8" width="9.140625" style="176"/>
    <col min="9" max="9" width="24.5703125" style="176" customWidth="1"/>
    <col min="10" max="10" width="9.140625" style="176"/>
    <col min="11" max="11" width="22.28515625" style="176" customWidth="1"/>
    <col min="12" max="12" width="10.5703125" style="176" customWidth="1"/>
    <col min="13" max="13" width="38.28515625" style="176" customWidth="1"/>
    <col min="14" max="14" width="3.28515625" style="176" customWidth="1"/>
    <col min="15" max="15" width="2.85546875" style="176" hidden="1" customWidth="1"/>
    <col min="16" max="16" width="3.140625" style="176" customWidth="1"/>
    <col min="17" max="17" width="8.42578125" bestFit="1" customWidth="1"/>
    <col min="18" max="18" width="14" bestFit="1" customWidth="1"/>
    <col min="19" max="19" width="17.5703125" bestFit="1" customWidth="1"/>
    <col min="20" max="20" width="12.42578125" bestFit="1" customWidth="1"/>
    <col min="21" max="21" width="14.7109375" bestFit="1" customWidth="1"/>
    <col min="22" max="16384" width="9.140625" style="176"/>
  </cols>
  <sheetData>
    <row r="1" spans="1:31" s="1022" customFormat="1" ht="24.75" customHeight="1" thickBot="1">
      <c r="A1" s="176"/>
      <c r="B1" s="176"/>
      <c r="C1" s="176"/>
      <c r="D1" s="2453" t="s">
        <v>2565</v>
      </c>
      <c r="E1" s="2454"/>
      <c r="F1" s="2455"/>
      <c r="G1" s="2478" t="s">
        <v>2566</v>
      </c>
      <c r="H1" s="2456"/>
      <c r="I1" s="2457"/>
      <c r="J1" s="2472" t="s">
        <v>2564</v>
      </c>
      <c r="K1" s="2473"/>
      <c r="L1" s="2473"/>
      <c r="M1" s="1053"/>
      <c r="N1" s="1042"/>
      <c r="P1" s="176"/>
      <c r="Q1" s="907" t="s">
        <v>3</v>
      </c>
      <c r="R1" s="907" t="s">
        <v>1760</v>
      </c>
      <c r="S1" s="907" t="s">
        <v>23</v>
      </c>
      <c r="T1" s="907" t="s">
        <v>2397</v>
      </c>
      <c r="U1" s="907" t="s">
        <v>2398</v>
      </c>
      <c r="V1" s="1020" t="s">
        <v>27</v>
      </c>
      <c r="W1" s="1021" t="s">
        <v>2193</v>
      </c>
      <c r="X1" s="1020" t="s">
        <v>1285</v>
      </c>
      <c r="Y1" s="1021" t="s">
        <v>2703</v>
      </c>
      <c r="Z1" s="1020" t="s">
        <v>1283</v>
      </c>
      <c r="AA1" s="1020" t="s">
        <v>1284</v>
      </c>
      <c r="AB1" s="1020" t="s">
        <v>2466</v>
      </c>
      <c r="AC1" s="1020" t="s">
        <v>2489</v>
      </c>
      <c r="AD1" s="1021" t="s">
        <v>2487</v>
      </c>
      <c r="AE1" s="1021" t="s">
        <v>2500</v>
      </c>
    </row>
    <row r="2" spans="1:31" ht="25.5" customHeight="1" thickBot="1">
      <c r="D2" s="2458"/>
      <c r="E2" s="2459"/>
      <c r="F2" s="2460"/>
      <c r="G2" s="2479"/>
      <c r="H2" s="997"/>
      <c r="I2" s="1056" t="s">
        <v>2567</v>
      </c>
      <c r="J2" s="2474"/>
      <c r="K2" s="2475"/>
      <c r="L2" s="2475"/>
      <c r="M2" s="1054"/>
      <c r="N2" s="1041"/>
      <c r="R2" t="s">
        <v>515</v>
      </c>
      <c r="U2">
        <v>10</v>
      </c>
      <c r="V2" s="995">
        <v>0</v>
      </c>
      <c r="W2" s="996">
        <v>4300</v>
      </c>
      <c r="X2" s="995">
        <v>0</v>
      </c>
      <c r="Y2" s="996">
        <v>46.34861417899323</v>
      </c>
      <c r="Z2" s="995">
        <v>0</v>
      </c>
      <c r="AA2" s="995">
        <v>0</v>
      </c>
      <c r="AB2" s="995">
        <v>0</v>
      </c>
      <c r="AC2" s="995">
        <v>0</v>
      </c>
      <c r="AD2" s="996" t="s">
        <v>2487</v>
      </c>
      <c r="AE2" s="996">
        <v>1206</v>
      </c>
    </row>
    <row r="3" spans="1:31" ht="27" customHeight="1" thickBot="1">
      <c r="D3" s="568"/>
      <c r="E3" s="1000"/>
      <c r="F3" s="569"/>
      <c r="G3" s="2479"/>
      <c r="H3" s="2461"/>
      <c r="I3" s="2462"/>
      <c r="J3" s="2476"/>
      <c r="K3" s="2477"/>
      <c r="L3" s="2477"/>
      <c r="M3" s="1055"/>
      <c r="N3" s="1051"/>
      <c r="V3" s="996"/>
      <c r="W3" s="996"/>
      <c r="X3" s="996"/>
      <c r="Y3" s="996"/>
      <c r="Z3" s="996"/>
      <c r="AA3" s="996"/>
      <c r="AB3" s="996"/>
      <c r="AC3" s="996"/>
      <c r="AD3" s="996"/>
      <c r="AE3" s="996"/>
    </row>
    <row r="4" spans="1:31" ht="24" thickBot="1">
      <c r="D4" s="2442" t="s">
        <v>2630</v>
      </c>
      <c r="E4" s="2443"/>
      <c r="F4" s="2443"/>
      <c r="G4" s="2443"/>
      <c r="H4" s="2443"/>
      <c r="I4" s="2443"/>
      <c r="J4" s="2443"/>
      <c r="K4" s="2443"/>
      <c r="L4" s="2443"/>
      <c r="M4" s="2443"/>
      <c r="N4" s="1041"/>
      <c r="V4" s="996"/>
      <c r="W4" s="996"/>
      <c r="X4" s="996"/>
      <c r="Y4" s="996"/>
      <c r="Z4" s="996"/>
      <c r="AA4" s="996"/>
      <c r="AB4" s="996"/>
      <c r="AC4" s="996"/>
      <c r="AD4" s="996"/>
      <c r="AE4" s="996"/>
    </row>
    <row r="5" spans="1:31" ht="24" customHeight="1" thickBot="1">
      <c r="D5" s="2447" t="s">
        <v>1778</v>
      </c>
      <c r="E5" s="2448"/>
      <c r="F5" s="2449"/>
      <c r="G5" s="2430" t="s">
        <v>1765</v>
      </c>
      <c r="H5" s="2431"/>
      <c r="I5" s="2432"/>
      <c r="J5" s="2450" t="s">
        <v>1766</v>
      </c>
      <c r="K5" s="2451"/>
      <c r="L5" s="2452"/>
      <c r="M5" s="1034" t="s">
        <v>2570</v>
      </c>
      <c r="N5" s="1041"/>
      <c r="R5" s="176"/>
      <c r="S5" s="176"/>
      <c r="T5" s="176"/>
      <c r="U5" s="176"/>
    </row>
    <row r="6" spans="1:31" ht="18" customHeight="1">
      <c r="D6" s="1026"/>
      <c r="E6" s="1027"/>
      <c r="F6" s="1028"/>
      <c r="G6" s="998"/>
      <c r="H6" s="999"/>
      <c r="I6" s="999"/>
      <c r="J6" s="568"/>
      <c r="K6" s="1000"/>
      <c r="L6" s="569"/>
      <c r="M6" s="1035"/>
      <c r="N6" s="1041"/>
      <c r="R6" s="176"/>
      <c r="S6" s="176"/>
      <c r="T6" s="176"/>
      <c r="U6" s="176"/>
    </row>
    <row r="7" spans="1:31" ht="18" customHeight="1">
      <c r="D7" s="1029"/>
      <c r="E7" s="1043"/>
      <c r="F7" s="1030"/>
      <c r="G7" s="1003"/>
      <c r="H7" s="1044"/>
      <c r="I7" s="1044"/>
      <c r="J7" s="1004"/>
      <c r="K7" s="1045"/>
      <c r="L7" s="1005"/>
      <c r="M7" s="1036"/>
      <c r="N7" s="1041"/>
      <c r="Q7" s="176"/>
      <c r="R7" s="176"/>
      <c r="S7" s="176"/>
      <c r="T7" s="176"/>
      <c r="U7" s="176"/>
    </row>
    <row r="8" spans="1:31" ht="18" customHeight="1">
      <c r="D8" s="1029"/>
      <c r="E8" s="1043"/>
      <c r="F8" s="1030"/>
      <c r="G8" s="1003"/>
      <c r="H8" s="1044"/>
      <c r="I8" s="1044"/>
      <c r="J8" s="1004"/>
      <c r="K8" s="1045"/>
      <c r="L8" s="1005"/>
      <c r="M8" s="1036"/>
      <c r="N8" s="1041"/>
      <c r="Q8" s="176"/>
      <c r="R8" s="176"/>
      <c r="S8" s="176"/>
      <c r="T8" s="176"/>
      <c r="U8" s="176"/>
    </row>
    <row r="9" spans="1:31" ht="18" customHeight="1">
      <c r="D9" s="1029"/>
      <c r="E9" s="1043"/>
      <c r="F9" s="1030"/>
      <c r="G9" s="1003"/>
      <c r="H9" s="1044"/>
      <c r="I9" s="1044"/>
      <c r="J9" s="1004"/>
      <c r="K9" s="1045"/>
      <c r="L9" s="1005"/>
      <c r="M9" s="1036"/>
      <c r="N9" s="1041"/>
      <c r="Q9" s="176"/>
      <c r="R9" s="176"/>
      <c r="S9" s="176"/>
      <c r="T9" s="176"/>
      <c r="U9" s="176"/>
    </row>
    <row r="10" spans="1:31" ht="18" customHeight="1">
      <c r="D10" s="1029"/>
      <c r="E10" s="1043"/>
      <c r="F10" s="1030"/>
      <c r="G10" s="1003"/>
      <c r="H10" s="1044"/>
      <c r="I10" s="1044"/>
      <c r="J10" s="1004"/>
      <c r="K10" s="1045"/>
      <c r="L10" s="1005"/>
      <c r="M10" s="1036"/>
      <c r="N10" s="1041"/>
      <c r="Q10" s="176"/>
      <c r="R10" s="176"/>
      <c r="S10" s="176"/>
      <c r="T10" s="176"/>
      <c r="U10" s="176"/>
    </row>
    <row r="11" spans="1:31" ht="18" customHeight="1">
      <c r="D11" s="1029"/>
      <c r="E11" s="1043"/>
      <c r="F11" s="1030"/>
      <c r="G11" s="1003"/>
      <c r="H11" s="1044"/>
      <c r="I11" s="1044"/>
      <c r="J11" s="1004"/>
      <c r="K11" s="1045"/>
      <c r="L11" s="1005"/>
      <c r="M11" s="1036"/>
      <c r="N11" s="1041"/>
      <c r="Q11" s="176"/>
      <c r="R11" s="176"/>
      <c r="S11" s="176"/>
      <c r="T11" s="176"/>
      <c r="U11" s="176"/>
    </row>
    <row r="12" spans="1:31" ht="18" customHeight="1">
      <c r="D12" s="1029"/>
      <c r="E12" s="1043"/>
      <c r="F12" s="1030"/>
      <c r="G12" s="1003"/>
      <c r="H12" s="1044"/>
      <c r="I12" s="1044"/>
      <c r="J12" s="1004"/>
      <c r="K12" s="1045"/>
      <c r="L12" s="1005"/>
      <c r="M12" s="1036"/>
      <c r="N12" s="1052"/>
      <c r="Q12" s="176"/>
      <c r="R12" s="176"/>
      <c r="S12" s="176"/>
      <c r="T12" s="176"/>
      <c r="U12" s="176"/>
    </row>
    <row r="13" spans="1:31" ht="18" customHeight="1">
      <c r="D13" s="1029"/>
      <c r="E13" s="1043"/>
      <c r="F13" s="1030"/>
      <c r="G13" s="1003"/>
      <c r="H13" s="1044"/>
      <c r="I13" s="1044"/>
      <c r="J13" s="1004"/>
      <c r="K13" s="1045"/>
      <c r="L13" s="1005"/>
      <c r="M13" s="1036"/>
      <c r="N13" s="1041"/>
      <c r="Q13" s="176"/>
      <c r="R13" s="176"/>
      <c r="S13" s="176"/>
      <c r="T13" s="176"/>
      <c r="U13" s="176"/>
    </row>
    <row r="14" spans="1:31" ht="18" customHeight="1">
      <c r="D14" s="1029"/>
      <c r="E14" s="1043"/>
      <c r="F14" s="1030"/>
      <c r="G14" s="1003"/>
      <c r="H14" s="1044"/>
      <c r="I14" s="1044"/>
      <c r="J14" s="1004"/>
      <c r="K14" s="1045"/>
      <c r="L14" s="1005"/>
      <c r="M14" s="1036"/>
      <c r="N14" s="1041"/>
      <c r="Q14" s="176"/>
      <c r="R14" s="176"/>
      <c r="S14" s="176"/>
      <c r="T14" s="176"/>
      <c r="U14" s="176"/>
    </row>
    <row r="15" spans="1:31" ht="18" customHeight="1">
      <c r="D15" s="1029"/>
      <c r="E15" s="1043"/>
      <c r="F15" s="1030"/>
      <c r="G15" s="1003"/>
      <c r="H15" s="1044"/>
      <c r="I15" s="1044"/>
      <c r="J15" s="1004"/>
      <c r="K15" s="1045"/>
      <c r="L15" s="1005"/>
      <c r="M15" s="1036"/>
      <c r="N15" s="1041"/>
      <c r="Q15" s="176"/>
      <c r="R15" s="176"/>
      <c r="S15" s="176"/>
      <c r="T15" s="176"/>
      <c r="U15" s="176"/>
    </row>
    <row r="16" spans="1:31" ht="18" customHeight="1">
      <c r="D16" s="1029"/>
      <c r="E16" s="1043"/>
      <c r="F16" s="1030"/>
      <c r="G16" s="1003"/>
      <c r="H16" s="1044"/>
      <c r="I16" s="1044"/>
      <c r="J16" s="1004"/>
      <c r="K16" s="1045"/>
      <c r="L16" s="1005"/>
      <c r="M16" s="1036"/>
      <c r="N16" s="1041"/>
      <c r="Q16" s="176"/>
      <c r="R16" s="176"/>
      <c r="S16" s="176"/>
      <c r="T16" s="176"/>
      <c r="U16" s="176"/>
    </row>
    <row r="17" spans="4:21" ht="18" customHeight="1">
      <c r="D17" s="1029"/>
      <c r="E17" s="1043"/>
      <c r="F17" s="1030"/>
      <c r="G17" s="1003"/>
      <c r="H17" s="1044"/>
      <c r="I17" s="1044"/>
      <c r="J17" s="1004"/>
      <c r="K17" s="1045"/>
      <c r="L17" s="1005"/>
      <c r="M17" s="1036"/>
      <c r="N17" s="1041"/>
      <c r="Q17" s="176"/>
      <c r="R17" s="176"/>
      <c r="S17" s="176"/>
      <c r="T17" s="176"/>
      <c r="U17" s="176"/>
    </row>
    <row r="18" spans="4:21" ht="18" customHeight="1">
      <c r="D18" s="1029"/>
      <c r="E18" s="1043"/>
      <c r="F18" s="1030"/>
      <c r="G18" s="1003"/>
      <c r="H18" s="1044"/>
      <c r="I18" s="1044"/>
      <c r="J18" s="1004"/>
      <c r="K18" s="1045"/>
      <c r="L18" s="1005"/>
      <c r="M18" s="1036"/>
      <c r="N18" s="1041"/>
      <c r="Q18" s="176"/>
      <c r="R18" s="176"/>
      <c r="S18" s="176"/>
      <c r="T18" s="176"/>
      <c r="U18" s="176"/>
    </row>
    <row r="19" spans="4:21" ht="18" customHeight="1">
      <c r="D19" s="1029"/>
      <c r="E19" s="1043"/>
      <c r="F19" s="1030"/>
      <c r="G19" s="1003"/>
      <c r="H19" s="1044"/>
      <c r="I19" s="1044"/>
      <c r="J19" s="1004"/>
      <c r="K19" s="1045"/>
      <c r="L19" s="1005"/>
      <c r="M19" s="1036"/>
      <c r="N19" s="1041"/>
      <c r="Q19" s="176"/>
      <c r="R19" s="176"/>
      <c r="S19" s="176"/>
      <c r="T19" s="176"/>
      <c r="U19" s="176"/>
    </row>
    <row r="20" spans="4:21" ht="18" customHeight="1" thickBot="1">
      <c r="D20" s="1029"/>
      <c r="E20" s="1043"/>
      <c r="F20" s="1030"/>
      <c r="G20" s="1003"/>
      <c r="H20" s="1044"/>
      <c r="I20" s="1044"/>
      <c r="J20" s="1004"/>
      <c r="K20" s="1045"/>
      <c r="L20" s="1005"/>
      <c r="M20" s="1036"/>
      <c r="N20" s="1041"/>
      <c r="Q20" s="176"/>
      <c r="R20" s="176"/>
      <c r="S20" s="176"/>
      <c r="T20" s="176"/>
      <c r="U20" s="176"/>
    </row>
    <row r="21" spans="4:21" ht="22.5" customHeight="1" thickBot="1">
      <c r="D21" s="2444" t="s">
        <v>1780</v>
      </c>
      <c r="E21" s="2445"/>
      <c r="F21" s="2446"/>
      <c r="G21" s="1003"/>
      <c r="H21" s="1044"/>
      <c r="I21" s="1044"/>
      <c r="J21" s="1004"/>
      <c r="K21" s="1045"/>
      <c r="L21" s="1005"/>
      <c r="M21" s="1036"/>
      <c r="N21" s="1041"/>
      <c r="Q21" s="176"/>
      <c r="R21" s="176"/>
      <c r="S21" s="176"/>
      <c r="T21" s="176"/>
      <c r="U21" s="176"/>
    </row>
    <row r="22" spans="4:21" ht="22.5" customHeight="1" thickBot="1">
      <c r="D22" s="1031"/>
      <c r="E22" s="1032"/>
      <c r="F22" s="1032"/>
      <c r="G22" s="2466" t="s">
        <v>2626</v>
      </c>
      <c r="H22" s="2467"/>
      <c r="I22" s="2468"/>
      <c r="J22" s="2463" t="s">
        <v>2571</v>
      </c>
      <c r="K22" s="2464"/>
      <c r="L22" s="2465"/>
      <c r="M22" s="1037" t="s">
        <v>1773</v>
      </c>
      <c r="N22" s="1041"/>
      <c r="Q22" s="176"/>
      <c r="R22" s="176"/>
      <c r="S22" s="176"/>
      <c r="T22" s="176"/>
      <c r="U22" s="176"/>
    </row>
    <row r="23" spans="4:21" ht="18" customHeight="1">
      <c r="D23" s="1033"/>
      <c r="E23" s="1046"/>
      <c r="F23" s="1046"/>
      <c r="G23" s="1068"/>
      <c r="H23" s="1069"/>
      <c r="I23" s="1070"/>
      <c r="J23" s="1006"/>
      <c r="K23" s="1047"/>
      <c r="L23" s="1007"/>
      <c r="M23" s="1038"/>
      <c r="N23" s="1041"/>
      <c r="Q23" s="176"/>
      <c r="R23" s="176"/>
      <c r="S23" s="176"/>
      <c r="T23" s="176"/>
      <c r="U23" s="176"/>
    </row>
    <row r="24" spans="4:21" ht="18" customHeight="1">
      <c r="D24" s="1033"/>
      <c r="E24" s="1046"/>
      <c r="F24" s="1046"/>
      <c r="G24" s="1068"/>
      <c r="H24" s="1069"/>
      <c r="I24" s="1070"/>
      <c r="J24" s="1006"/>
      <c r="K24" s="1047"/>
      <c r="L24" s="1007"/>
      <c r="M24" s="1039"/>
      <c r="N24" s="1041"/>
      <c r="Q24" s="176"/>
      <c r="R24" s="176"/>
      <c r="S24" s="176"/>
      <c r="T24" s="176"/>
      <c r="U24" s="176"/>
    </row>
    <row r="25" spans="4:21" ht="18" customHeight="1">
      <c r="D25" s="1033"/>
      <c r="E25" s="1046"/>
      <c r="F25" s="1046"/>
      <c r="G25" s="1068"/>
      <c r="H25" s="1069"/>
      <c r="I25" s="1070"/>
      <c r="J25" s="1006"/>
      <c r="K25" s="1047"/>
      <c r="L25" s="1007"/>
      <c r="M25" s="1039"/>
      <c r="N25" s="1041"/>
    </row>
    <row r="26" spans="4:21" ht="18" customHeight="1">
      <c r="D26" s="1033"/>
      <c r="E26" s="1046"/>
      <c r="F26" s="1046"/>
      <c r="G26" s="1068"/>
      <c r="H26" s="1069"/>
      <c r="I26" s="1070"/>
      <c r="J26" s="1006"/>
      <c r="K26" s="1047"/>
      <c r="L26" s="1007"/>
      <c r="M26" s="1039"/>
      <c r="N26" s="1041"/>
    </row>
    <row r="27" spans="4:21" ht="18" customHeight="1">
      <c r="D27" s="1033"/>
      <c r="E27" s="1046"/>
      <c r="F27" s="1046"/>
      <c r="G27" s="1068"/>
      <c r="H27" s="1069"/>
      <c r="I27" s="1070"/>
      <c r="J27" s="1006"/>
      <c r="K27" s="1047"/>
      <c r="L27" s="1007"/>
      <c r="M27" s="1039"/>
      <c r="N27" s="1041"/>
    </row>
    <row r="28" spans="4:21" ht="18" customHeight="1" thickBot="1">
      <c r="D28" s="1033"/>
      <c r="E28" s="1046"/>
      <c r="F28" s="1046"/>
      <c r="G28" s="1068"/>
      <c r="H28" s="1069"/>
      <c r="I28" s="1070"/>
      <c r="J28" s="1006"/>
      <c r="K28" s="1047"/>
      <c r="L28" s="1007"/>
      <c r="M28" s="1039"/>
      <c r="N28" s="1041"/>
    </row>
    <row r="29" spans="4:21" ht="22.5" customHeight="1" thickBot="1">
      <c r="D29" s="1033"/>
      <c r="E29" s="1046"/>
      <c r="F29" s="1046"/>
      <c r="G29" s="2483" t="s">
        <v>2627</v>
      </c>
      <c r="H29" s="2484"/>
      <c r="I29" s="2485"/>
      <c r="J29" s="1006"/>
      <c r="K29" s="1047"/>
      <c r="L29" s="1007"/>
      <c r="M29" s="1039"/>
      <c r="N29" s="1041"/>
    </row>
    <row r="30" spans="4:21" ht="18" customHeight="1">
      <c r="D30" s="1033"/>
      <c r="E30" s="1046"/>
      <c r="F30" s="1046"/>
      <c r="G30" s="1071"/>
      <c r="H30" s="1072"/>
      <c r="I30" s="1073"/>
      <c r="J30" s="1006"/>
      <c r="K30" s="1047"/>
      <c r="L30" s="1007"/>
      <c r="M30" s="1039"/>
      <c r="N30" s="1041"/>
    </row>
    <row r="31" spans="4:21" ht="18" customHeight="1" thickBot="1">
      <c r="D31" s="1033"/>
      <c r="E31" s="1046"/>
      <c r="F31" s="1046"/>
      <c r="G31" s="1071"/>
      <c r="H31" s="1072"/>
      <c r="I31" s="1073"/>
      <c r="J31" s="1008"/>
      <c r="K31" s="1009"/>
      <c r="L31" s="1010"/>
      <c r="M31" s="1039"/>
      <c r="N31" s="1041"/>
    </row>
    <row r="32" spans="4:21" ht="24" customHeight="1" thickBot="1">
      <c r="D32" s="1033"/>
      <c r="E32" s="1046"/>
      <c r="F32" s="1046"/>
      <c r="G32" s="1071"/>
      <c r="H32" s="1072"/>
      <c r="I32" s="1073"/>
      <c r="J32" s="2480" t="s">
        <v>2562</v>
      </c>
      <c r="K32" s="2481"/>
      <c r="L32" s="2482"/>
      <c r="M32" s="1039"/>
      <c r="N32" s="1041"/>
    </row>
    <row r="33" spans="4:14" ht="18" customHeight="1">
      <c r="D33" s="1033"/>
      <c r="E33" s="1046"/>
      <c r="F33" s="1046"/>
      <c r="G33" s="1071"/>
      <c r="H33" s="1072"/>
      <c r="I33" s="1073"/>
      <c r="J33" s="1011"/>
      <c r="K33" s="1048"/>
      <c r="L33" s="1012"/>
      <c r="M33" s="1039"/>
      <c r="N33" s="1041"/>
    </row>
    <row r="34" spans="4:14" ht="24" customHeight="1">
      <c r="D34" s="1033"/>
      <c r="E34" s="1046"/>
      <c r="F34" s="1046"/>
      <c r="G34" s="1071"/>
      <c r="H34" s="1072"/>
      <c r="I34" s="1073"/>
      <c r="J34" s="1011"/>
      <c r="K34" s="1048"/>
      <c r="L34" s="1012"/>
      <c r="M34" s="1039"/>
      <c r="N34" s="1041"/>
    </row>
    <row r="35" spans="4:14">
      <c r="D35" s="1033"/>
      <c r="E35" s="1046"/>
      <c r="F35" s="1046"/>
      <c r="G35" s="1071"/>
      <c r="H35" s="1072"/>
      <c r="I35" s="1073"/>
      <c r="J35" s="1011"/>
      <c r="K35" s="1048"/>
      <c r="L35" s="1012"/>
      <c r="M35" s="1039"/>
      <c r="N35" s="1041"/>
    </row>
    <row r="36" spans="4:14" ht="17.25" thickBot="1">
      <c r="D36" s="1033"/>
      <c r="E36" s="1046"/>
      <c r="F36" s="1046"/>
      <c r="G36" s="1071"/>
      <c r="H36" s="1072"/>
      <c r="I36" s="1073"/>
      <c r="J36" s="1011"/>
      <c r="K36" s="1048"/>
      <c r="L36" s="1012"/>
      <c r="M36" s="1039"/>
      <c r="N36" s="1041"/>
    </row>
    <row r="37" spans="4:14" ht="22.5" customHeight="1" thickBot="1">
      <c r="D37" s="1033"/>
      <c r="E37" s="1046"/>
      <c r="F37" s="1046"/>
      <c r="G37" s="2486" t="s">
        <v>2628</v>
      </c>
      <c r="H37" s="2487"/>
      <c r="I37" s="2488"/>
      <c r="J37" s="1011"/>
      <c r="K37" s="1048"/>
      <c r="L37" s="1012"/>
      <c r="M37" s="1039"/>
      <c r="N37" s="1041"/>
    </row>
    <row r="38" spans="4:14">
      <c r="D38" s="1033"/>
      <c r="E38" s="1046"/>
      <c r="F38" s="1046"/>
      <c r="G38" s="1074"/>
      <c r="H38" s="1075"/>
      <c r="I38" s="1075"/>
      <c r="J38" s="1011"/>
      <c r="K38" s="1048"/>
      <c r="L38" s="1012"/>
      <c r="M38" s="1039"/>
      <c r="N38" s="1041"/>
    </row>
    <row r="39" spans="4:14">
      <c r="D39" s="1033"/>
      <c r="E39" s="1046"/>
      <c r="F39" s="1046"/>
      <c r="G39" s="1074"/>
      <c r="H39" s="1075"/>
      <c r="I39" s="1075"/>
      <c r="J39" s="1011"/>
      <c r="K39" s="1048"/>
      <c r="L39" s="1012"/>
      <c r="M39" s="1039"/>
      <c r="N39" s="1041"/>
    </row>
    <row r="40" spans="4:14">
      <c r="D40" s="1033"/>
      <c r="E40" s="1046"/>
      <c r="F40" s="1046"/>
      <c r="G40" s="1074"/>
      <c r="H40" s="1075"/>
      <c r="I40" s="1075"/>
      <c r="J40" s="1011"/>
      <c r="K40" s="1048"/>
      <c r="L40" s="1012"/>
      <c r="M40" s="1039"/>
      <c r="N40" s="1041"/>
    </row>
    <row r="41" spans="4:14" ht="17.25" thickBot="1">
      <c r="D41" s="1033"/>
      <c r="E41" s="1046"/>
      <c r="F41" s="1046"/>
      <c r="G41" s="1074"/>
      <c r="H41" s="1075"/>
      <c r="I41" s="1075"/>
      <c r="J41" s="1011"/>
      <c r="K41" s="1048"/>
      <c r="L41" s="1012"/>
      <c r="M41" s="1039"/>
      <c r="N41" s="1041"/>
    </row>
    <row r="42" spans="4:14" ht="22.5" customHeight="1" thickBot="1">
      <c r="D42" s="2469" t="s">
        <v>2563</v>
      </c>
      <c r="E42" s="2470"/>
      <c r="F42" s="2471"/>
      <c r="G42" s="2469" t="s">
        <v>2569</v>
      </c>
      <c r="H42" s="2470"/>
      <c r="I42" s="2471"/>
      <c r="J42" s="1011"/>
      <c r="K42" s="1048"/>
      <c r="L42" s="1012"/>
      <c r="M42" s="1040" t="s">
        <v>2568</v>
      </c>
      <c r="N42" s="1041"/>
    </row>
    <row r="43" spans="4:14">
      <c r="D43" s="1001"/>
      <c r="E43" s="1049"/>
      <c r="F43" s="1049"/>
      <c r="G43" s="1001"/>
      <c r="H43" s="1049"/>
      <c r="I43" s="1049"/>
      <c r="J43" s="1011"/>
      <c r="K43" s="1048"/>
      <c r="L43" s="1048"/>
      <c r="M43" s="1065"/>
      <c r="N43" s="1063"/>
    </row>
    <row r="44" spans="4:14" ht="17.25" thickBot="1">
      <c r="D44" s="1001"/>
      <c r="E44" s="1049"/>
      <c r="F44" s="1049"/>
      <c r="G44" s="1001"/>
      <c r="H44" s="1049"/>
      <c r="I44" s="1049"/>
      <c r="J44" s="1013"/>
      <c r="K44" s="1014"/>
      <c r="L44" s="1014"/>
      <c r="M44" s="1066"/>
      <c r="N44" s="1063"/>
    </row>
    <row r="45" spans="4:14" ht="21.75" customHeight="1" thickBot="1">
      <c r="D45" s="1001"/>
      <c r="E45" s="1049"/>
      <c r="F45" s="1049"/>
      <c r="G45" s="1001"/>
      <c r="H45" s="1049"/>
      <c r="I45" s="1049"/>
      <c r="J45" s="2427" t="s">
        <v>1775</v>
      </c>
      <c r="K45" s="2428"/>
      <c r="L45" s="2428"/>
      <c r="M45" s="1066"/>
      <c r="N45" s="1063"/>
    </row>
    <row r="46" spans="4:14" ht="17.25" customHeight="1">
      <c r="D46" s="1001"/>
      <c r="E46" s="1049"/>
      <c r="F46" s="1049"/>
      <c r="G46" s="1001"/>
      <c r="H46" s="1049"/>
      <c r="I46" s="1049"/>
      <c r="J46" s="1015"/>
      <c r="K46" s="1016"/>
      <c r="L46" s="1016"/>
      <c r="M46" s="1066"/>
      <c r="N46" s="1063"/>
    </row>
    <row r="47" spans="4:14" ht="17.25" customHeight="1">
      <c r="D47" s="1001"/>
      <c r="E47" s="1049"/>
      <c r="F47" s="1002"/>
      <c r="G47" s="1001"/>
      <c r="H47" s="1049"/>
      <c r="I47" s="1002"/>
      <c r="J47" s="1017"/>
      <c r="K47" s="1050"/>
      <c r="L47" s="1050"/>
      <c r="M47" s="1066"/>
      <c r="N47" s="1063"/>
    </row>
    <row r="48" spans="4:14" ht="17.25" customHeight="1" thickBot="1">
      <c r="D48" s="1023"/>
      <c r="E48" s="1024"/>
      <c r="F48" s="1025"/>
      <c r="G48" s="1023"/>
      <c r="H48" s="1024"/>
      <c r="I48" s="1025"/>
      <c r="J48" s="1018"/>
      <c r="K48" s="1019"/>
      <c r="L48" s="1019"/>
      <c r="M48" s="1067"/>
      <c r="N48" s="1064"/>
    </row>
    <row r="49" spans="4:9" ht="17.25" thickBot="1"/>
    <row r="50" spans="4:9" ht="17.25" thickBot="1">
      <c r="D50" s="2439" t="s">
        <v>1777</v>
      </c>
      <c r="E50" s="2440"/>
      <c r="F50" s="2440"/>
      <c r="G50" s="2440"/>
      <c r="H50" s="2440"/>
      <c r="I50" s="2441"/>
    </row>
    <row r="52" spans="4:9">
      <c r="D52" s="956" t="s">
        <v>1328</v>
      </c>
      <c r="E52" s="957" t="s">
        <v>9</v>
      </c>
    </row>
    <row r="53" spans="4:9">
      <c r="D53" s="956"/>
      <c r="E53" s="957"/>
    </row>
    <row r="54" spans="4:9">
      <c r="D54" s="956"/>
    </row>
    <row r="55" spans="4:9">
      <c r="D55" s="956"/>
    </row>
    <row r="57" spans="4:9">
      <c r="D57" s="974" t="s">
        <v>1768</v>
      </c>
      <c r="E57" s="975" t="s">
        <v>1769</v>
      </c>
    </row>
    <row r="58" spans="4:9">
      <c r="D58" s="976"/>
      <c r="E58" s="977"/>
    </row>
    <row r="59" spans="4:9">
      <c r="D59" s="976"/>
      <c r="E59" s="977"/>
    </row>
    <row r="60" spans="4:9">
      <c r="E60" s="977"/>
    </row>
    <row r="62" spans="4:9">
      <c r="D62" s="986" t="s">
        <v>1779</v>
      </c>
    </row>
    <row r="63" spans="4:9">
      <c r="D63" s="986"/>
    </row>
    <row r="64" spans="4:9">
      <c r="D64" s="986"/>
    </row>
  </sheetData>
  <mergeCells count="22">
    <mergeCell ref="D1:F1"/>
    <mergeCell ref="H1:I1"/>
    <mergeCell ref="D2:F2"/>
    <mergeCell ref="H3:I3"/>
    <mergeCell ref="J45:L45"/>
    <mergeCell ref="J22:L22"/>
    <mergeCell ref="G22:I22"/>
    <mergeCell ref="D42:F42"/>
    <mergeCell ref="G42:I42"/>
    <mergeCell ref="J1:L1"/>
    <mergeCell ref="J2:L2"/>
    <mergeCell ref="J3:L3"/>
    <mergeCell ref="G1:G3"/>
    <mergeCell ref="J32:L32"/>
    <mergeCell ref="G29:I29"/>
    <mergeCell ref="G37:I37"/>
    <mergeCell ref="D50:I50"/>
    <mergeCell ref="D4:M4"/>
    <mergeCell ref="D21:F21"/>
    <mergeCell ref="D5:F5"/>
    <mergeCell ref="G5:I5"/>
    <mergeCell ref="J5:L5"/>
  </mergeCells>
  <phoneticPr fontId="9"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6413" r:id="rId4" name="Space_Heater_Control">
          <controlPr defaultSize="0" autoLine="0" r:id="rId5">
            <anchor moveWithCells="1">
              <from>
                <xdr:col>9</xdr:col>
                <xdr:colOff>57150</xdr:colOff>
                <xdr:row>15</xdr:row>
                <xdr:rowOff>142875</xdr:rowOff>
              </from>
              <to>
                <xdr:col>11</xdr:col>
                <xdr:colOff>647700</xdr:colOff>
                <xdr:row>16</xdr:row>
                <xdr:rowOff>171450</xdr:rowOff>
              </to>
            </anchor>
          </controlPr>
        </control>
      </mc:Choice>
      <mc:Fallback>
        <control shapeId="96413" r:id="rId4" name="Space_Heater_Control"/>
      </mc:Fallback>
    </mc:AlternateContent>
    <mc:AlternateContent xmlns:mc="http://schemas.openxmlformats.org/markup-compatibility/2006">
      <mc:Choice Requires="x14">
        <control shapeId="96412" r:id="rId6" name="EC_Cond_Fans">
          <controlPr defaultSize="0" autoLine="0" autoPict="0" r:id="rId7">
            <anchor moveWithCells="1">
              <from>
                <xdr:col>12</xdr:col>
                <xdr:colOff>66675</xdr:colOff>
                <xdr:row>44</xdr:row>
                <xdr:rowOff>28575</xdr:rowOff>
              </from>
              <to>
                <xdr:col>12</xdr:col>
                <xdr:colOff>2219325</xdr:colOff>
                <xdr:row>45</xdr:row>
                <xdr:rowOff>0</xdr:rowOff>
              </to>
            </anchor>
          </controlPr>
        </control>
      </mc:Choice>
      <mc:Fallback>
        <control shapeId="96412" r:id="rId6" name="EC_Cond_Fans"/>
      </mc:Fallback>
    </mc:AlternateContent>
    <mc:AlternateContent xmlns:mc="http://schemas.openxmlformats.org/markup-compatibility/2006">
      <mc:Choice Requires="x14">
        <control shapeId="96411" r:id="rId8" name="Q_PPH_ASTM_117">
          <controlPr defaultSize="0" autoLine="0" r:id="rId9">
            <anchor moveWithCells="1">
              <from>
                <xdr:col>6</xdr:col>
                <xdr:colOff>57150</xdr:colOff>
                <xdr:row>17</xdr:row>
                <xdr:rowOff>123825</xdr:rowOff>
              </from>
              <to>
                <xdr:col>8</xdr:col>
                <xdr:colOff>1543050</xdr:colOff>
                <xdr:row>18</xdr:row>
                <xdr:rowOff>133350</xdr:rowOff>
              </to>
            </anchor>
          </controlPr>
        </control>
      </mc:Choice>
      <mc:Fallback>
        <control shapeId="96411" r:id="rId8" name="Q_PPH_ASTM_117"/>
      </mc:Fallback>
    </mc:AlternateContent>
    <mc:AlternateContent xmlns:mc="http://schemas.openxmlformats.org/markup-compatibility/2006">
      <mc:Choice Requires="x14">
        <control shapeId="96410" r:id="rId10" name="Q_PPH_SPARE_Flat_Filter">
          <controlPr defaultSize="0" disabled="1" autoLine="0" autoPict="0" r:id="rId11">
            <anchor moveWithCells="1">
              <from>
                <xdr:col>9</xdr:col>
                <xdr:colOff>47625</xdr:colOff>
                <xdr:row>31</xdr:row>
                <xdr:rowOff>285750</xdr:rowOff>
              </from>
              <to>
                <xdr:col>10</xdr:col>
                <xdr:colOff>1466850</xdr:colOff>
                <xdr:row>33</xdr:row>
                <xdr:rowOff>47625</xdr:rowOff>
              </to>
            </anchor>
          </controlPr>
        </control>
      </mc:Choice>
      <mc:Fallback>
        <control shapeId="96410" r:id="rId10" name="Q_PPH_SPARE_Flat_Filter"/>
      </mc:Fallback>
    </mc:AlternateContent>
    <mc:AlternateContent xmlns:mc="http://schemas.openxmlformats.org/markup-compatibility/2006">
      <mc:Choice Requires="x14">
        <control shapeId="96409" r:id="rId12" name="Q_PPH_Spare_Bag_Filter">
          <controlPr defaultSize="0" disabled="1" autoLine="0" r:id="rId13">
            <anchor moveWithCells="1">
              <from>
                <xdr:col>9</xdr:col>
                <xdr:colOff>47625</xdr:colOff>
                <xdr:row>32</xdr:row>
                <xdr:rowOff>171450</xdr:rowOff>
              </from>
              <to>
                <xdr:col>11</xdr:col>
                <xdr:colOff>152400</xdr:colOff>
                <xdr:row>33</xdr:row>
                <xdr:rowOff>238125</xdr:rowOff>
              </to>
            </anchor>
          </controlPr>
        </control>
      </mc:Choice>
      <mc:Fallback>
        <control shapeId="96409" r:id="rId12" name="Q_PPH_Spare_Bag_Filter"/>
      </mc:Fallback>
    </mc:AlternateContent>
    <mc:AlternateContent xmlns:mc="http://schemas.openxmlformats.org/markup-compatibility/2006">
      <mc:Choice Requires="x14">
        <control shapeId="96408" r:id="rId14" name="Q_PPH_Core_Spare">
          <controlPr defaultSize="0" autoLine="0" r:id="rId15">
            <anchor moveWithCells="1">
              <from>
                <xdr:col>9</xdr:col>
                <xdr:colOff>47625</xdr:colOff>
                <xdr:row>33</xdr:row>
                <xdr:rowOff>152400</xdr:rowOff>
              </from>
              <to>
                <xdr:col>11</xdr:col>
                <xdr:colOff>361950</xdr:colOff>
                <xdr:row>34</xdr:row>
                <xdr:rowOff>123825</xdr:rowOff>
              </to>
            </anchor>
          </controlPr>
        </control>
      </mc:Choice>
      <mc:Fallback>
        <control shapeId="96408" r:id="rId14" name="Q_PPH_Core_Spare"/>
      </mc:Fallback>
    </mc:AlternateContent>
    <mc:AlternateContent xmlns:mc="http://schemas.openxmlformats.org/markup-compatibility/2006">
      <mc:Choice Requires="x14">
        <control shapeId="96407" r:id="rId16" name="Q_PPH_70C_Rated_Relays">
          <controlPr defaultSize="0" autoLine="0" r:id="rId17">
            <anchor moveWithCells="1">
              <from>
                <xdr:col>9</xdr:col>
                <xdr:colOff>57150</xdr:colOff>
                <xdr:row>14</xdr:row>
                <xdr:rowOff>133350</xdr:rowOff>
              </from>
              <to>
                <xdr:col>11</xdr:col>
                <xdr:colOff>638175</xdr:colOff>
                <xdr:row>15</xdr:row>
                <xdr:rowOff>200025</xdr:rowOff>
              </to>
            </anchor>
          </controlPr>
        </control>
      </mc:Choice>
      <mc:Fallback>
        <control shapeId="96407" r:id="rId16" name="Q_PPH_70C_Rated_Relays"/>
      </mc:Fallback>
    </mc:AlternateContent>
    <mc:AlternateContent xmlns:mc="http://schemas.openxmlformats.org/markup-compatibility/2006">
      <mc:Choice Requires="x14">
        <control shapeId="96406" r:id="rId18" name="Q_PPH_C_Channel">
          <controlPr defaultSize="0" autoLine="0" r:id="rId19">
            <anchor moveWithCells="1">
              <from>
                <xdr:col>6</xdr:col>
                <xdr:colOff>66675</xdr:colOff>
                <xdr:row>15</xdr:row>
                <xdr:rowOff>123825</xdr:rowOff>
              </from>
              <to>
                <xdr:col>8</xdr:col>
                <xdr:colOff>1571625</xdr:colOff>
                <xdr:row>16</xdr:row>
                <xdr:rowOff>161925</xdr:rowOff>
              </to>
            </anchor>
          </controlPr>
        </control>
      </mc:Choice>
      <mc:Fallback>
        <control shapeId="96406" r:id="rId18" name="Q_PPH_C_Channel"/>
      </mc:Fallback>
    </mc:AlternateContent>
    <mc:AlternateContent xmlns:mc="http://schemas.openxmlformats.org/markup-compatibility/2006">
      <mc:Choice Requires="x14">
        <control shapeId="96405" r:id="rId20" name="Q_PPH_Full_Weilded">
          <controlPr defaultSize="0" disabled="1" autoLine="0" r:id="rId21">
            <anchor moveWithCells="1">
              <from>
                <xdr:col>6</xdr:col>
                <xdr:colOff>57150</xdr:colOff>
                <xdr:row>16</xdr:row>
                <xdr:rowOff>114300</xdr:rowOff>
              </from>
              <to>
                <xdr:col>8</xdr:col>
                <xdr:colOff>1247775</xdr:colOff>
                <xdr:row>17</xdr:row>
                <xdr:rowOff>142875</xdr:rowOff>
              </to>
            </anchor>
          </controlPr>
        </control>
      </mc:Choice>
      <mc:Fallback>
        <control shapeId="96405" r:id="rId20" name="Q_PPH_Full_Weilded"/>
      </mc:Fallback>
    </mc:AlternateContent>
    <mc:AlternateContent xmlns:mc="http://schemas.openxmlformats.org/markup-compatibility/2006">
      <mc:Choice Requires="x14">
        <control shapeId="96404" r:id="rId22" name="Q_PPH_MDS_NMEA4X">
          <controlPr defaultSize="0" disabled="1" autoLine="0" r:id="rId23">
            <anchor moveWithCells="1">
              <from>
                <xdr:col>9</xdr:col>
                <xdr:colOff>66675</xdr:colOff>
                <xdr:row>23</xdr:row>
                <xdr:rowOff>190500</xdr:rowOff>
              </from>
              <to>
                <xdr:col>11</xdr:col>
                <xdr:colOff>485775</xdr:colOff>
                <xdr:row>24</xdr:row>
                <xdr:rowOff>209550</xdr:rowOff>
              </to>
            </anchor>
          </controlPr>
        </control>
      </mc:Choice>
      <mc:Fallback>
        <control shapeId="96404" r:id="rId22" name="Q_PPH_MDS_NMEA4X"/>
      </mc:Fallback>
    </mc:AlternateContent>
    <mc:AlternateContent xmlns:mc="http://schemas.openxmlformats.org/markup-compatibility/2006">
      <mc:Choice Requires="x14">
        <control shapeId="96403" r:id="rId24" name="SAMSS_27">
          <controlPr defaultSize="0" autoLine="0" r:id="rId25">
            <anchor moveWithCells="1">
              <from>
                <xdr:col>9</xdr:col>
                <xdr:colOff>76200</xdr:colOff>
                <xdr:row>2</xdr:row>
                <xdr:rowOff>19050</xdr:rowOff>
              </from>
              <to>
                <xdr:col>11</xdr:col>
                <xdr:colOff>123825</xdr:colOff>
                <xdr:row>2</xdr:row>
                <xdr:rowOff>266700</xdr:rowOff>
              </to>
            </anchor>
          </controlPr>
        </control>
      </mc:Choice>
      <mc:Fallback>
        <control shapeId="96403" r:id="rId24" name="SAMSS_27"/>
      </mc:Fallback>
    </mc:AlternateContent>
    <mc:AlternateContent xmlns:mc="http://schemas.openxmlformats.org/markup-compatibility/2006">
      <mc:Choice Requires="x14">
        <control shapeId="96402" r:id="rId26" name="Import_PPH">
          <controlPr defaultSize="0" autoLine="0" autoPict="0" r:id="rId27">
            <anchor moveWithCells="1">
              <from>
                <xdr:col>12</xdr:col>
                <xdr:colOff>114300</xdr:colOff>
                <xdr:row>1</xdr:row>
                <xdr:rowOff>190500</xdr:rowOff>
              </from>
              <to>
                <xdr:col>12</xdr:col>
                <xdr:colOff>1409700</xdr:colOff>
                <xdr:row>2</xdr:row>
                <xdr:rowOff>152400</xdr:rowOff>
              </to>
            </anchor>
          </controlPr>
        </control>
      </mc:Choice>
      <mc:Fallback>
        <control shapeId="96402" r:id="rId26" name="Import_PPH"/>
      </mc:Fallback>
    </mc:AlternateContent>
    <mc:AlternateContent xmlns:mc="http://schemas.openxmlformats.org/markup-compatibility/2006">
      <mc:Choice Requires="x14">
        <control shapeId="96396" r:id="rId28" name="Q_PPH_Belt_Spare">
          <controlPr defaultSize="0" disabled="1" autoLine="0" r:id="rId29">
            <anchor moveWithCells="1">
              <from>
                <xdr:col>9</xdr:col>
                <xdr:colOff>47625</xdr:colOff>
                <xdr:row>34</xdr:row>
                <xdr:rowOff>57150</xdr:rowOff>
              </from>
              <to>
                <xdr:col>10</xdr:col>
                <xdr:colOff>1219200</xdr:colOff>
                <xdr:row>35</xdr:row>
                <xdr:rowOff>123825</xdr:rowOff>
              </to>
            </anchor>
          </controlPr>
        </control>
      </mc:Choice>
      <mc:Fallback>
        <control shapeId="96396" r:id="rId28" name="Q_PPH_Belt_Spare"/>
      </mc:Fallback>
    </mc:AlternateContent>
    <mc:AlternateContent xmlns:mc="http://schemas.openxmlformats.org/markup-compatibility/2006">
      <mc:Choice Requires="x14">
        <control shapeId="96395" r:id="rId30" name="Q_PPH_Current_Transformer_Evap">
          <controlPr defaultSize="0" autoLine="0" r:id="rId31">
            <anchor moveWithCells="1">
              <from>
                <xdr:col>9</xdr:col>
                <xdr:colOff>66675</xdr:colOff>
                <xdr:row>11</xdr:row>
                <xdr:rowOff>190500</xdr:rowOff>
              </from>
              <to>
                <xdr:col>11</xdr:col>
                <xdr:colOff>685800</xdr:colOff>
                <xdr:row>12</xdr:row>
                <xdr:rowOff>180975</xdr:rowOff>
              </to>
            </anchor>
          </controlPr>
        </control>
      </mc:Choice>
      <mc:Fallback>
        <control shapeId="96395" r:id="rId30" name="Q_PPH_Current_Transformer_Evap"/>
      </mc:Fallback>
    </mc:AlternateContent>
    <mc:AlternateContent xmlns:mc="http://schemas.openxmlformats.org/markup-compatibility/2006">
      <mc:Choice Requires="x14">
        <control shapeId="96394" r:id="rId32" name="Q_PPH_Diff_Pressure_Transmitter">
          <controlPr defaultSize="0" disabled="1" autoLine="0" r:id="rId33">
            <anchor moveWithCells="1">
              <from>
                <xdr:col>12</xdr:col>
                <xdr:colOff>19050</xdr:colOff>
                <xdr:row>31</xdr:row>
                <xdr:rowOff>114300</xdr:rowOff>
              </from>
              <to>
                <xdr:col>12</xdr:col>
                <xdr:colOff>2286000</xdr:colOff>
                <xdr:row>32</xdr:row>
                <xdr:rowOff>95250</xdr:rowOff>
              </to>
            </anchor>
          </controlPr>
        </control>
      </mc:Choice>
      <mc:Fallback>
        <control shapeId="96394" r:id="rId32" name="Q_PPH_Diff_Pressure_Transmitter"/>
      </mc:Fallback>
    </mc:AlternateContent>
    <mc:AlternateContent xmlns:mc="http://schemas.openxmlformats.org/markup-compatibility/2006">
      <mc:Choice Requires="x14">
        <control shapeId="96393" r:id="rId34" name="Q_PPH_Earth_Leakage">
          <controlPr defaultSize="0" autoLine="0" r:id="rId35">
            <anchor moveWithCells="1">
              <from>
                <xdr:col>9</xdr:col>
                <xdr:colOff>57150</xdr:colOff>
                <xdr:row>13</xdr:row>
                <xdr:rowOff>133350</xdr:rowOff>
              </from>
              <to>
                <xdr:col>10</xdr:col>
                <xdr:colOff>1323975</xdr:colOff>
                <xdr:row>14</xdr:row>
                <xdr:rowOff>209550</xdr:rowOff>
              </to>
            </anchor>
          </controlPr>
        </control>
      </mc:Choice>
      <mc:Fallback>
        <control shapeId="96393" r:id="rId34" name="Q_PPH_Earth_Leakage"/>
      </mc:Fallback>
    </mc:AlternateContent>
    <mc:AlternateContent xmlns:mc="http://schemas.openxmlformats.org/markup-compatibility/2006">
      <mc:Choice Requires="x14">
        <control shapeId="96392" r:id="rId36" name="Q_PPH_Earth_Boss">
          <controlPr defaultSize="0" autoLine="0" r:id="rId37">
            <anchor moveWithCells="1">
              <from>
                <xdr:col>9</xdr:col>
                <xdr:colOff>66675</xdr:colOff>
                <xdr:row>12</xdr:row>
                <xdr:rowOff>161925</xdr:rowOff>
              </from>
              <to>
                <xdr:col>10</xdr:col>
                <xdr:colOff>581025</xdr:colOff>
                <xdr:row>13</xdr:row>
                <xdr:rowOff>200025</xdr:rowOff>
              </to>
            </anchor>
          </controlPr>
        </control>
      </mc:Choice>
      <mc:Fallback>
        <control shapeId="96392" r:id="rId36" name="Q_PPH_Earth_Boss"/>
      </mc:Fallback>
    </mc:AlternateContent>
    <mc:AlternateContent xmlns:mc="http://schemas.openxmlformats.org/markup-compatibility/2006">
      <mc:Choice Requires="x14">
        <control shapeId="96390" r:id="rId38" name="Q_PPH_SS_Filter_304">
          <controlPr defaultSize="0" disabled="1" autoLine="0" r:id="rId39">
            <anchor moveWithCells="1">
              <from>
                <xdr:col>6</xdr:col>
                <xdr:colOff>28575</xdr:colOff>
                <xdr:row>24</xdr:row>
                <xdr:rowOff>180975</xdr:rowOff>
              </from>
              <to>
                <xdr:col>8</xdr:col>
                <xdr:colOff>1076325</xdr:colOff>
                <xdr:row>25</xdr:row>
                <xdr:rowOff>190500</xdr:rowOff>
              </to>
            </anchor>
          </controlPr>
        </control>
      </mc:Choice>
      <mc:Fallback>
        <control shapeId="96390" r:id="rId38" name="Q_PPH_SS_Filter_304"/>
      </mc:Fallback>
    </mc:AlternateContent>
    <mc:AlternateContent xmlns:mc="http://schemas.openxmlformats.org/markup-compatibility/2006">
      <mc:Choice Requires="x14">
        <control shapeId="96389" r:id="rId40" name="Q_PPH_General_Alarm">
          <controlPr defaultSize="0" autoLine="0" r:id="rId41">
            <anchor moveWithCells="1">
              <from>
                <xdr:col>12</xdr:col>
                <xdr:colOff>38100</xdr:colOff>
                <xdr:row>22</xdr:row>
                <xdr:rowOff>161925</xdr:rowOff>
              </from>
              <to>
                <xdr:col>12</xdr:col>
                <xdr:colOff>1428750</xdr:colOff>
                <xdr:row>24</xdr:row>
                <xdr:rowOff>9525</xdr:rowOff>
              </to>
            </anchor>
          </controlPr>
        </control>
      </mc:Choice>
      <mc:Fallback>
        <control shapeId="96389" r:id="rId40" name="Q_PPH_General_Alarm"/>
      </mc:Fallback>
    </mc:AlternateContent>
    <mc:AlternateContent xmlns:mc="http://schemas.openxmlformats.org/markup-compatibility/2006">
      <mc:Choice Requires="x14">
        <control shapeId="96388" r:id="rId42" name="Q_PPH_Fire_Inter_Lock">
          <controlPr defaultSize="0" autoLine="0" r:id="rId43">
            <anchor moveWithCells="1">
              <from>
                <xdr:col>12</xdr:col>
                <xdr:colOff>38100</xdr:colOff>
                <xdr:row>23</xdr:row>
                <xdr:rowOff>114300</xdr:rowOff>
              </from>
              <to>
                <xdr:col>12</xdr:col>
                <xdr:colOff>1428750</xdr:colOff>
                <xdr:row>24</xdr:row>
                <xdr:rowOff>190500</xdr:rowOff>
              </to>
            </anchor>
          </controlPr>
        </control>
      </mc:Choice>
      <mc:Fallback>
        <control shapeId="96388" r:id="rId42" name="Q_PPH_Fire_Inter_Lock"/>
      </mc:Fallback>
    </mc:AlternateContent>
    <mc:AlternateContent xmlns:mc="http://schemas.openxmlformats.org/markup-compatibility/2006">
      <mc:Choice Requires="x14">
        <control shapeId="96387" r:id="rId44" name="Q_PPH_SAES_K_002">
          <controlPr defaultSize="0" autoLine="0" r:id="rId45">
            <anchor moveWithCells="1">
              <from>
                <xdr:col>9</xdr:col>
                <xdr:colOff>104775</xdr:colOff>
                <xdr:row>1</xdr:row>
                <xdr:rowOff>38100</xdr:rowOff>
              </from>
              <to>
                <xdr:col>11</xdr:col>
                <xdr:colOff>142875</xdr:colOff>
                <xdr:row>1</xdr:row>
                <xdr:rowOff>276225</xdr:rowOff>
              </to>
            </anchor>
          </controlPr>
        </control>
      </mc:Choice>
      <mc:Fallback>
        <control shapeId="96387" r:id="rId44" name="Q_PPH_SAES_K_002"/>
      </mc:Fallback>
    </mc:AlternateContent>
    <mc:AlternateContent xmlns:mc="http://schemas.openxmlformats.org/markup-compatibility/2006">
      <mc:Choice Requires="x14">
        <control shapeId="96386" r:id="rId46" name="Q_PPH_Extended_Key_Pad">
          <controlPr defaultSize="0" autoLine="0" r:id="rId47">
            <anchor moveWithCells="1">
              <from>
                <xdr:col>12</xdr:col>
                <xdr:colOff>38100</xdr:colOff>
                <xdr:row>9</xdr:row>
                <xdr:rowOff>85725</xdr:rowOff>
              </from>
              <to>
                <xdr:col>12</xdr:col>
                <xdr:colOff>1428750</xdr:colOff>
                <xdr:row>10</xdr:row>
                <xdr:rowOff>161925</xdr:rowOff>
              </to>
            </anchor>
          </controlPr>
        </control>
      </mc:Choice>
      <mc:Fallback>
        <control shapeId="96386" r:id="rId46" name="Q_PPH_Extended_Key_Pad"/>
      </mc:Fallback>
    </mc:AlternateContent>
    <mc:AlternateContent xmlns:mc="http://schemas.openxmlformats.org/markup-compatibility/2006">
      <mc:Choice Requires="x14">
        <control shapeId="96385" r:id="rId48" name="Q_PPH_BACnet">
          <controlPr defaultSize="0" autoLine="0" r:id="rId49">
            <anchor moveWithCells="1">
              <from>
                <xdr:col>12</xdr:col>
                <xdr:colOff>47625</xdr:colOff>
                <xdr:row>7</xdr:row>
                <xdr:rowOff>152400</xdr:rowOff>
              </from>
              <to>
                <xdr:col>12</xdr:col>
                <xdr:colOff>1438275</xdr:colOff>
                <xdr:row>8</xdr:row>
                <xdr:rowOff>190500</xdr:rowOff>
              </to>
            </anchor>
          </controlPr>
        </control>
      </mc:Choice>
      <mc:Fallback>
        <control shapeId="96385" r:id="rId48" name="Q_PPH_BACnet"/>
      </mc:Fallback>
    </mc:AlternateContent>
    <mc:AlternateContent xmlns:mc="http://schemas.openxmlformats.org/markup-compatibility/2006">
      <mc:Choice Requires="x14">
        <control shapeId="96384" r:id="rId50" name="Q_PPH_MPC_Controller">
          <controlPr defaultSize="0" autoLine="0" autoPict="0" r:id="rId51">
            <anchor moveWithCells="1">
              <from>
                <xdr:col>12</xdr:col>
                <xdr:colOff>47625</xdr:colOff>
                <xdr:row>4</xdr:row>
                <xdr:rowOff>285750</xdr:rowOff>
              </from>
              <to>
                <xdr:col>12</xdr:col>
                <xdr:colOff>1533525</xdr:colOff>
                <xdr:row>6</xdr:row>
                <xdr:rowOff>19050</xdr:rowOff>
              </to>
            </anchor>
          </controlPr>
        </control>
      </mc:Choice>
      <mc:Fallback>
        <control shapeId="96384" r:id="rId50" name="Q_PPH_MPC_Controller"/>
      </mc:Fallback>
    </mc:AlternateContent>
    <mc:AlternateContent xmlns:mc="http://schemas.openxmlformats.org/markup-compatibility/2006">
      <mc:Choice Requires="x14">
        <control shapeId="96383" r:id="rId52" name="Q_PPH_HP5_Below">
          <controlPr defaultSize="0" autoLine="0" r:id="rId53">
            <anchor moveWithCells="1">
              <from>
                <xdr:col>3</xdr:col>
                <xdr:colOff>85725</xdr:colOff>
                <xdr:row>32</xdr:row>
                <xdr:rowOff>9525</xdr:rowOff>
              </from>
              <to>
                <xdr:col>5</xdr:col>
                <xdr:colOff>1171575</xdr:colOff>
                <xdr:row>33</xdr:row>
                <xdr:rowOff>19050</xdr:rowOff>
              </to>
            </anchor>
          </controlPr>
        </control>
      </mc:Choice>
      <mc:Fallback>
        <control shapeId="96383" r:id="rId52" name="Q_PPH_HP5_Below"/>
      </mc:Fallback>
    </mc:AlternateContent>
    <mc:AlternateContent xmlns:mc="http://schemas.openxmlformats.org/markup-compatibility/2006">
      <mc:Choice Requires="x14">
        <control shapeId="96382" r:id="rId54" name="Q_PPH_MMS_Evap">
          <controlPr defaultSize="0" disabled="1" autoLine="0" r:id="rId55">
            <anchor moveWithCells="1">
              <from>
                <xdr:col>9</xdr:col>
                <xdr:colOff>66675</xdr:colOff>
                <xdr:row>9</xdr:row>
                <xdr:rowOff>0</xdr:rowOff>
              </from>
              <to>
                <xdr:col>11</xdr:col>
                <xdr:colOff>333375</xdr:colOff>
                <xdr:row>10</xdr:row>
                <xdr:rowOff>47625</xdr:rowOff>
              </to>
            </anchor>
          </controlPr>
        </control>
      </mc:Choice>
      <mc:Fallback>
        <control shapeId="96382" r:id="rId54" name="Q_PPH_MMS_Evap"/>
      </mc:Fallback>
    </mc:AlternateContent>
    <mc:AlternateContent xmlns:mc="http://schemas.openxmlformats.org/markup-compatibility/2006">
      <mc:Choice Requires="x14">
        <control shapeId="96381" r:id="rId56" name="Q_PPH_Copeland">
          <controlPr defaultSize="0" autoLine="0" r:id="rId57">
            <anchor moveWithCells="1">
              <from>
                <xdr:col>12</xdr:col>
                <xdr:colOff>66675</xdr:colOff>
                <xdr:row>42</xdr:row>
                <xdr:rowOff>9525</xdr:rowOff>
              </from>
              <to>
                <xdr:col>12</xdr:col>
                <xdr:colOff>2305050</xdr:colOff>
                <xdr:row>43</xdr:row>
                <xdr:rowOff>57150</xdr:rowOff>
              </to>
            </anchor>
          </controlPr>
        </control>
      </mc:Choice>
      <mc:Fallback>
        <control shapeId="96381" r:id="rId56" name="Q_PPH_Copeland"/>
      </mc:Fallback>
    </mc:AlternateContent>
    <mc:AlternateContent xmlns:mc="http://schemas.openxmlformats.org/markup-compatibility/2006">
      <mc:Choice Requires="x14">
        <control shapeId="96380" r:id="rId58" name="Q_PPH_EBM_Cond_Fans">
          <controlPr defaultSize="0" autoLine="0" r:id="rId59">
            <anchor moveWithCells="1">
              <from>
                <xdr:col>12</xdr:col>
                <xdr:colOff>66675</xdr:colOff>
                <xdr:row>43</xdr:row>
                <xdr:rowOff>19050</xdr:rowOff>
              </from>
              <to>
                <xdr:col>12</xdr:col>
                <xdr:colOff>2276475</xdr:colOff>
                <xdr:row>44</xdr:row>
                <xdr:rowOff>57150</xdr:rowOff>
              </to>
            </anchor>
          </controlPr>
        </control>
      </mc:Choice>
      <mc:Fallback>
        <control shapeId="96380" r:id="rId58" name="Q_PPH_EBM_Cond_Fans"/>
      </mc:Fallback>
    </mc:AlternateContent>
    <mc:AlternateContent xmlns:mc="http://schemas.openxmlformats.org/markup-compatibility/2006">
      <mc:Choice Requires="x14">
        <control shapeId="96379" r:id="rId60" name="Q_PPH_Spring_Under_Units">
          <controlPr defaultSize="0" disabled="1" autoLine="0" r:id="rId61">
            <anchor moveWithCells="1">
              <from>
                <xdr:col>3</xdr:col>
                <xdr:colOff>219075</xdr:colOff>
                <xdr:row>78</xdr:row>
                <xdr:rowOff>38100</xdr:rowOff>
              </from>
              <to>
                <xdr:col>5</xdr:col>
                <xdr:colOff>476250</xdr:colOff>
                <xdr:row>79</xdr:row>
                <xdr:rowOff>85725</xdr:rowOff>
              </to>
            </anchor>
          </controlPr>
        </control>
      </mc:Choice>
      <mc:Fallback>
        <control shapeId="96379" r:id="rId60" name="Q_PPH_Spring_Under_Units"/>
      </mc:Fallback>
    </mc:AlternateContent>
    <mc:AlternateContent xmlns:mc="http://schemas.openxmlformats.org/markup-compatibility/2006">
      <mc:Choice Requires="x14">
        <control shapeId="96378" r:id="rId62" name="Q_PPH_Inner_Coating">
          <controlPr defaultSize="0" disabled="1" autoLine="0" r:id="rId63">
            <anchor moveWithCells="1">
              <from>
                <xdr:col>6</xdr:col>
                <xdr:colOff>57150</xdr:colOff>
                <xdr:row>8</xdr:row>
                <xdr:rowOff>200025</xdr:rowOff>
              </from>
              <to>
                <xdr:col>8</xdr:col>
                <xdr:colOff>1247775</xdr:colOff>
                <xdr:row>10</xdr:row>
                <xdr:rowOff>9525</xdr:rowOff>
              </to>
            </anchor>
          </controlPr>
        </control>
      </mc:Choice>
      <mc:Fallback>
        <control shapeId="96378" r:id="rId62" name="Q_PPH_Inner_Coating"/>
      </mc:Fallback>
    </mc:AlternateContent>
    <mc:AlternateContent xmlns:mc="http://schemas.openxmlformats.org/markup-compatibility/2006">
      <mc:Choice Requires="x14">
        <control shapeId="96377" r:id="rId64" name="Q_PPH_Base_Coating">
          <controlPr defaultSize="0" autoLine="0" r:id="rId65">
            <anchor moveWithCells="1">
              <from>
                <xdr:col>6</xdr:col>
                <xdr:colOff>66675</xdr:colOff>
                <xdr:row>14</xdr:row>
                <xdr:rowOff>133350</xdr:rowOff>
              </from>
              <to>
                <xdr:col>8</xdr:col>
                <xdr:colOff>619125</xdr:colOff>
                <xdr:row>15</xdr:row>
                <xdr:rowOff>142875</xdr:rowOff>
              </to>
            </anchor>
          </controlPr>
        </control>
      </mc:Choice>
      <mc:Fallback>
        <control shapeId="96377" r:id="rId64" name="Q_PPH_Base_Coating"/>
      </mc:Fallback>
    </mc:AlternateContent>
    <mc:AlternateContent xmlns:mc="http://schemas.openxmlformats.org/markup-compatibility/2006">
      <mc:Choice Requires="x14">
        <control shapeId="96376" r:id="rId66" name="Q_PPH_Speed_Reg">
          <controlPr defaultSize="0" autoLine="0" r:id="rId67">
            <anchor moveWithCells="1">
              <from>
                <xdr:col>9</xdr:col>
                <xdr:colOff>66675</xdr:colOff>
                <xdr:row>9</xdr:row>
                <xdr:rowOff>209550</xdr:rowOff>
              </from>
              <to>
                <xdr:col>11</xdr:col>
                <xdr:colOff>647700</xdr:colOff>
                <xdr:row>11</xdr:row>
                <xdr:rowOff>9525</xdr:rowOff>
              </to>
            </anchor>
          </controlPr>
        </control>
      </mc:Choice>
      <mc:Fallback>
        <control shapeId="96376" r:id="rId66" name="Q_PPH_Speed_Reg"/>
      </mc:Fallback>
    </mc:AlternateContent>
    <mc:AlternateContent xmlns:mc="http://schemas.openxmlformats.org/markup-compatibility/2006">
      <mc:Choice Requires="x14">
        <control shapeId="96375" r:id="rId68" name="Q_PPH_MMS_CFM">
          <controlPr defaultSize="0" autoLine="0" r:id="rId69">
            <anchor moveWithCells="1">
              <from>
                <xdr:col>9</xdr:col>
                <xdr:colOff>66675</xdr:colOff>
                <xdr:row>8</xdr:row>
                <xdr:rowOff>9525</xdr:rowOff>
              </from>
              <to>
                <xdr:col>11</xdr:col>
                <xdr:colOff>342900</xdr:colOff>
                <xdr:row>9</xdr:row>
                <xdr:rowOff>57150</xdr:rowOff>
              </to>
            </anchor>
          </controlPr>
        </control>
      </mc:Choice>
      <mc:Fallback>
        <control shapeId="96375" r:id="rId68" name="Q_PPH_MMS_CFM"/>
      </mc:Fallback>
    </mc:AlternateContent>
    <mc:AlternateContent xmlns:mc="http://schemas.openxmlformats.org/markup-compatibility/2006">
      <mc:Choice Requires="x14">
        <control shapeId="96374" r:id="rId70" name="Q_PPH_MMS_Comp">
          <controlPr defaultSize="0" autoLine="0" r:id="rId71">
            <anchor moveWithCells="1">
              <from>
                <xdr:col>9</xdr:col>
                <xdr:colOff>66675</xdr:colOff>
                <xdr:row>7</xdr:row>
                <xdr:rowOff>28575</xdr:rowOff>
              </from>
              <to>
                <xdr:col>11</xdr:col>
                <xdr:colOff>257175</xdr:colOff>
                <xdr:row>8</xdr:row>
                <xdr:rowOff>57150</xdr:rowOff>
              </to>
            </anchor>
          </controlPr>
        </control>
      </mc:Choice>
      <mc:Fallback>
        <control shapeId="96374" r:id="rId70" name="Q_PPH_MMS_Comp"/>
      </mc:Fallback>
    </mc:AlternateContent>
    <mc:AlternateContent xmlns:mc="http://schemas.openxmlformats.org/markup-compatibility/2006">
      <mc:Choice Requires="x14">
        <control shapeId="96373" r:id="rId72" name="Q_PPH_Comp_Jacket">
          <controlPr defaultSize="0" autoLine="0" r:id="rId73">
            <anchor moveWithCells="1">
              <from>
                <xdr:col>3</xdr:col>
                <xdr:colOff>104775</xdr:colOff>
                <xdr:row>29</xdr:row>
                <xdr:rowOff>123825</xdr:rowOff>
              </from>
              <to>
                <xdr:col>5</xdr:col>
                <xdr:colOff>457200</xdr:colOff>
                <xdr:row>30</xdr:row>
                <xdr:rowOff>161925</xdr:rowOff>
              </to>
            </anchor>
          </controlPr>
        </control>
      </mc:Choice>
      <mc:Fallback>
        <control shapeId="96373" r:id="rId72" name="Q_PPH_Comp_Jacket"/>
      </mc:Fallback>
    </mc:AlternateContent>
    <mc:AlternateContent xmlns:mc="http://schemas.openxmlformats.org/markup-compatibility/2006">
      <mc:Choice Requires="x14">
        <control shapeId="96372" r:id="rId74" name="Q_PPH_Rubber_Pad_Fan">
          <controlPr defaultSize="0" disabled="1" autoLine="0" r:id="rId75">
            <anchor moveWithCells="1">
              <from>
                <xdr:col>6</xdr:col>
                <xdr:colOff>47625</xdr:colOff>
                <xdr:row>29</xdr:row>
                <xdr:rowOff>209550</xdr:rowOff>
              </from>
              <to>
                <xdr:col>8</xdr:col>
                <xdr:colOff>1447800</xdr:colOff>
                <xdr:row>30</xdr:row>
                <xdr:rowOff>180975</xdr:rowOff>
              </to>
            </anchor>
          </controlPr>
        </control>
      </mc:Choice>
      <mc:Fallback>
        <control shapeId="96372" r:id="rId74" name="Q_PPH_Rubber_Pad_Fan"/>
      </mc:Fallback>
    </mc:AlternateContent>
    <mc:AlternateContent xmlns:mc="http://schemas.openxmlformats.org/markup-compatibility/2006">
      <mc:Choice Requires="x14">
        <control shapeId="96371" r:id="rId76" name="Q_PPH_IP65_Control">
          <controlPr defaultSize="0" autoLine="0" autoPict="0" r:id="rId77">
            <anchor moveWithCells="1">
              <from>
                <xdr:col>9</xdr:col>
                <xdr:colOff>66675</xdr:colOff>
                <xdr:row>22</xdr:row>
                <xdr:rowOff>190500</xdr:rowOff>
              </from>
              <to>
                <xdr:col>11</xdr:col>
                <xdr:colOff>581025</xdr:colOff>
                <xdr:row>24</xdr:row>
                <xdr:rowOff>19050</xdr:rowOff>
              </to>
            </anchor>
          </controlPr>
        </control>
      </mc:Choice>
      <mc:Fallback>
        <control shapeId="96371" r:id="rId76" name="Q_PPH_IP65_Control"/>
      </mc:Fallback>
    </mc:AlternateContent>
    <mc:AlternateContent xmlns:mc="http://schemas.openxmlformats.org/markup-compatibility/2006">
      <mc:Choice Requires="x14">
        <control shapeId="96370" r:id="rId78" name="Q_PPH_Droplet_ele_PVC">
          <controlPr defaultSize="0" disabled="1" autoLine="0" r:id="rId79">
            <anchor moveWithCells="1">
              <from>
                <xdr:col>3</xdr:col>
                <xdr:colOff>47625</xdr:colOff>
                <xdr:row>12</xdr:row>
                <xdr:rowOff>190500</xdr:rowOff>
              </from>
              <to>
                <xdr:col>5</xdr:col>
                <xdr:colOff>428625</xdr:colOff>
                <xdr:row>13</xdr:row>
                <xdr:rowOff>219075</xdr:rowOff>
              </to>
            </anchor>
          </controlPr>
        </control>
      </mc:Choice>
      <mc:Fallback>
        <control shapeId="96370" r:id="rId78" name="Q_PPH_Droplet_ele_PVC"/>
      </mc:Fallback>
    </mc:AlternateContent>
    <mc:AlternateContent xmlns:mc="http://schemas.openxmlformats.org/markup-compatibility/2006">
      <mc:Choice Requires="x14">
        <control shapeId="96369" r:id="rId80" name="Q_PPH_Droplet_ele_AL">
          <controlPr defaultSize="0" disabled="1" autoLine="0" r:id="rId81">
            <anchor moveWithCells="1">
              <from>
                <xdr:col>3</xdr:col>
                <xdr:colOff>47625</xdr:colOff>
                <xdr:row>11</xdr:row>
                <xdr:rowOff>209550</xdr:rowOff>
              </from>
              <to>
                <xdr:col>5</xdr:col>
                <xdr:colOff>361950</xdr:colOff>
                <xdr:row>13</xdr:row>
                <xdr:rowOff>19050</xdr:rowOff>
              </to>
            </anchor>
          </controlPr>
        </control>
      </mc:Choice>
      <mc:Fallback>
        <control shapeId="96369" r:id="rId80" name="Q_PPH_Droplet_ele_AL"/>
      </mc:Fallback>
    </mc:AlternateContent>
    <mc:AlternateContent xmlns:mc="http://schemas.openxmlformats.org/markup-compatibility/2006">
      <mc:Choice Requires="x14">
        <control shapeId="96368" r:id="rId82" name="Q_PPH_SS_Drain_304">
          <controlPr defaultSize="0" disabled="1" autoLine="0" r:id="rId83">
            <anchor moveWithCells="1">
              <from>
                <xdr:col>6</xdr:col>
                <xdr:colOff>38100</xdr:colOff>
                <xdr:row>37</xdr:row>
                <xdr:rowOff>200025</xdr:rowOff>
              </from>
              <to>
                <xdr:col>8</xdr:col>
                <xdr:colOff>1000125</xdr:colOff>
                <xdr:row>39</xdr:row>
                <xdr:rowOff>38100</xdr:rowOff>
              </to>
            </anchor>
          </controlPr>
        </control>
      </mc:Choice>
      <mc:Fallback>
        <control shapeId="96368" r:id="rId82" name="Q_PPH_SS_Drain_304"/>
      </mc:Fallback>
    </mc:AlternateContent>
    <mc:AlternateContent xmlns:mc="http://schemas.openxmlformats.org/markup-compatibility/2006">
      <mc:Choice Requires="x14">
        <control shapeId="96366" r:id="rId84" name="Q_PPH_Control_SCECO">
          <controlPr defaultSize="0" disabled="1" autoLine="0" r:id="rId85">
            <anchor moveWithCells="1">
              <from>
                <xdr:col>12</xdr:col>
                <xdr:colOff>28575</xdr:colOff>
                <xdr:row>32</xdr:row>
                <xdr:rowOff>28575</xdr:rowOff>
              </from>
              <to>
                <xdr:col>12</xdr:col>
                <xdr:colOff>1533525</xdr:colOff>
                <xdr:row>33</xdr:row>
                <xdr:rowOff>66675</xdr:rowOff>
              </to>
            </anchor>
          </controlPr>
        </control>
      </mc:Choice>
      <mc:Fallback>
        <control shapeId="96366" r:id="rId84" name="Q_PPH_Control_SCECO"/>
      </mc:Fallback>
    </mc:AlternateContent>
    <mc:AlternateContent xmlns:mc="http://schemas.openxmlformats.org/markup-compatibility/2006">
      <mc:Choice Requires="x14">
        <control shapeId="96365" r:id="rId86" name="Q_SCECO">
          <controlPr defaultSize="0" autoLine="0" r:id="rId87">
            <anchor moveWithCells="1">
              <from>
                <xdr:col>7</xdr:col>
                <xdr:colOff>19050</xdr:colOff>
                <xdr:row>2</xdr:row>
                <xdr:rowOff>19050</xdr:rowOff>
              </from>
              <to>
                <xdr:col>8</xdr:col>
                <xdr:colOff>1562100</xdr:colOff>
                <xdr:row>2</xdr:row>
                <xdr:rowOff>295275</xdr:rowOff>
              </to>
            </anchor>
          </controlPr>
        </control>
      </mc:Choice>
      <mc:Fallback>
        <control shapeId="96365" r:id="rId86" name="Q_SCECO"/>
      </mc:Fallback>
    </mc:AlternateContent>
    <mc:AlternateContent xmlns:mc="http://schemas.openxmlformats.org/markup-compatibility/2006">
      <mc:Choice Requires="x14">
        <control shapeId="96364" r:id="rId88" name="Q_PPH_Suction_line">
          <controlPr defaultSize="0" autoLine="0" r:id="rId89">
            <anchor moveWithCells="1">
              <from>
                <xdr:col>3</xdr:col>
                <xdr:colOff>104775</xdr:colOff>
                <xdr:row>27</xdr:row>
                <xdr:rowOff>219075</xdr:rowOff>
              </from>
              <to>
                <xdr:col>5</xdr:col>
                <xdr:colOff>1419225</xdr:colOff>
                <xdr:row>28</xdr:row>
                <xdr:rowOff>276225</xdr:rowOff>
              </to>
            </anchor>
          </controlPr>
        </control>
      </mc:Choice>
      <mc:Fallback>
        <control shapeId="96364" r:id="rId88" name="Q_PPH_Suction_line"/>
      </mc:Fallback>
    </mc:AlternateContent>
    <mc:AlternateContent xmlns:mc="http://schemas.openxmlformats.org/markup-compatibility/2006">
      <mc:Choice Requires="x14">
        <control shapeId="96363" r:id="rId90" name="Q_PPH_1_15">
          <controlPr defaultSize="0" disabled="1" autoLine="0" r:id="rId91">
            <anchor moveWithCells="1">
              <from>
                <xdr:col>6</xdr:col>
                <xdr:colOff>57150</xdr:colOff>
                <xdr:row>9</xdr:row>
                <xdr:rowOff>200025</xdr:rowOff>
              </from>
              <to>
                <xdr:col>8</xdr:col>
                <xdr:colOff>1285875</xdr:colOff>
                <xdr:row>11</xdr:row>
                <xdr:rowOff>0</xdr:rowOff>
              </to>
            </anchor>
          </controlPr>
        </control>
      </mc:Choice>
      <mc:Fallback>
        <control shapeId="96363" r:id="rId90" name="Q_PPH_1_15"/>
      </mc:Fallback>
    </mc:AlternateContent>
    <mc:AlternateContent xmlns:mc="http://schemas.openxmlformats.org/markup-compatibility/2006">
      <mc:Choice Requires="x14">
        <control shapeId="96362" r:id="rId92" name="Q_PPH_Serv_Valve">
          <controlPr defaultSize="0" autoLine="0" r:id="rId93">
            <anchor moveWithCells="1">
              <from>
                <xdr:col>3</xdr:col>
                <xdr:colOff>114300</xdr:colOff>
                <xdr:row>25</xdr:row>
                <xdr:rowOff>66675</xdr:rowOff>
              </from>
              <to>
                <xdr:col>5</xdr:col>
                <xdr:colOff>1038225</xdr:colOff>
                <xdr:row>26</xdr:row>
                <xdr:rowOff>76200</xdr:rowOff>
              </to>
            </anchor>
          </controlPr>
        </control>
      </mc:Choice>
      <mc:Fallback>
        <control shapeId="96362" r:id="rId92" name="Q_PPH_Serv_Valve"/>
      </mc:Fallback>
    </mc:AlternateContent>
    <mc:AlternateContent xmlns:mc="http://schemas.openxmlformats.org/markup-compatibility/2006">
      <mc:Choice Requires="x14">
        <control shapeId="96361" r:id="rId94" name="Q_PPH_Inspec_Fan">
          <controlPr defaultSize="0" disabled="1" autoLine="0" r:id="rId95">
            <anchor moveWithCells="1">
              <from>
                <xdr:col>6</xdr:col>
                <xdr:colOff>47625</xdr:colOff>
                <xdr:row>33</xdr:row>
                <xdr:rowOff>161925</xdr:rowOff>
              </from>
              <to>
                <xdr:col>8</xdr:col>
                <xdr:colOff>1076325</xdr:colOff>
                <xdr:row>34</xdr:row>
                <xdr:rowOff>142875</xdr:rowOff>
              </to>
            </anchor>
          </controlPr>
        </control>
      </mc:Choice>
      <mc:Fallback>
        <control shapeId="96361" r:id="rId94" name="Q_PPH_Inspec_Fan"/>
      </mc:Fallback>
    </mc:AlternateContent>
    <mc:AlternateContent xmlns:mc="http://schemas.openxmlformats.org/markup-compatibility/2006">
      <mc:Choice Requires="x14">
        <control shapeId="96360" r:id="rId96" name="Q_PPH_Inspection_Filter">
          <controlPr defaultSize="0" disabled="1" autoLine="0" r:id="rId97">
            <anchor moveWithCells="1">
              <from>
                <xdr:col>6</xdr:col>
                <xdr:colOff>38100</xdr:colOff>
                <xdr:row>25</xdr:row>
                <xdr:rowOff>142875</xdr:rowOff>
              </from>
              <to>
                <xdr:col>8</xdr:col>
                <xdr:colOff>1181100</xdr:colOff>
                <xdr:row>26</xdr:row>
                <xdr:rowOff>190500</xdr:rowOff>
              </to>
            </anchor>
          </controlPr>
        </control>
      </mc:Choice>
      <mc:Fallback>
        <control shapeId="96360" r:id="rId96" name="Q_PPH_Inspection_Filter"/>
      </mc:Fallback>
    </mc:AlternateContent>
    <mc:AlternateContent xmlns:mc="http://schemas.openxmlformats.org/markup-compatibility/2006">
      <mc:Choice Requires="x14">
        <control shapeId="96359" r:id="rId98" name="Q_PPH_ARAMCO">
          <controlPr defaultSize="0" autoLine="0" r:id="rId99">
            <anchor moveWithCells="1">
              <from>
                <xdr:col>7</xdr:col>
                <xdr:colOff>9525</xdr:colOff>
                <xdr:row>1</xdr:row>
                <xdr:rowOff>47625</xdr:rowOff>
              </from>
              <to>
                <xdr:col>8</xdr:col>
                <xdr:colOff>1123950</xdr:colOff>
                <xdr:row>1</xdr:row>
                <xdr:rowOff>266700</xdr:rowOff>
              </to>
            </anchor>
          </controlPr>
        </control>
      </mc:Choice>
      <mc:Fallback>
        <control shapeId="96359" r:id="rId98" name="Q_PPH_ARAMCO"/>
      </mc:Fallback>
    </mc:AlternateContent>
    <mc:AlternateContent xmlns:mc="http://schemas.openxmlformats.org/markup-compatibility/2006">
      <mc:Choice Requires="x14">
        <control shapeId="96358" r:id="rId100" name="Q_PPH_Standerd">
          <controlPr defaultSize="0" autoLine="0" r:id="rId101">
            <anchor moveWithCells="1">
              <from>
                <xdr:col>7</xdr:col>
                <xdr:colOff>19050</xdr:colOff>
                <xdr:row>0</xdr:row>
                <xdr:rowOff>38100</xdr:rowOff>
              </from>
              <to>
                <xdr:col>9</xdr:col>
                <xdr:colOff>9525</xdr:colOff>
                <xdr:row>0</xdr:row>
                <xdr:rowOff>295275</xdr:rowOff>
              </to>
            </anchor>
          </controlPr>
        </control>
      </mc:Choice>
      <mc:Fallback>
        <control shapeId="96358" r:id="rId100" name="Q_PPH_Standerd"/>
      </mc:Fallback>
    </mc:AlternateContent>
    <mc:AlternateContent xmlns:mc="http://schemas.openxmlformats.org/markup-compatibility/2006">
      <mc:Choice Requires="x14">
        <control shapeId="96357" r:id="rId102" name="Q_UVC_Lamp">
          <controlPr defaultSize="0" disabled="1" autoLine="0" r:id="rId103">
            <anchor moveWithCells="1">
              <from>
                <xdr:col>3</xdr:col>
                <xdr:colOff>47625</xdr:colOff>
                <xdr:row>13</xdr:row>
                <xdr:rowOff>190500</xdr:rowOff>
              </from>
              <to>
                <xdr:col>5</xdr:col>
                <xdr:colOff>342900</xdr:colOff>
                <xdr:row>14</xdr:row>
                <xdr:rowOff>219075</xdr:rowOff>
              </to>
            </anchor>
          </controlPr>
        </control>
      </mc:Choice>
      <mc:Fallback>
        <control shapeId="96357" r:id="rId102" name="Q_UVC_Lamp"/>
      </mc:Fallback>
    </mc:AlternateContent>
    <mc:AlternateContent xmlns:mc="http://schemas.openxmlformats.org/markup-compatibility/2006">
      <mc:Choice Requires="x14">
        <control shapeId="96356" r:id="rId104" name="Q_PPH_Screws_Bolts">
          <controlPr defaultSize="0" autoLine="0" r:id="rId105">
            <anchor moveWithCells="1">
              <from>
                <xdr:col>6</xdr:col>
                <xdr:colOff>57150</xdr:colOff>
                <xdr:row>12</xdr:row>
                <xdr:rowOff>133350</xdr:rowOff>
              </from>
              <to>
                <xdr:col>8</xdr:col>
                <xdr:colOff>1123950</xdr:colOff>
                <xdr:row>13</xdr:row>
                <xdr:rowOff>161925</xdr:rowOff>
              </to>
            </anchor>
          </controlPr>
        </control>
      </mc:Choice>
      <mc:Fallback>
        <control shapeId="96356" r:id="rId104" name="Q_PPH_Screws_Bolts"/>
      </mc:Fallback>
    </mc:AlternateContent>
    <mc:AlternateContent xmlns:mc="http://schemas.openxmlformats.org/markup-compatibility/2006">
      <mc:Choice Requires="x14">
        <control shapeId="96355" r:id="rId106" name="Q_PPH_BHL_Fan">
          <controlPr defaultSize="0" disabled="1" autoLine="0" r:id="rId107">
            <anchor moveWithCells="1">
              <from>
                <xdr:col>6</xdr:col>
                <xdr:colOff>38100</xdr:colOff>
                <xdr:row>34</xdr:row>
                <xdr:rowOff>104775</xdr:rowOff>
              </from>
              <to>
                <xdr:col>8</xdr:col>
                <xdr:colOff>933450</xdr:colOff>
                <xdr:row>35</xdr:row>
                <xdr:rowOff>123825</xdr:rowOff>
              </to>
            </anchor>
          </controlPr>
        </control>
      </mc:Choice>
      <mc:Fallback>
        <control shapeId="96355" r:id="rId106" name="Q_PPH_BHL_Fan"/>
      </mc:Fallback>
    </mc:AlternateContent>
    <mc:AlternateContent xmlns:mc="http://schemas.openxmlformats.org/markup-compatibility/2006">
      <mc:Choice Requires="x14">
        <control shapeId="96354" r:id="rId108" name="Q_PPH_HEPA">
          <controlPr defaultSize="0" disabled="1" autoLine="0" r:id="rId109">
            <anchor moveWithCells="1">
              <from>
                <xdr:col>3</xdr:col>
                <xdr:colOff>47625</xdr:colOff>
                <xdr:row>11</xdr:row>
                <xdr:rowOff>19050</xdr:rowOff>
              </from>
              <to>
                <xdr:col>4</xdr:col>
                <xdr:colOff>523875</xdr:colOff>
                <xdr:row>12</xdr:row>
                <xdr:rowOff>57150</xdr:rowOff>
              </to>
            </anchor>
          </controlPr>
        </control>
      </mc:Choice>
      <mc:Fallback>
        <control shapeId="96354" r:id="rId108" name="Q_PPH_HEPA"/>
      </mc:Fallback>
    </mc:AlternateContent>
    <mc:AlternateContent xmlns:mc="http://schemas.openxmlformats.org/markup-compatibility/2006">
      <mc:Choice Requires="x14">
        <control shapeId="96353" r:id="rId110" name="Q_PPH_Bulkhead_Filter">
          <controlPr defaultSize="0" disabled="1" autoLine="0" r:id="rId111">
            <anchor moveWithCells="1">
              <from>
                <xdr:col>6</xdr:col>
                <xdr:colOff>28575</xdr:colOff>
                <xdr:row>26</xdr:row>
                <xdr:rowOff>161925</xdr:rowOff>
              </from>
              <to>
                <xdr:col>8</xdr:col>
                <xdr:colOff>1019175</xdr:colOff>
                <xdr:row>27</xdr:row>
                <xdr:rowOff>180975</xdr:rowOff>
              </to>
            </anchor>
          </controlPr>
        </control>
      </mc:Choice>
      <mc:Fallback>
        <control shapeId="96353" r:id="rId110" name="Q_PPH_Bulkhead_Filter"/>
      </mc:Fallback>
    </mc:AlternateContent>
    <mc:AlternateContent xmlns:mc="http://schemas.openxmlformats.org/markup-compatibility/2006">
      <mc:Choice Requires="x14">
        <control shapeId="96352" r:id="rId112" name="Q_DSP">
          <controlPr defaultSize="0" autoLine="0" r:id="rId113">
            <anchor moveWithCells="1">
              <from>
                <xdr:col>3</xdr:col>
                <xdr:colOff>19050</xdr:colOff>
                <xdr:row>1</xdr:row>
                <xdr:rowOff>314325</xdr:rowOff>
              </from>
              <to>
                <xdr:col>6</xdr:col>
                <xdr:colOff>76200</xdr:colOff>
                <xdr:row>2</xdr:row>
                <xdr:rowOff>276225</xdr:rowOff>
              </to>
            </anchor>
          </controlPr>
        </control>
      </mc:Choice>
      <mc:Fallback>
        <control shapeId="96352" r:id="rId112" name="Q_DSP"/>
      </mc:Fallback>
    </mc:AlternateContent>
    <mc:AlternateContent xmlns:mc="http://schemas.openxmlformats.org/markup-compatibility/2006">
      <mc:Choice Requires="x14">
        <control shapeId="96351" r:id="rId114" name="Q_PPH">
          <controlPr defaultSize="0" autoLine="0" r:id="rId115">
            <anchor moveWithCells="1">
              <from>
                <xdr:col>3</xdr:col>
                <xdr:colOff>19050</xdr:colOff>
                <xdr:row>1</xdr:row>
                <xdr:rowOff>19050</xdr:rowOff>
              </from>
              <to>
                <xdr:col>6</xdr:col>
                <xdr:colOff>19050</xdr:colOff>
                <xdr:row>1</xdr:row>
                <xdr:rowOff>304800</xdr:rowOff>
              </to>
            </anchor>
          </controlPr>
        </control>
      </mc:Choice>
      <mc:Fallback>
        <control shapeId="96351" r:id="rId114" name="Q_PPH"/>
      </mc:Fallback>
    </mc:AlternateContent>
    <mc:AlternateContent xmlns:mc="http://schemas.openxmlformats.org/markup-compatibility/2006">
      <mc:Choice Requires="x14">
        <control shapeId="96350" r:id="rId116" name="Q_PPH_Casing_Coating">
          <controlPr defaultSize="0" autoLine="0" r:id="rId117">
            <anchor moveWithCells="1">
              <from>
                <xdr:col>6</xdr:col>
                <xdr:colOff>66675</xdr:colOff>
                <xdr:row>18</xdr:row>
                <xdr:rowOff>85725</xdr:rowOff>
              </from>
              <to>
                <xdr:col>8</xdr:col>
                <xdr:colOff>1238250</xdr:colOff>
                <xdr:row>19</xdr:row>
                <xdr:rowOff>152400</xdr:rowOff>
              </to>
            </anchor>
          </controlPr>
        </control>
      </mc:Choice>
      <mc:Fallback>
        <control shapeId="96350" r:id="rId116" name="Q_PPH_Casing_Coating"/>
      </mc:Fallback>
    </mc:AlternateContent>
    <mc:AlternateContent xmlns:mc="http://schemas.openxmlformats.org/markup-compatibility/2006">
      <mc:Choice Requires="x14">
        <control shapeId="96349" r:id="rId118" name="Q_PPH_Const_Coating">
          <controlPr defaultSize="0" disabled="1" autoLine="0" r:id="rId119">
            <anchor moveWithCells="1">
              <from>
                <xdr:col>6</xdr:col>
                <xdr:colOff>66675</xdr:colOff>
                <xdr:row>20</xdr:row>
                <xdr:rowOff>0</xdr:rowOff>
              </from>
              <to>
                <xdr:col>8</xdr:col>
                <xdr:colOff>1562100</xdr:colOff>
                <xdr:row>20</xdr:row>
                <xdr:rowOff>228600</xdr:rowOff>
              </to>
            </anchor>
          </controlPr>
        </control>
      </mc:Choice>
      <mc:Fallback>
        <control shapeId="96349" r:id="rId118" name="Q_PPH_Const_Coating"/>
      </mc:Fallback>
    </mc:AlternateContent>
    <mc:AlternateContent xmlns:mc="http://schemas.openxmlformats.org/markup-compatibility/2006">
      <mc:Choice Requires="x14">
        <control shapeId="96347" r:id="rId120" name="Q_PPH_Digital_thermaostate">
          <controlPr defaultSize="0" autoLine="0" r:id="rId121">
            <anchor moveWithCells="1">
              <from>
                <xdr:col>12</xdr:col>
                <xdr:colOff>38100</xdr:colOff>
                <xdr:row>11</xdr:row>
                <xdr:rowOff>85725</xdr:rowOff>
              </from>
              <to>
                <xdr:col>12</xdr:col>
                <xdr:colOff>1714500</xdr:colOff>
                <xdr:row>12</xdr:row>
                <xdr:rowOff>123825</xdr:rowOff>
              </to>
            </anchor>
          </controlPr>
        </control>
      </mc:Choice>
      <mc:Fallback>
        <control shapeId="96347" r:id="rId120" name="Q_PPH_Digital_thermaostate"/>
      </mc:Fallback>
    </mc:AlternateContent>
    <mc:AlternateContent xmlns:mc="http://schemas.openxmlformats.org/markup-compatibility/2006">
      <mc:Choice Requires="x14">
        <control shapeId="96346" r:id="rId122" name="Q_PPH_Manual_thermostate">
          <controlPr defaultSize="0" autoLine="0" r:id="rId123">
            <anchor moveWithCells="1">
              <from>
                <xdr:col>12</xdr:col>
                <xdr:colOff>38100</xdr:colOff>
                <xdr:row>10</xdr:row>
                <xdr:rowOff>95250</xdr:rowOff>
              </from>
              <to>
                <xdr:col>12</xdr:col>
                <xdr:colOff>1495425</xdr:colOff>
                <xdr:row>11</xdr:row>
                <xdr:rowOff>133350</xdr:rowOff>
              </to>
            </anchor>
          </controlPr>
        </control>
      </mc:Choice>
      <mc:Fallback>
        <control shapeId="96346" r:id="rId122" name="Q_PPH_Manual_thermostate"/>
      </mc:Fallback>
    </mc:AlternateContent>
    <mc:AlternateContent xmlns:mc="http://schemas.openxmlformats.org/markup-compatibility/2006">
      <mc:Choice Requires="x14">
        <control shapeId="96345" r:id="rId124" name="Q_PPH_Programm_thermostat">
          <controlPr defaultSize="0" autoLine="0" r:id="rId125">
            <anchor moveWithCells="1">
              <from>
                <xdr:col>12</xdr:col>
                <xdr:colOff>38100</xdr:colOff>
                <xdr:row>12</xdr:row>
                <xdr:rowOff>28575</xdr:rowOff>
              </from>
              <to>
                <xdr:col>12</xdr:col>
                <xdr:colOff>2124075</xdr:colOff>
                <xdr:row>13</xdr:row>
                <xdr:rowOff>133350</xdr:rowOff>
              </to>
            </anchor>
          </controlPr>
        </control>
      </mc:Choice>
      <mc:Fallback>
        <control shapeId="96345" r:id="rId124" name="Q_PPH_Programm_thermostat"/>
      </mc:Fallback>
    </mc:AlternateContent>
    <mc:AlternateContent xmlns:mc="http://schemas.openxmlformats.org/markup-compatibility/2006">
      <mc:Choice Requires="x14">
        <control shapeId="96344" r:id="rId126" name="Anti_freez_thermostat">
          <controlPr defaultSize="0" disabled="1" autoLine="0" r:id="rId127">
            <anchor moveWithCells="1">
              <from>
                <xdr:col>12</xdr:col>
                <xdr:colOff>28575</xdr:colOff>
                <xdr:row>26</xdr:row>
                <xdr:rowOff>38100</xdr:rowOff>
              </from>
              <to>
                <xdr:col>12</xdr:col>
                <xdr:colOff>1533525</xdr:colOff>
                <xdr:row>27</xdr:row>
                <xdr:rowOff>76200</xdr:rowOff>
              </to>
            </anchor>
          </controlPr>
        </control>
      </mc:Choice>
      <mc:Fallback>
        <control shapeId="96344" r:id="rId126" name="Anti_freez_thermostat"/>
      </mc:Fallback>
    </mc:AlternateContent>
    <mc:AlternateContent xmlns:mc="http://schemas.openxmlformats.org/markup-compatibility/2006">
      <mc:Choice Requires="x14">
        <control shapeId="96343" r:id="rId128" name="Q_PPH_VFD_Evap">
          <controlPr defaultSize="0" disabled="1" autoLine="0" r:id="rId129">
            <anchor moveWithCells="1">
              <from>
                <xdr:col>9</xdr:col>
                <xdr:colOff>57150</xdr:colOff>
                <xdr:row>46</xdr:row>
                <xdr:rowOff>190500</xdr:rowOff>
              </from>
              <to>
                <xdr:col>11</xdr:col>
                <xdr:colOff>457200</xdr:colOff>
                <xdr:row>48</xdr:row>
                <xdr:rowOff>19050</xdr:rowOff>
              </to>
            </anchor>
          </controlPr>
        </control>
      </mc:Choice>
      <mc:Fallback>
        <control shapeId="96343" r:id="rId128" name="Q_PPH_VFD_Evap"/>
      </mc:Fallback>
    </mc:AlternateContent>
    <mc:AlternateContent xmlns:mc="http://schemas.openxmlformats.org/markup-compatibility/2006">
      <mc:Choice Requires="x14">
        <control shapeId="96342" r:id="rId130" name="Q_PPH_ACC_Doors">
          <controlPr defaultSize="0" disabled="1" autoLine="0" r:id="rId131">
            <anchor moveWithCells="1">
              <from>
                <xdr:col>6</xdr:col>
                <xdr:colOff>57150</xdr:colOff>
                <xdr:row>11</xdr:row>
                <xdr:rowOff>152400</xdr:rowOff>
              </from>
              <to>
                <xdr:col>8</xdr:col>
                <xdr:colOff>1200150</xdr:colOff>
                <xdr:row>12</xdr:row>
                <xdr:rowOff>190500</xdr:rowOff>
              </to>
            </anchor>
          </controlPr>
        </control>
      </mc:Choice>
      <mc:Fallback>
        <control shapeId="96342" r:id="rId130" name="Q_PPH_ACC_Doors"/>
      </mc:Fallback>
    </mc:AlternateContent>
    <mc:AlternateContent xmlns:mc="http://schemas.openxmlformats.org/markup-compatibility/2006">
      <mc:Choice Requires="x14">
        <control shapeId="96341" r:id="rId132" name="Q_PPH_NEMA4_Elec_panel">
          <controlPr defaultSize="0" autoLine="0" autoPict="0" r:id="rId133">
            <anchor moveWithCells="1">
              <from>
                <xdr:col>9</xdr:col>
                <xdr:colOff>66675</xdr:colOff>
                <xdr:row>22</xdr:row>
                <xdr:rowOff>0</xdr:rowOff>
              </from>
              <to>
                <xdr:col>11</xdr:col>
                <xdr:colOff>123825</xdr:colOff>
                <xdr:row>23</xdr:row>
                <xdr:rowOff>19050</xdr:rowOff>
              </to>
            </anchor>
          </controlPr>
        </control>
      </mc:Choice>
      <mc:Fallback>
        <control shapeId="96341" r:id="rId132" name="Q_PPH_NEMA4_Elec_panel"/>
      </mc:Fallback>
    </mc:AlternateContent>
    <mc:AlternateContent xmlns:mc="http://schemas.openxmlformats.org/markup-compatibility/2006">
      <mc:Choice Requires="x14">
        <control shapeId="96340" r:id="rId134" name="Q_PPH_NEMA4_CFM">
          <controlPr defaultSize="0" disabled="1" autoLine="0" r:id="rId135">
            <anchor moveWithCells="1">
              <from>
                <xdr:col>3</xdr:col>
                <xdr:colOff>238125</xdr:colOff>
                <xdr:row>75</xdr:row>
                <xdr:rowOff>152400</xdr:rowOff>
              </from>
              <to>
                <xdr:col>5</xdr:col>
                <xdr:colOff>352425</xdr:colOff>
                <xdr:row>76</xdr:row>
                <xdr:rowOff>200025</xdr:rowOff>
              </to>
            </anchor>
          </controlPr>
        </control>
      </mc:Choice>
      <mc:Fallback>
        <control shapeId="96340" r:id="rId134" name="Q_PPH_NEMA4_CFM"/>
      </mc:Fallback>
    </mc:AlternateContent>
    <mc:AlternateContent xmlns:mc="http://schemas.openxmlformats.org/markup-compatibility/2006">
      <mc:Choice Requires="x14">
        <control shapeId="96339" r:id="rId136" name="Q_PPH_NEMA4_Comp">
          <controlPr defaultSize="0" disabled="1" autoLine="0" r:id="rId137">
            <anchor moveWithCells="1">
              <from>
                <xdr:col>3</xdr:col>
                <xdr:colOff>228600</xdr:colOff>
                <xdr:row>74</xdr:row>
                <xdr:rowOff>104775</xdr:rowOff>
              </from>
              <to>
                <xdr:col>5</xdr:col>
                <xdr:colOff>333375</xdr:colOff>
                <xdr:row>75</xdr:row>
                <xdr:rowOff>142875</xdr:rowOff>
              </to>
            </anchor>
          </controlPr>
        </control>
      </mc:Choice>
      <mc:Fallback>
        <control shapeId="96339" r:id="rId136" name="Q_PPH_NEMA4_Comp"/>
      </mc:Fallback>
    </mc:AlternateContent>
    <mc:AlternateContent xmlns:mc="http://schemas.openxmlformats.org/markup-compatibility/2006">
      <mc:Choice Requires="x14">
        <control shapeId="96338" r:id="rId138" name="Q_PPH_NEMA4_JB">
          <controlPr defaultSize="0" disabled="1" autoLine="0" r:id="rId139">
            <anchor moveWithCells="1">
              <from>
                <xdr:col>3</xdr:col>
                <xdr:colOff>219075</xdr:colOff>
                <xdr:row>76</xdr:row>
                <xdr:rowOff>180975</xdr:rowOff>
              </from>
              <to>
                <xdr:col>5</xdr:col>
                <xdr:colOff>809625</xdr:colOff>
                <xdr:row>78</xdr:row>
                <xdr:rowOff>19050</xdr:rowOff>
              </to>
            </anchor>
          </controlPr>
        </control>
      </mc:Choice>
      <mc:Fallback>
        <control shapeId="96338" r:id="rId138" name="Q_PPH_NEMA4_JB"/>
      </mc:Fallback>
    </mc:AlternateContent>
    <mc:AlternateContent xmlns:mc="http://schemas.openxmlformats.org/markup-compatibility/2006">
      <mc:Choice Requires="x14">
        <control shapeId="96337" r:id="rId140" name="Q_PPH_Current_Transformer">
          <controlPr defaultSize="0" autoLine="0" r:id="rId141">
            <anchor moveWithCells="1">
              <from>
                <xdr:col>9</xdr:col>
                <xdr:colOff>66675</xdr:colOff>
                <xdr:row>10</xdr:row>
                <xdr:rowOff>209550</xdr:rowOff>
              </from>
              <to>
                <xdr:col>11</xdr:col>
                <xdr:colOff>571500</xdr:colOff>
                <xdr:row>12</xdr:row>
                <xdr:rowOff>0</xdr:rowOff>
              </to>
            </anchor>
          </controlPr>
        </control>
      </mc:Choice>
      <mc:Fallback>
        <control shapeId="96337" r:id="rId140" name="Q_PPH_Current_Transformer"/>
      </mc:Fallback>
    </mc:AlternateContent>
    <mc:AlternateContent xmlns:mc="http://schemas.openxmlformats.org/markup-compatibility/2006">
      <mc:Choice Requires="x14">
        <control shapeId="96336" r:id="rId142" name="Q_PPH_TEFC_CFM">
          <controlPr defaultSize="0" autoLine="0" r:id="rId143">
            <anchor moveWithCells="1">
              <from>
                <xdr:col>9</xdr:col>
                <xdr:colOff>57150</xdr:colOff>
                <xdr:row>24</xdr:row>
                <xdr:rowOff>190500</xdr:rowOff>
              </from>
              <to>
                <xdr:col>11</xdr:col>
                <xdr:colOff>257175</xdr:colOff>
                <xdr:row>25</xdr:row>
                <xdr:rowOff>209550</xdr:rowOff>
              </to>
            </anchor>
          </controlPr>
        </control>
      </mc:Choice>
      <mc:Fallback>
        <control shapeId="96336" r:id="rId142" name="Q_PPH_TEFC_CFM"/>
      </mc:Fallback>
    </mc:AlternateContent>
    <mc:AlternateContent xmlns:mc="http://schemas.openxmlformats.org/markup-compatibility/2006">
      <mc:Choice Requires="x14">
        <control shapeId="96335" r:id="rId144" name="Q_PPH_VFD_Lead">
          <controlPr defaultSize="0" autoLine="0" r:id="rId145">
            <anchor moveWithCells="1">
              <from>
                <xdr:col>9</xdr:col>
                <xdr:colOff>57150</xdr:colOff>
                <xdr:row>45</xdr:row>
                <xdr:rowOff>200025</xdr:rowOff>
              </from>
              <to>
                <xdr:col>11</xdr:col>
                <xdr:colOff>342900</xdr:colOff>
                <xdr:row>47</xdr:row>
                <xdr:rowOff>28575</xdr:rowOff>
              </to>
            </anchor>
          </controlPr>
        </control>
      </mc:Choice>
      <mc:Fallback>
        <control shapeId="96335" r:id="rId144" name="Q_PPH_VFD_Lead"/>
      </mc:Fallback>
    </mc:AlternateContent>
    <mc:AlternateContent xmlns:mc="http://schemas.openxmlformats.org/markup-compatibility/2006">
      <mc:Choice Requires="x14">
        <control shapeId="96334" r:id="rId146" name="Q_PPH_VFD_ALL">
          <controlPr defaultSize="0" autoLine="0" r:id="rId147">
            <anchor moveWithCells="1">
              <from>
                <xdr:col>9</xdr:col>
                <xdr:colOff>66675</xdr:colOff>
                <xdr:row>44</xdr:row>
                <xdr:rowOff>266700</xdr:rowOff>
              </from>
              <to>
                <xdr:col>11</xdr:col>
                <xdr:colOff>552450</xdr:colOff>
                <xdr:row>46</xdr:row>
                <xdr:rowOff>38100</xdr:rowOff>
              </to>
            </anchor>
          </controlPr>
        </control>
      </mc:Choice>
      <mc:Fallback>
        <control shapeId="96334" r:id="rId146" name="Q_PPH_VFD_ALL"/>
      </mc:Fallback>
    </mc:AlternateContent>
    <mc:AlternateContent xmlns:mc="http://schemas.openxmlformats.org/markup-compatibility/2006">
      <mc:Choice Requires="x14">
        <control shapeId="96333" r:id="rId148" name="Q_PPH_Roof_Canopy">
          <controlPr defaultSize="0" disabled="1" autoLine="0" r:id="rId149">
            <anchor moveWithCells="1">
              <from>
                <xdr:col>6</xdr:col>
                <xdr:colOff>57150</xdr:colOff>
                <xdr:row>10</xdr:row>
                <xdr:rowOff>190500</xdr:rowOff>
              </from>
              <to>
                <xdr:col>8</xdr:col>
                <xdr:colOff>85725</xdr:colOff>
                <xdr:row>11</xdr:row>
                <xdr:rowOff>209550</xdr:rowOff>
              </to>
            </anchor>
          </controlPr>
        </control>
      </mc:Choice>
      <mc:Fallback>
        <control shapeId="96333" r:id="rId148" name="Q_PPH_Roof_Canopy"/>
      </mc:Fallback>
    </mc:AlternateContent>
    <mc:AlternateContent xmlns:mc="http://schemas.openxmlformats.org/markup-compatibility/2006">
      <mc:Choice Requires="x14">
        <control shapeId="96332" r:id="rId150" name="Q_PPH_Elec_Expantion">
          <controlPr defaultSize="0" autoLine="0" r:id="rId151">
            <anchor moveWithCells="1">
              <from>
                <xdr:col>3</xdr:col>
                <xdr:colOff>76200</xdr:colOff>
                <xdr:row>31</xdr:row>
                <xdr:rowOff>95250</xdr:rowOff>
              </from>
              <to>
                <xdr:col>5</xdr:col>
                <xdr:colOff>685800</xdr:colOff>
                <xdr:row>32</xdr:row>
                <xdr:rowOff>57150</xdr:rowOff>
              </to>
            </anchor>
          </controlPr>
        </control>
      </mc:Choice>
      <mc:Fallback>
        <control shapeId="96332" r:id="rId150" name="Q_PPH_Elec_Expantion"/>
      </mc:Fallback>
    </mc:AlternateContent>
    <mc:AlternateContent xmlns:mc="http://schemas.openxmlformats.org/markup-compatibility/2006">
      <mc:Choice Requires="x14">
        <control shapeId="96330" r:id="rId152" name="Q_PPH_Coating_Evap">
          <controlPr defaultSize="0" disabled="1" autoLine="0" r:id="rId153">
            <anchor moveWithCells="1">
              <from>
                <xdr:col>6</xdr:col>
                <xdr:colOff>47625</xdr:colOff>
                <xdr:row>45</xdr:row>
                <xdr:rowOff>123825</xdr:rowOff>
              </from>
              <to>
                <xdr:col>8</xdr:col>
                <xdr:colOff>276225</xdr:colOff>
                <xdr:row>46</xdr:row>
                <xdr:rowOff>171450</xdr:rowOff>
              </to>
            </anchor>
          </controlPr>
        </control>
      </mc:Choice>
      <mc:Fallback>
        <control shapeId="96330" r:id="rId152" name="Q_PPH_Coating_Evap"/>
      </mc:Fallback>
    </mc:AlternateContent>
    <mc:AlternateContent xmlns:mc="http://schemas.openxmlformats.org/markup-compatibility/2006">
      <mc:Choice Requires="x14">
        <control shapeId="96329" r:id="rId154" name="Q_PPH_Cond_Coating_Enable">
          <controlPr defaultSize="0" autoLine="0" r:id="rId155">
            <anchor moveWithCells="1">
              <from>
                <xdr:col>3</xdr:col>
                <xdr:colOff>57150</xdr:colOff>
                <xdr:row>45</xdr:row>
                <xdr:rowOff>133350</xdr:rowOff>
              </from>
              <to>
                <xdr:col>5</xdr:col>
                <xdr:colOff>676275</xdr:colOff>
                <xdr:row>46</xdr:row>
                <xdr:rowOff>180975</xdr:rowOff>
              </to>
            </anchor>
          </controlPr>
        </control>
      </mc:Choice>
      <mc:Fallback>
        <control shapeId="96329" r:id="rId154" name="Q_PPH_Cond_Coating_Enable"/>
      </mc:Fallback>
    </mc:AlternateContent>
    <mc:AlternateContent xmlns:mc="http://schemas.openxmlformats.org/markup-compatibility/2006">
      <mc:Choice Requires="x14">
        <control shapeId="96328" r:id="rId156" name="Q_PPH_Heat_Pump">
          <controlPr defaultSize="0" autoLine="0" r:id="rId157">
            <anchor moveWithCells="1">
              <from>
                <xdr:col>3</xdr:col>
                <xdr:colOff>85725</xdr:colOff>
                <xdr:row>30</xdr:row>
                <xdr:rowOff>104775</xdr:rowOff>
              </from>
              <to>
                <xdr:col>5</xdr:col>
                <xdr:colOff>304800</xdr:colOff>
                <xdr:row>31</xdr:row>
                <xdr:rowOff>142875</xdr:rowOff>
              </to>
            </anchor>
          </controlPr>
        </control>
      </mc:Choice>
      <mc:Fallback>
        <control shapeId="96328" r:id="rId156" name="Q_PPH_Heat_Pump"/>
      </mc:Fallback>
    </mc:AlternateContent>
    <mc:AlternateContent xmlns:mc="http://schemas.openxmlformats.org/markup-compatibility/2006">
      <mc:Choice Requires="x14">
        <control shapeId="96327" r:id="rId158" name="Q_PPH_Evap_Coating">
          <controlPr defaultSize="0" disabled="1" autoLine="0" autoPict="0" r:id="rId159">
            <anchor moveWithCells="1">
              <from>
                <xdr:col>6</xdr:col>
                <xdr:colOff>19050</xdr:colOff>
                <xdr:row>46</xdr:row>
                <xdr:rowOff>142875</xdr:rowOff>
              </from>
              <to>
                <xdr:col>8</xdr:col>
                <xdr:colOff>1419225</xdr:colOff>
                <xdr:row>47</xdr:row>
                <xdr:rowOff>171450</xdr:rowOff>
              </to>
            </anchor>
          </controlPr>
        </control>
      </mc:Choice>
      <mc:Fallback>
        <control shapeId="96327" r:id="rId158" name="Q_PPH_Evap_Coating"/>
      </mc:Fallback>
    </mc:AlternateContent>
    <mc:AlternateContent xmlns:mc="http://schemas.openxmlformats.org/markup-compatibility/2006">
      <mc:Choice Requires="x14">
        <control shapeId="96326" r:id="rId160" name="Q_PPH_CU_PRE_Evap">
          <controlPr defaultSize="0" disabled="1" autoLine="0" r:id="rId161">
            <anchor moveWithCells="1">
              <from>
                <xdr:col>6</xdr:col>
                <xdr:colOff>19050</xdr:colOff>
                <xdr:row>44</xdr:row>
                <xdr:rowOff>104775</xdr:rowOff>
              </from>
              <to>
                <xdr:col>8</xdr:col>
                <xdr:colOff>1600200</xdr:colOff>
                <xdr:row>45</xdr:row>
                <xdr:rowOff>76200</xdr:rowOff>
              </to>
            </anchor>
          </controlPr>
        </control>
      </mc:Choice>
      <mc:Fallback>
        <control shapeId="96326" r:id="rId160" name="Q_PPH_CU_PRE_Evap"/>
      </mc:Fallback>
    </mc:AlternateContent>
    <mc:AlternateContent xmlns:mc="http://schemas.openxmlformats.org/markup-compatibility/2006">
      <mc:Choice Requires="x14">
        <control shapeId="96325" r:id="rId162" name="Q_PPH_CU_AL_Evap">
          <controlPr defaultSize="0" disabled="1" autoLine="0" autoPict="0" r:id="rId163">
            <anchor moveWithCells="1">
              <from>
                <xdr:col>6</xdr:col>
                <xdr:colOff>38100</xdr:colOff>
                <xdr:row>42</xdr:row>
                <xdr:rowOff>38100</xdr:rowOff>
              </from>
              <to>
                <xdr:col>8</xdr:col>
                <xdr:colOff>1514475</xdr:colOff>
                <xdr:row>43</xdr:row>
                <xdr:rowOff>57150</xdr:rowOff>
              </to>
            </anchor>
          </controlPr>
        </control>
      </mc:Choice>
      <mc:Fallback>
        <control shapeId="96325" r:id="rId162" name="Q_PPH_CU_AL_Evap"/>
      </mc:Fallback>
    </mc:AlternateContent>
    <mc:AlternateContent xmlns:mc="http://schemas.openxmlformats.org/markup-compatibility/2006">
      <mc:Choice Requires="x14">
        <control shapeId="96324" r:id="rId164" name="Q_PPH_CU_CU_Evap">
          <controlPr defaultSize="0" disabled="1" autoLine="0" r:id="rId165">
            <anchor moveWithCells="1">
              <from>
                <xdr:col>6</xdr:col>
                <xdr:colOff>28575</xdr:colOff>
                <xdr:row>43</xdr:row>
                <xdr:rowOff>57150</xdr:rowOff>
              </from>
              <to>
                <xdr:col>8</xdr:col>
                <xdr:colOff>1504950</xdr:colOff>
                <xdr:row>44</xdr:row>
                <xdr:rowOff>114300</xdr:rowOff>
              </to>
            </anchor>
          </controlPr>
        </control>
      </mc:Choice>
      <mc:Fallback>
        <control shapeId="96324" r:id="rId164" name="Q_PPH_CU_CU_Evap"/>
      </mc:Fallback>
    </mc:AlternateContent>
    <mc:AlternateContent xmlns:mc="http://schemas.openxmlformats.org/markup-compatibility/2006">
      <mc:Choice Requires="x14">
        <control shapeId="96323" r:id="rId166" name="Q_PPH_Screw">
          <controlPr defaultSize="0" disabled="1" autoLine="0" autoPict="0" r:id="rId167">
            <anchor moveWithCells="1">
              <from>
                <xdr:col>4</xdr:col>
                <xdr:colOff>57150</xdr:colOff>
                <xdr:row>51</xdr:row>
                <xdr:rowOff>238125</xdr:rowOff>
              </from>
              <to>
                <xdr:col>5</xdr:col>
                <xdr:colOff>142875</xdr:colOff>
                <xdr:row>53</xdr:row>
                <xdr:rowOff>57150</xdr:rowOff>
              </to>
            </anchor>
          </controlPr>
        </control>
      </mc:Choice>
      <mc:Fallback>
        <control shapeId="96323" r:id="rId166" name="Q_PPH_Screw"/>
      </mc:Fallback>
    </mc:AlternateContent>
    <mc:AlternateContent xmlns:mc="http://schemas.openxmlformats.org/markup-compatibility/2006">
      <mc:Choice Requires="x14">
        <control shapeId="96322" r:id="rId168" name="Q_PPH_Sight_Glass">
          <controlPr defaultSize="0" autoLine="0" r:id="rId169">
            <anchor moveWithCells="1">
              <from>
                <xdr:col>3</xdr:col>
                <xdr:colOff>114300</xdr:colOff>
                <xdr:row>22</xdr:row>
                <xdr:rowOff>142875</xdr:rowOff>
              </from>
              <to>
                <xdr:col>5</xdr:col>
                <xdr:colOff>1371600</xdr:colOff>
                <xdr:row>23</xdr:row>
                <xdr:rowOff>152400</xdr:rowOff>
              </to>
            </anchor>
          </controlPr>
        </control>
      </mc:Choice>
      <mc:Fallback>
        <control shapeId="96322" r:id="rId168" name="Q_PPH_Sight_Glass"/>
      </mc:Fallback>
    </mc:AlternateContent>
    <mc:AlternateContent xmlns:mc="http://schemas.openxmlformats.org/markup-compatibility/2006">
      <mc:Choice Requires="x14">
        <control shapeId="96321" r:id="rId170" name="Q_PPH_Economizer">
          <controlPr defaultSize="0" disabled="1" autoLine="0" r:id="rId171">
            <anchor moveWithCells="1">
              <from>
                <xdr:col>3</xdr:col>
                <xdr:colOff>57150</xdr:colOff>
                <xdr:row>8</xdr:row>
                <xdr:rowOff>95250</xdr:rowOff>
              </from>
              <to>
                <xdr:col>4</xdr:col>
                <xdr:colOff>361950</xdr:colOff>
                <xdr:row>9</xdr:row>
                <xdr:rowOff>123825</xdr:rowOff>
              </to>
            </anchor>
          </controlPr>
        </control>
      </mc:Choice>
      <mc:Fallback>
        <control shapeId="96321" r:id="rId170" name="Q_PPH_Economizer"/>
      </mc:Fallback>
    </mc:AlternateContent>
    <mc:AlternateContent xmlns:mc="http://schemas.openxmlformats.org/markup-compatibility/2006">
      <mc:Choice Requires="x14">
        <control shapeId="96320" r:id="rId172" name="Q_PPH_SS_Drain_Pan">
          <controlPr defaultSize="0" disabled="1" autoLine="0" r:id="rId173">
            <anchor moveWithCells="1">
              <from>
                <xdr:col>6</xdr:col>
                <xdr:colOff>38100</xdr:colOff>
                <xdr:row>37</xdr:row>
                <xdr:rowOff>0</xdr:rowOff>
              </from>
              <to>
                <xdr:col>8</xdr:col>
                <xdr:colOff>1095375</xdr:colOff>
                <xdr:row>38</xdr:row>
                <xdr:rowOff>28575</xdr:rowOff>
              </to>
            </anchor>
          </controlPr>
        </control>
      </mc:Choice>
      <mc:Fallback>
        <control shapeId="96320" r:id="rId172" name="Q_PPH_SS_Drain_Pan"/>
      </mc:Fallback>
    </mc:AlternateContent>
    <mc:AlternateContent xmlns:mc="http://schemas.openxmlformats.org/markup-compatibility/2006">
      <mc:Choice Requires="x14">
        <control shapeId="96319" r:id="rId174" name="Q_PPH_STL">
          <controlPr defaultSize="0" disabled="1" autoLine="0" r:id="rId175">
            <anchor moveWithCells="1">
              <from>
                <xdr:col>3</xdr:col>
                <xdr:colOff>47625</xdr:colOff>
                <xdr:row>5</xdr:row>
                <xdr:rowOff>190500</xdr:rowOff>
              </from>
              <to>
                <xdr:col>5</xdr:col>
                <xdr:colOff>142875</xdr:colOff>
                <xdr:row>6</xdr:row>
                <xdr:rowOff>219075</xdr:rowOff>
              </to>
            </anchor>
          </controlPr>
        </control>
      </mc:Choice>
      <mc:Fallback>
        <control shapeId="96319" r:id="rId174" name="Q_PPH_STL"/>
      </mc:Fallback>
    </mc:AlternateContent>
    <mc:AlternateContent xmlns:mc="http://schemas.openxmlformats.org/markup-compatibility/2006">
      <mc:Choice Requires="x14">
        <control shapeId="96318" r:id="rId176" name="Q_PPH_Rian_Hood">
          <controlPr defaultSize="0" disabled="1" autoLine="0" r:id="rId177">
            <anchor moveWithCells="1">
              <from>
                <xdr:col>3</xdr:col>
                <xdr:colOff>47625</xdr:colOff>
                <xdr:row>5</xdr:row>
                <xdr:rowOff>9525</xdr:rowOff>
              </from>
              <to>
                <xdr:col>4</xdr:col>
                <xdr:colOff>266700</xdr:colOff>
                <xdr:row>6</xdr:row>
                <xdr:rowOff>38100</xdr:rowOff>
              </to>
            </anchor>
          </controlPr>
        </control>
      </mc:Choice>
      <mc:Fallback>
        <control shapeId="96318" r:id="rId176" name="Q_PPH_Rian_Hood"/>
      </mc:Fallback>
    </mc:AlternateContent>
    <mc:AlternateContent xmlns:mc="http://schemas.openxmlformats.org/markup-compatibility/2006">
      <mc:Choice Requires="x14">
        <control shapeId="96317" r:id="rId178" name="Q_PPH_Mixing_Box">
          <controlPr defaultSize="0" disabled="1" autoLine="0" r:id="rId179">
            <anchor moveWithCells="1">
              <from>
                <xdr:col>3</xdr:col>
                <xdr:colOff>57150</xdr:colOff>
                <xdr:row>7</xdr:row>
                <xdr:rowOff>123825</xdr:rowOff>
              </from>
              <to>
                <xdr:col>5</xdr:col>
                <xdr:colOff>1228725</xdr:colOff>
                <xdr:row>8</xdr:row>
                <xdr:rowOff>114300</xdr:rowOff>
              </to>
            </anchor>
          </controlPr>
        </control>
      </mc:Choice>
      <mc:Fallback>
        <control shapeId="96317" r:id="rId178" name="Q_PPH_Mixing_Box"/>
      </mc:Fallback>
    </mc:AlternateContent>
    <mc:AlternateContent xmlns:mc="http://schemas.openxmlformats.org/markup-compatibility/2006">
      <mc:Choice Requires="x14">
        <control shapeId="96316" r:id="rId180" name="Q_PPH_Inlet_Damper">
          <controlPr defaultSize="0" disabled="1" autoLine="0" r:id="rId181">
            <anchor moveWithCells="1">
              <from>
                <xdr:col>3</xdr:col>
                <xdr:colOff>47625</xdr:colOff>
                <xdr:row>6</xdr:row>
                <xdr:rowOff>152400</xdr:rowOff>
              </from>
              <to>
                <xdr:col>5</xdr:col>
                <xdr:colOff>619125</xdr:colOff>
                <xdr:row>7</xdr:row>
                <xdr:rowOff>180975</xdr:rowOff>
              </to>
            </anchor>
          </controlPr>
        </control>
      </mc:Choice>
      <mc:Fallback>
        <control shapeId="96316" r:id="rId180" name="Q_PPH_Inlet_Damper"/>
      </mc:Fallback>
    </mc:AlternateContent>
    <mc:AlternateContent xmlns:mc="http://schemas.openxmlformats.org/markup-compatibility/2006">
      <mc:Choice Requires="x14">
        <control shapeId="96315" r:id="rId182" name="Q_PPH_Flat2">
          <controlPr defaultSize="0" disabled="1" autoLine="0" r:id="rId183">
            <anchor moveWithCells="1">
              <from>
                <xdr:col>3</xdr:col>
                <xdr:colOff>57150</xdr:colOff>
                <xdr:row>9</xdr:row>
                <xdr:rowOff>57150</xdr:rowOff>
              </from>
              <to>
                <xdr:col>5</xdr:col>
                <xdr:colOff>628650</xdr:colOff>
                <xdr:row>10</xdr:row>
                <xdr:rowOff>85725</xdr:rowOff>
              </to>
            </anchor>
          </controlPr>
        </control>
      </mc:Choice>
      <mc:Fallback>
        <control shapeId="96315" r:id="rId182" name="Q_PPH_Flat2"/>
      </mc:Fallback>
    </mc:AlternateContent>
    <mc:AlternateContent xmlns:mc="http://schemas.openxmlformats.org/markup-compatibility/2006">
      <mc:Choice Requires="x14">
        <control shapeId="96314" r:id="rId184" name="Q_PPH_Bag_Filter">
          <controlPr defaultSize="0" disabled="1" autoLine="0" r:id="rId185">
            <anchor moveWithCells="1">
              <from>
                <xdr:col>3</xdr:col>
                <xdr:colOff>57150</xdr:colOff>
                <xdr:row>10</xdr:row>
                <xdr:rowOff>28575</xdr:rowOff>
              </from>
              <to>
                <xdr:col>5</xdr:col>
                <xdr:colOff>571500</xdr:colOff>
                <xdr:row>11</xdr:row>
                <xdr:rowOff>57150</xdr:rowOff>
              </to>
            </anchor>
          </controlPr>
        </control>
      </mc:Choice>
      <mc:Fallback>
        <control shapeId="96314" r:id="rId184" name="Q_PPH_Bag_Filter"/>
      </mc:Fallback>
    </mc:AlternateContent>
    <mc:AlternateContent xmlns:mc="http://schemas.openxmlformats.org/markup-compatibility/2006">
      <mc:Choice Requires="x14">
        <control shapeId="96313" r:id="rId186" name="Q_PPH_Smoke_Detector">
          <controlPr defaultSize="0" disabled="1" autoLine="0" r:id="rId187">
            <anchor moveWithCells="1">
              <from>
                <xdr:col>12</xdr:col>
                <xdr:colOff>28575</xdr:colOff>
                <xdr:row>27</xdr:row>
                <xdr:rowOff>19050</xdr:rowOff>
              </from>
              <to>
                <xdr:col>12</xdr:col>
                <xdr:colOff>1390650</xdr:colOff>
                <xdr:row>28</xdr:row>
                <xdr:rowOff>47625</xdr:rowOff>
              </to>
            </anchor>
          </controlPr>
        </control>
      </mc:Choice>
      <mc:Fallback>
        <control shapeId="96313" r:id="rId186" name="Q_PPH_Smoke_Detector"/>
      </mc:Fallback>
    </mc:AlternateContent>
    <mc:AlternateContent xmlns:mc="http://schemas.openxmlformats.org/markup-compatibility/2006">
      <mc:Choice Requires="x14">
        <control shapeId="96311" r:id="rId188" name="Q_PPH_SS_Coil">
          <controlPr defaultSize="0" disabled="1" autoLine="0" r:id="rId189">
            <anchor moveWithCells="1">
              <from>
                <xdr:col>6</xdr:col>
                <xdr:colOff>57150</xdr:colOff>
                <xdr:row>29</xdr:row>
                <xdr:rowOff>0</xdr:rowOff>
              </from>
              <to>
                <xdr:col>8</xdr:col>
                <xdr:colOff>571500</xdr:colOff>
                <xdr:row>30</xdr:row>
                <xdr:rowOff>9525</xdr:rowOff>
              </to>
            </anchor>
          </controlPr>
        </control>
      </mc:Choice>
      <mc:Fallback>
        <control shapeId="96311" r:id="rId188" name="Q_PPH_SS_Coil"/>
      </mc:Fallback>
    </mc:AlternateContent>
    <mc:AlternateContent xmlns:mc="http://schemas.openxmlformats.org/markup-compatibility/2006">
      <mc:Choice Requires="x14">
        <control shapeId="96310" r:id="rId190" name="Q_PPH_Humidity_Sensor">
          <controlPr defaultSize="0" disabled="1" autoLine="0" autoPict="0" r:id="rId191">
            <anchor moveWithCells="1">
              <from>
                <xdr:col>12</xdr:col>
                <xdr:colOff>38100</xdr:colOff>
                <xdr:row>24</xdr:row>
                <xdr:rowOff>114300</xdr:rowOff>
              </from>
              <to>
                <xdr:col>12</xdr:col>
                <xdr:colOff>1181100</xdr:colOff>
                <xdr:row>25</xdr:row>
                <xdr:rowOff>152400</xdr:rowOff>
              </to>
            </anchor>
          </controlPr>
        </control>
      </mc:Choice>
      <mc:Fallback>
        <control shapeId="96310" r:id="rId190" name="Q_PPH_Humidity_Sensor"/>
      </mc:Fallback>
    </mc:AlternateContent>
    <mc:AlternateContent xmlns:mc="http://schemas.openxmlformats.org/markup-compatibility/2006">
      <mc:Choice Requires="x14">
        <control shapeId="96309" r:id="rId192" name="Q_PPH_SS_Filter">
          <controlPr defaultSize="0" disabled="1" autoLine="0" r:id="rId193">
            <anchor moveWithCells="1">
              <from>
                <xdr:col>6</xdr:col>
                <xdr:colOff>38100</xdr:colOff>
                <xdr:row>23</xdr:row>
                <xdr:rowOff>161925</xdr:rowOff>
              </from>
              <to>
                <xdr:col>8</xdr:col>
                <xdr:colOff>1219200</xdr:colOff>
                <xdr:row>25</xdr:row>
                <xdr:rowOff>19050</xdr:rowOff>
              </to>
            </anchor>
          </controlPr>
        </control>
      </mc:Choice>
      <mc:Fallback>
        <control shapeId="96309" r:id="rId192" name="Q_PPH_SS_Filter"/>
      </mc:Fallback>
    </mc:AlternateContent>
    <mc:AlternateContent xmlns:mc="http://schemas.openxmlformats.org/markup-compatibility/2006">
      <mc:Choice Requires="x14">
        <control shapeId="96308" r:id="rId194" name="Q_PPH_2Spring">
          <controlPr defaultSize="0" disabled="1" autoLine="0" r:id="rId195">
            <anchor moveWithCells="1">
              <from>
                <xdr:col>6</xdr:col>
                <xdr:colOff>47625</xdr:colOff>
                <xdr:row>31</xdr:row>
                <xdr:rowOff>123825</xdr:rowOff>
              </from>
              <to>
                <xdr:col>8</xdr:col>
                <xdr:colOff>1476375</xdr:colOff>
                <xdr:row>32</xdr:row>
                <xdr:rowOff>85725</xdr:rowOff>
              </to>
            </anchor>
          </controlPr>
        </control>
      </mc:Choice>
      <mc:Fallback>
        <control shapeId="96308" r:id="rId194" name="Q_PPH_2Spring"/>
      </mc:Fallback>
    </mc:AlternateContent>
    <mc:AlternateContent xmlns:mc="http://schemas.openxmlformats.org/markup-compatibility/2006">
      <mc:Choice Requires="x14">
        <control shapeId="96307" r:id="rId196" name="Q_PPH_1Spring">
          <controlPr defaultSize="0" disabled="1" autoLine="0" r:id="rId197">
            <anchor moveWithCells="1">
              <from>
                <xdr:col>6</xdr:col>
                <xdr:colOff>47625</xdr:colOff>
                <xdr:row>30</xdr:row>
                <xdr:rowOff>152400</xdr:rowOff>
              </from>
              <to>
                <xdr:col>8</xdr:col>
                <xdr:colOff>1276350</xdr:colOff>
                <xdr:row>31</xdr:row>
                <xdr:rowOff>180975</xdr:rowOff>
              </to>
            </anchor>
          </controlPr>
        </control>
      </mc:Choice>
      <mc:Fallback>
        <control shapeId="96307" r:id="rId196" name="Q_PPH_1Spring"/>
      </mc:Fallback>
    </mc:AlternateContent>
    <mc:AlternateContent xmlns:mc="http://schemas.openxmlformats.org/markup-compatibility/2006">
      <mc:Choice Requires="x14">
        <control shapeId="96306" r:id="rId198" name="Q_PPH_Bird_Screen">
          <controlPr defaultSize="0" disabled="1" autoLine="0" r:id="rId199">
            <anchor moveWithCells="1">
              <from>
                <xdr:col>3</xdr:col>
                <xdr:colOff>295275</xdr:colOff>
                <xdr:row>72</xdr:row>
                <xdr:rowOff>152400</xdr:rowOff>
              </from>
              <to>
                <xdr:col>5</xdr:col>
                <xdr:colOff>38100</xdr:colOff>
                <xdr:row>74</xdr:row>
                <xdr:rowOff>0</xdr:rowOff>
              </to>
            </anchor>
          </controlPr>
        </control>
      </mc:Choice>
      <mc:Fallback>
        <control shapeId="96306" r:id="rId198" name="Q_PPH_Bird_Screen"/>
      </mc:Fallback>
    </mc:AlternateContent>
    <mc:AlternateContent xmlns:mc="http://schemas.openxmlformats.org/markup-compatibility/2006">
      <mc:Choice Requires="x14">
        <control shapeId="96305" r:id="rId200" name="Q_PPH_Emer_switch">
          <controlPr defaultSize="0" autoLine="0" r:id="rId201">
            <anchor moveWithCells="1">
              <from>
                <xdr:col>12</xdr:col>
                <xdr:colOff>19050</xdr:colOff>
                <xdr:row>28</xdr:row>
                <xdr:rowOff>219075</xdr:rowOff>
              </from>
              <to>
                <xdr:col>12</xdr:col>
                <xdr:colOff>1447800</xdr:colOff>
                <xdr:row>29</xdr:row>
                <xdr:rowOff>190500</xdr:rowOff>
              </to>
            </anchor>
          </controlPr>
        </control>
      </mc:Choice>
      <mc:Fallback>
        <control shapeId="96305" r:id="rId200" name="Q_PPH_Emer_switch"/>
      </mc:Fallback>
    </mc:AlternateContent>
    <mc:AlternateContent xmlns:mc="http://schemas.openxmlformats.org/markup-compatibility/2006">
      <mc:Choice Requires="x14">
        <control shapeId="96304" r:id="rId202" name="Q_PPH_Belt_Guard">
          <controlPr defaultSize="0" disabled="1" autoLine="0" r:id="rId203">
            <anchor moveWithCells="1">
              <from>
                <xdr:col>6</xdr:col>
                <xdr:colOff>47625</xdr:colOff>
                <xdr:row>32</xdr:row>
                <xdr:rowOff>200025</xdr:rowOff>
              </from>
              <to>
                <xdr:col>8</xdr:col>
                <xdr:colOff>466725</xdr:colOff>
                <xdr:row>33</xdr:row>
                <xdr:rowOff>238125</xdr:rowOff>
              </to>
            </anchor>
          </controlPr>
        </control>
      </mc:Choice>
      <mc:Fallback>
        <control shapeId="96304" r:id="rId202" name="Q_PPH_Belt_Guard"/>
      </mc:Fallback>
    </mc:AlternateContent>
    <mc:AlternateContent xmlns:mc="http://schemas.openxmlformats.org/markup-compatibility/2006">
      <mc:Choice Requires="x14">
        <control shapeId="96303" r:id="rId204" name="Q_PPH_Automatic_Change_Over">
          <controlPr defaultSize="0" autoLine="0" r:id="rId205">
            <anchor moveWithCells="1">
              <from>
                <xdr:col>12</xdr:col>
                <xdr:colOff>47625</xdr:colOff>
                <xdr:row>8</xdr:row>
                <xdr:rowOff>142875</xdr:rowOff>
              </from>
              <to>
                <xdr:col>12</xdr:col>
                <xdr:colOff>2209800</xdr:colOff>
                <xdr:row>9</xdr:row>
                <xdr:rowOff>133350</xdr:rowOff>
              </to>
            </anchor>
          </controlPr>
        </control>
      </mc:Choice>
      <mc:Fallback>
        <control shapeId="96303" r:id="rId204" name="Q_PPH_Automatic_Change_Over"/>
      </mc:Fallback>
    </mc:AlternateContent>
    <mc:AlternateContent xmlns:mc="http://schemas.openxmlformats.org/markup-compatibility/2006">
      <mc:Choice Requires="x14">
        <control shapeId="96301" r:id="rId206" name="Q_PPH_Name_PSS">
          <controlPr defaultSize="0" autoLine="0" r:id="rId207">
            <anchor moveWithCells="1">
              <from>
                <xdr:col>6</xdr:col>
                <xdr:colOff>57150</xdr:colOff>
                <xdr:row>13</xdr:row>
                <xdr:rowOff>152400</xdr:rowOff>
              </from>
              <to>
                <xdr:col>8</xdr:col>
                <xdr:colOff>1038225</xdr:colOff>
                <xdr:row>14</xdr:row>
                <xdr:rowOff>152400</xdr:rowOff>
              </to>
            </anchor>
          </controlPr>
        </control>
      </mc:Choice>
      <mc:Fallback>
        <control shapeId="96301" r:id="rId206" name="Q_PPH_Name_PSS"/>
      </mc:Fallback>
    </mc:AlternateContent>
    <mc:AlternateContent xmlns:mc="http://schemas.openxmlformats.org/markup-compatibility/2006">
      <mc:Choice Requires="x14">
        <control shapeId="96300" r:id="rId208" name="Q_PPH_Diff_Pressure">
          <controlPr defaultSize="0" disabled="1" autoLine="0" r:id="rId209">
            <anchor moveWithCells="1">
              <from>
                <xdr:col>6</xdr:col>
                <xdr:colOff>38100</xdr:colOff>
                <xdr:row>22</xdr:row>
                <xdr:rowOff>0</xdr:rowOff>
              </from>
              <to>
                <xdr:col>8</xdr:col>
                <xdr:colOff>1200150</xdr:colOff>
                <xdr:row>23</xdr:row>
                <xdr:rowOff>28575</xdr:rowOff>
              </to>
            </anchor>
          </controlPr>
        </control>
      </mc:Choice>
      <mc:Fallback>
        <control shapeId="96300" r:id="rId208" name="Q_PPH_Diff_Pressure"/>
      </mc:Fallback>
    </mc:AlternateContent>
    <mc:AlternateContent xmlns:mc="http://schemas.openxmlformats.org/markup-compatibility/2006">
      <mc:Choice Requires="x14">
        <control shapeId="96299" r:id="rId210" name="Q_PPH_Manometer">
          <controlPr defaultSize="0" disabled="1" autoLine="0" r:id="rId211">
            <anchor moveWithCells="1">
              <from>
                <xdr:col>6</xdr:col>
                <xdr:colOff>38100</xdr:colOff>
                <xdr:row>22</xdr:row>
                <xdr:rowOff>209550</xdr:rowOff>
              </from>
              <to>
                <xdr:col>8</xdr:col>
                <xdr:colOff>1038225</xdr:colOff>
                <xdr:row>24</xdr:row>
                <xdr:rowOff>0</xdr:rowOff>
              </to>
            </anchor>
          </controlPr>
        </control>
      </mc:Choice>
      <mc:Fallback>
        <control shapeId="96299" r:id="rId210" name="Q_PPH_Manometer"/>
      </mc:Fallback>
    </mc:AlternateContent>
    <mc:AlternateContent xmlns:mc="http://schemas.openxmlformats.org/markup-compatibility/2006">
      <mc:Choice Requires="x14">
        <control shapeId="96298" r:id="rId212" name="Q_PPH_Liquid_reciver">
          <controlPr defaultSize="0" autoLine="0" r:id="rId213">
            <anchor moveWithCells="1">
              <from>
                <xdr:col>3</xdr:col>
                <xdr:colOff>114300</xdr:colOff>
                <xdr:row>28</xdr:row>
                <xdr:rowOff>200025</xdr:rowOff>
              </from>
              <to>
                <xdr:col>5</xdr:col>
                <xdr:colOff>466725</xdr:colOff>
                <xdr:row>29</xdr:row>
                <xdr:rowOff>180975</xdr:rowOff>
              </to>
            </anchor>
          </controlPr>
        </control>
      </mc:Choice>
      <mc:Fallback>
        <control shapeId="96298" r:id="rId212" name="Q_PPH_Liquid_reciver"/>
      </mc:Fallback>
    </mc:AlternateContent>
    <mc:AlternateContent xmlns:mc="http://schemas.openxmlformats.org/markup-compatibility/2006">
      <mc:Choice Requires="x14">
        <control shapeId="96297" r:id="rId214" name="Q_PPH_Lubricant_line">
          <controlPr defaultSize="0" disabled="1" autoLine="0" r:id="rId215">
            <anchor moveWithCells="1">
              <from>
                <xdr:col>6</xdr:col>
                <xdr:colOff>38100</xdr:colOff>
                <xdr:row>32</xdr:row>
                <xdr:rowOff>0</xdr:rowOff>
              </from>
              <to>
                <xdr:col>8</xdr:col>
                <xdr:colOff>1390650</xdr:colOff>
                <xdr:row>33</xdr:row>
                <xdr:rowOff>47625</xdr:rowOff>
              </to>
            </anchor>
          </controlPr>
        </control>
      </mc:Choice>
      <mc:Fallback>
        <control shapeId="96297" r:id="rId214" name="Q_PPH_Lubricant_line"/>
      </mc:Fallback>
    </mc:AlternateContent>
    <mc:AlternateContent xmlns:mc="http://schemas.openxmlformats.org/markup-compatibility/2006">
      <mc:Choice Requires="x14">
        <control shapeId="96295" r:id="rId216" name="Q_PPH_ADV_Controller">
          <controlPr defaultSize="0" autoLine="0" r:id="rId217">
            <anchor moveWithCells="1">
              <from>
                <xdr:col>12</xdr:col>
                <xdr:colOff>47625</xdr:colOff>
                <xdr:row>5</xdr:row>
                <xdr:rowOff>180975</xdr:rowOff>
              </from>
              <to>
                <xdr:col>12</xdr:col>
                <xdr:colOff>1514475</xdr:colOff>
                <xdr:row>6</xdr:row>
                <xdr:rowOff>219075</xdr:rowOff>
              </to>
            </anchor>
          </controlPr>
        </control>
      </mc:Choice>
      <mc:Fallback>
        <control shapeId="96295" r:id="rId216" name="Q_PPH_ADV_Controller"/>
      </mc:Fallback>
    </mc:AlternateContent>
    <mc:AlternateContent xmlns:mc="http://schemas.openxmlformats.org/markup-compatibility/2006">
      <mc:Choice Requires="x14">
        <control shapeId="96294" r:id="rId218" name="Q_PPH_Fire_Alarm">
          <controlPr defaultSize="0" disabled="1" autoLine="0" autoPict="0" r:id="rId219">
            <anchor moveWithCells="1">
              <from>
                <xdr:col>12</xdr:col>
                <xdr:colOff>47625</xdr:colOff>
                <xdr:row>21</xdr:row>
                <xdr:rowOff>257175</xdr:rowOff>
              </from>
              <to>
                <xdr:col>12</xdr:col>
                <xdr:colOff>990600</xdr:colOff>
                <xdr:row>23</xdr:row>
                <xdr:rowOff>57150</xdr:rowOff>
              </to>
            </anchor>
          </controlPr>
        </control>
      </mc:Choice>
      <mc:Fallback>
        <control shapeId="96294" r:id="rId218" name="Q_PPH_Fire_Alarm"/>
      </mc:Fallback>
    </mc:AlternateContent>
    <mc:AlternateContent xmlns:mc="http://schemas.openxmlformats.org/markup-compatibility/2006">
      <mc:Choice Requires="x14">
        <control shapeId="96293" r:id="rId220" name="Q_PPH_Free_Terminal">
          <controlPr defaultSize="0" autoLine="0" autoPict="0" r:id="rId221">
            <anchor moveWithCells="1">
              <from>
                <xdr:col>12</xdr:col>
                <xdr:colOff>28575</xdr:colOff>
                <xdr:row>25</xdr:row>
                <xdr:rowOff>76200</xdr:rowOff>
              </from>
              <to>
                <xdr:col>12</xdr:col>
                <xdr:colOff>1295400</xdr:colOff>
                <xdr:row>26</xdr:row>
                <xdr:rowOff>114300</xdr:rowOff>
              </to>
            </anchor>
          </controlPr>
        </control>
      </mc:Choice>
      <mc:Fallback>
        <control shapeId="96293" r:id="rId220" name="Q_PPH_Free_Terminal"/>
      </mc:Fallback>
    </mc:AlternateContent>
    <mc:AlternateContent xmlns:mc="http://schemas.openxmlformats.org/markup-compatibility/2006">
      <mc:Choice Requires="x14">
        <control shapeId="96292" r:id="rId222" name="Q_PPH_DS_2">
          <controlPr defaultSize="0" disabled="1" autoLine="0" r:id="rId223">
            <anchor moveWithCells="1">
              <from>
                <xdr:col>6</xdr:col>
                <xdr:colOff>57150</xdr:colOff>
                <xdr:row>7</xdr:row>
                <xdr:rowOff>219075</xdr:rowOff>
              </from>
              <to>
                <xdr:col>8</xdr:col>
                <xdr:colOff>933450</xdr:colOff>
                <xdr:row>8</xdr:row>
                <xdr:rowOff>219075</xdr:rowOff>
              </to>
            </anchor>
          </controlPr>
        </control>
      </mc:Choice>
      <mc:Fallback>
        <control shapeId="96292" r:id="rId222" name="Q_PPH_DS_2"/>
      </mc:Fallback>
    </mc:AlternateContent>
    <mc:AlternateContent xmlns:mc="http://schemas.openxmlformats.org/markup-compatibility/2006">
      <mc:Choice Requires="x14">
        <control shapeId="96291" r:id="rId224" name="Q_PPH_EOL_EFM">
          <controlPr defaultSize="0" disabled="1" autoLine="0" r:id="rId225">
            <anchor moveWithCells="1">
              <from>
                <xdr:col>3</xdr:col>
                <xdr:colOff>285750</xdr:colOff>
                <xdr:row>71</xdr:row>
                <xdr:rowOff>95250</xdr:rowOff>
              </from>
              <to>
                <xdr:col>5</xdr:col>
                <xdr:colOff>647700</xdr:colOff>
                <xdr:row>72</xdr:row>
                <xdr:rowOff>152400</xdr:rowOff>
              </to>
            </anchor>
          </controlPr>
        </control>
      </mc:Choice>
      <mc:Fallback>
        <control shapeId="96291" r:id="rId224" name="Q_PPH_EOL_EFM"/>
      </mc:Fallback>
    </mc:AlternateContent>
    <mc:AlternateContent xmlns:mc="http://schemas.openxmlformats.org/markup-compatibility/2006">
      <mc:Choice Requires="x14">
        <control shapeId="96290" r:id="rId226" name="Q_PPH_CM_EFM">
          <controlPr defaultSize="0" disabled="1" autoLine="0" r:id="rId227">
            <anchor moveWithCells="1">
              <from>
                <xdr:col>3</xdr:col>
                <xdr:colOff>285750</xdr:colOff>
                <xdr:row>68</xdr:row>
                <xdr:rowOff>142875</xdr:rowOff>
              </from>
              <to>
                <xdr:col>5</xdr:col>
                <xdr:colOff>457200</xdr:colOff>
                <xdr:row>69</xdr:row>
                <xdr:rowOff>200025</xdr:rowOff>
              </to>
            </anchor>
          </controlPr>
        </control>
      </mc:Choice>
      <mc:Fallback>
        <control shapeId="96290" r:id="rId226" name="Q_PPH_CM_EFM"/>
      </mc:Fallback>
    </mc:AlternateContent>
    <mc:AlternateContent xmlns:mc="http://schemas.openxmlformats.org/markup-compatibility/2006">
      <mc:Choice Requires="x14">
        <control shapeId="96288" r:id="rId228" name="Quick_PPH_Pricing">
          <controlPr defaultSize="0" autoFill="0" autoLine="0" r:id="rId229">
            <anchor moveWithCells="1">
              <from>
                <xdr:col>12</xdr:col>
                <xdr:colOff>1714500</xdr:colOff>
                <xdr:row>0</xdr:row>
                <xdr:rowOff>114300</xdr:rowOff>
              </from>
              <to>
                <xdr:col>12</xdr:col>
                <xdr:colOff>2381250</xdr:colOff>
                <xdr:row>2</xdr:row>
                <xdr:rowOff>180975</xdr:rowOff>
              </to>
            </anchor>
          </controlPr>
        </control>
      </mc:Choice>
      <mc:Fallback>
        <control shapeId="96288" r:id="rId228" name="Quick_PPH_Pricing"/>
      </mc:Fallback>
    </mc:AlternateContent>
    <mc:AlternateContent xmlns:mc="http://schemas.openxmlformats.org/markup-compatibility/2006">
      <mc:Choice Requires="x14">
        <control shapeId="96287" r:id="rId230" name="Q_PPH_Cond_coating">
          <controlPr defaultSize="0" disabled="1" autoLine="0" autoPict="0" r:id="rId231">
            <anchor moveWithCells="1">
              <from>
                <xdr:col>3</xdr:col>
                <xdr:colOff>38100</xdr:colOff>
                <xdr:row>46</xdr:row>
                <xdr:rowOff>142875</xdr:rowOff>
              </from>
              <to>
                <xdr:col>5</xdr:col>
                <xdr:colOff>1371600</xdr:colOff>
                <xdr:row>47</xdr:row>
                <xdr:rowOff>171450</xdr:rowOff>
              </to>
            </anchor>
          </controlPr>
        </control>
      </mc:Choice>
      <mc:Fallback>
        <control shapeId="96287" r:id="rId230" name="Q_PPH_Cond_coating"/>
      </mc:Fallback>
    </mc:AlternateContent>
    <mc:AlternateContent xmlns:mc="http://schemas.openxmlformats.org/markup-compatibility/2006">
      <mc:Choice Requires="x14">
        <control shapeId="96286" r:id="rId232" name="Q_PPH_MCB">
          <controlPr defaultSize="0" autoLine="0" r:id="rId233">
            <anchor moveWithCells="1">
              <from>
                <xdr:col>9</xdr:col>
                <xdr:colOff>76200</xdr:colOff>
                <xdr:row>6</xdr:row>
                <xdr:rowOff>47625</xdr:rowOff>
              </from>
              <to>
                <xdr:col>10</xdr:col>
                <xdr:colOff>1333500</xdr:colOff>
                <xdr:row>7</xdr:row>
                <xdr:rowOff>85725</xdr:rowOff>
              </to>
            </anchor>
          </controlPr>
        </control>
      </mc:Choice>
      <mc:Fallback>
        <control shapeId="96286" r:id="rId232" name="Q_PPH_MCB"/>
      </mc:Fallback>
    </mc:AlternateContent>
    <mc:AlternateContent xmlns:mc="http://schemas.openxmlformats.org/markup-compatibility/2006">
      <mc:Choice Requires="x14">
        <control shapeId="96285" r:id="rId234" name="Q_PPH_Replaceble_filter">
          <controlPr defaultSize="0" autoLine="0" r:id="rId235">
            <anchor moveWithCells="1">
              <from>
                <xdr:col>3</xdr:col>
                <xdr:colOff>123825</xdr:colOff>
                <xdr:row>23</xdr:row>
                <xdr:rowOff>104775</xdr:rowOff>
              </from>
              <to>
                <xdr:col>5</xdr:col>
                <xdr:colOff>1190625</xdr:colOff>
                <xdr:row>24</xdr:row>
                <xdr:rowOff>142875</xdr:rowOff>
              </to>
            </anchor>
          </controlPr>
        </control>
      </mc:Choice>
      <mc:Fallback>
        <control shapeId="96285" r:id="rId234" name="Q_PPH_Replaceble_filter"/>
      </mc:Fallback>
    </mc:AlternateContent>
    <mc:AlternateContent xmlns:mc="http://schemas.openxmlformats.org/markup-compatibility/2006">
      <mc:Choice Requires="x14">
        <control shapeId="96284" r:id="rId236" name="Q_PPH_MDS">
          <controlPr defaultSize="0" autoLine="0" autoPict="0" r:id="rId237">
            <anchor moveWithCells="1">
              <from>
                <xdr:col>9</xdr:col>
                <xdr:colOff>76200</xdr:colOff>
                <xdr:row>5</xdr:row>
                <xdr:rowOff>28575</xdr:rowOff>
              </from>
              <to>
                <xdr:col>11</xdr:col>
                <xdr:colOff>323850</xdr:colOff>
                <xdr:row>6</xdr:row>
                <xdr:rowOff>57150</xdr:rowOff>
              </to>
            </anchor>
          </controlPr>
        </control>
      </mc:Choice>
      <mc:Fallback>
        <control shapeId="96284" r:id="rId236" name="Q_PPH_MDS"/>
      </mc:Fallback>
    </mc:AlternateContent>
    <mc:AlternateContent xmlns:mc="http://schemas.openxmlformats.org/markup-compatibility/2006">
      <mc:Choice Requires="x14">
        <control shapeId="96283" r:id="rId238" name="Q_PPh_HGBP">
          <controlPr defaultSize="0" autoLine="0" r:id="rId239">
            <anchor moveWithCells="1">
              <from>
                <xdr:col>3</xdr:col>
                <xdr:colOff>104775</xdr:colOff>
                <xdr:row>27</xdr:row>
                <xdr:rowOff>9525</xdr:rowOff>
              </from>
              <to>
                <xdr:col>5</xdr:col>
                <xdr:colOff>1371600</xdr:colOff>
                <xdr:row>28</xdr:row>
                <xdr:rowOff>76200</xdr:rowOff>
              </to>
            </anchor>
          </controlPr>
        </control>
      </mc:Choice>
      <mc:Fallback>
        <control shapeId="96283" r:id="rId238" name="Q_PPh_HGBP"/>
      </mc:Fallback>
    </mc:AlternateContent>
    <mc:AlternateContent xmlns:mc="http://schemas.openxmlformats.org/markup-compatibility/2006">
      <mc:Choice Requires="x14">
        <control shapeId="96282" r:id="rId240" name="Q_PPH_EOL_CFM">
          <controlPr defaultSize="0" disabled="1" autoLine="0" r:id="rId241">
            <anchor moveWithCells="1">
              <from>
                <xdr:col>3</xdr:col>
                <xdr:colOff>295275</xdr:colOff>
                <xdr:row>70</xdr:row>
                <xdr:rowOff>76200</xdr:rowOff>
              </from>
              <to>
                <xdr:col>5</xdr:col>
                <xdr:colOff>9525</xdr:colOff>
                <xdr:row>71</xdr:row>
                <xdr:rowOff>133350</xdr:rowOff>
              </to>
            </anchor>
          </controlPr>
        </control>
      </mc:Choice>
      <mc:Fallback>
        <control shapeId="96282" r:id="rId240" name="Q_PPH_EOL_CFM"/>
      </mc:Fallback>
    </mc:AlternateContent>
    <mc:AlternateContent xmlns:mc="http://schemas.openxmlformats.org/markup-compatibility/2006">
      <mc:Choice Requires="x14">
        <control shapeId="96281" r:id="rId242" name="Q_PPH_CB_CFM">
          <controlPr defaultSize="0" disabled="1" autoLine="0" r:id="rId243">
            <anchor moveWithCells="1">
              <from>
                <xdr:col>3</xdr:col>
                <xdr:colOff>285750</xdr:colOff>
                <xdr:row>67</xdr:row>
                <xdr:rowOff>190500</xdr:rowOff>
              </from>
              <to>
                <xdr:col>4</xdr:col>
                <xdr:colOff>419100</xdr:colOff>
                <xdr:row>69</xdr:row>
                <xdr:rowOff>28575</xdr:rowOff>
              </to>
            </anchor>
          </controlPr>
        </control>
      </mc:Choice>
      <mc:Fallback>
        <control shapeId="96281" r:id="rId242" name="Q_PPH_CB_CFM"/>
      </mc:Fallback>
    </mc:AlternateContent>
    <mc:AlternateContent xmlns:mc="http://schemas.openxmlformats.org/markup-compatibility/2006">
      <mc:Choice Requires="x14">
        <control shapeId="96280" r:id="rId244" name="Q_PPH_HLPG">
          <controlPr defaultSize="0" autoLine="0" r:id="rId245">
            <anchor moveWithCells="1">
              <from>
                <xdr:col>3</xdr:col>
                <xdr:colOff>104775</xdr:colOff>
                <xdr:row>21</xdr:row>
                <xdr:rowOff>228600</xdr:rowOff>
              </from>
              <to>
                <xdr:col>5</xdr:col>
                <xdr:colOff>1419225</xdr:colOff>
                <xdr:row>22</xdr:row>
                <xdr:rowOff>190500</xdr:rowOff>
              </to>
            </anchor>
          </controlPr>
        </control>
      </mc:Choice>
      <mc:Fallback>
        <control shapeId="96280" r:id="rId244" name="Q_PPH_HLPG"/>
      </mc:Fallback>
    </mc:AlternateContent>
    <mc:AlternateContent xmlns:mc="http://schemas.openxmlformats.org/markup-compatibility/2006">
      <mc:Choice Requires="x14">
        <control shapeId="96279" r:id="rId246" name="Q_PPH_DS_1">
          <controlPr defaultSize="0" disabled="1" autoLine="0" r:id="rId247">
            <anchor moveWithCells="1">
              <from>
                <xdr:col>6</xdr:col>
                <xdr:colOff>57150</xdr:colOff>
                <xdr:row>6</xdr:row>
                <xdr:rowOff>219075</xdr:rowOff>
              </from>
              <to>
                <xdr:col>8</xdr:col>
                <xdr:colOff>1123950</xdr:colOff>
                <xdr:row>7</xdr:row>
                <xdr:rowOff>209550</xdr:rowOff>
              </to>
            </anchor>
          </controlPr>
        </control>
      </mc:Choice>
      <mc:Fallback>
        <control shapeId="96279" r:id="rId246" name="Q_PPH_DS_1"/>
      </mc:Fallback>
    </mc:AlternateContent>
    <mc:AlternateContent xmlns:mc="http://schemas.openxmlformats.org/markup-compatibility/2006">
      <mc:Choice Requires="x14">
        <control shapeId="96278" r:id="rId248" name="Q_PPH_Fully_Fresh">
          <controlPr defaultSize="0" autoLine="0" autoPict="0" r:id="rId249">
            <anchor moveWithCells="1">
              <from>
                <xdr:col>3</xdr:col>
                <xdr:colOff>104775</xdr:colOff>
                <xdr:row>21</xdr:row>
                <xdr:rowOff>0</xdr:rowOff>
              </from>
              <to>
                <xdr:col>5</xdr:col>
                <xdr:colOff>1371600</xdr:colOff>
                <xdr:row>21</xdr:row>
                <xdr:rowOff>276225</xdr:rowOff>
              </to>
            </anchor>
          </controlPr>
        </control>
      </mc:Choice>
      <mc:Fallback>
        <control shapeId="96278" r:id="rId248" name="Q_PPH_Fully_Fresh"/>
      </mc:Fallback>
    </mc:AlternateContent>
    <mc:AlternateContent xmlns:mc="http://schemas.openxmlformats.org/markup-compatibility/2006">
      <mc:Choice Requires="x14">
        <control shapeId="96277" r:id="rId250" name="Q_PPh_CB_Comp">
          <controlPr defaultSize="0" disabled="1" autoLine="0" r:id="rId251">
            <anchor moveWithCells="1">
              <from>
                <xdr:col>3</xdr:col>
                <xdr:colOff>295275</xdr:colOff>
                <xdr:row>67</xdr:row>
                <xdr:rowOff>0</xdr:rowOff>
              </from>
              <to>
                <xdr:col>5</xdr:col>
                <xdr:colOff>590550</xdr:colOff>
                <xdr:row>68</xdr:row>
                <xdr:rowOff>47625</xdr:rowOff>
              </to>
            </anchor>
          </controlPr>
        </control>
      </mc:Choice>
      <mc:Fallback>
        <control shapeId="96277" r:id="rId250" name="Q_PPh_CB_Comp"/>
      </mc:Fallback>
    </mc:AlternateContent>
    <mc:AlternateContent xmlns:mc="http://schemas.openxmlformats.org/markup-compatibility/2006">
      <mc:Choice Requires="x14">
        <control shapeId="96276" r:id="rId252" name="Q_PPH_HPR">
          <controlPr defaultSize="0" autoLine="0" r:id="rId253">
            <anchor moveWithCells="1">
              <from>
                <xdr:col>3</xdr:col>
                <xdr:colOff>95250</xdr:colOff>
                <xdr:row>26</xdr:row>
                <xdr:rowOff>19050</xdr:rowOff>
              </from>
              <to>
                <xdr:col>5</xdr:col>
                <xdr:colOff>885825</xdr:colOff>
                <xdr:row>27</xdr:row>
                <xdr:rowOff>85725</xdr:rowOff>
              </to>
            </anchor>
          </controlPr>
        </control>
      </mc:Choice>
      <mc:Fallback>
        <control shapeId="96276" r:id="rId252" name="Q_PPH_HPR"/>
      </mc:Fallback>
    </mc:AlternateContent>
    <mc:AlternateContent xmlns:mc="http://schemas.openxmlformats.org/markup-compatibility/2006">
      <mc:Choice Requires="x14">
        <control shapeId="96275" r:id="rId254" name="Q_PPH_AFS">
          <controlPr defaultSize="0" disabled="1" autoLine="0" r:id="rId255">
            <anchor moveWithCells="1">
              <from>
                <xdr:col>12</xdr:col>
                <xdr:colOff>19050</xdr:colOff>
                <xdr:row>30</xdr:row>
                <xdr:rowOff>123825</xdr:rowOff>
              </from>
              <to>
                <xdr:col>12</xdr:col>
                <xdr:colOff>1428750</xdr:colOff>
                <xdr:row>31</xdr:row>
                <xdr:rowOff>161925</xdr:rowOff>
              </to>
            </anchor>
          </controlPr>
        </control>
      </mc:Choice>
      <mc:Fallback>
        <control shapeId="96275" r:id="rId254" name="Q_PPH_AFS"/>
      </mc:Fallback>
    </mc:AlternateContent>
    <mc:AlternateContent xmlns:mc="http://schemas.openxmlformats.org/markup-compatibility/2006">
      <mc:Choice Requires="x14">
        <control shapeId="96274" r:id="rId256" name="Q_PPH_PFS">
          <controlPr defaultSize="0" autoLine="0" r:id="rId257">
            <anchor moveWithCells="1">
              <from>
                <xdr:col>12</xdr:col>
                <xdr:colOff>19050</xdr:colOff>
                <xdr:row>29</xdr:row>
                <xdr:rowOff>133350</xdr:rowOff>
              </from>
              <to>
                <xdr:col>12</xdr:col>
                <xdr:colOff>1438275</xdr:colOff>
                <xdr:row>30</xdr:row>
                <xdr:rowOff>180975</xdr:rowOff>
              </to>
            </anchor>
          </controlPr>
        </control>
      </mc:Choice>
      <mc:Fallback>
        <control shapeId="96274" r:id="rId256" name="Q_PPH_PFS"/>
      </mc:Fallback>
    </mc:AlternateContent>
    <mc:AlternateContent xmlns:mc="http://schemas.openxmlformats.org/markup-compatibility/2006">
      <mc:Choice Requires="x14">
        <control shapeId="96273" r:id="rId258" name="Q_PPH_EOL_Comp">
          <controlPr defaultSize="0" disabled="1" autoLine="0" r:id="rId259">
            <anchor moveWithCells="1">
              <from>
                <xdr:col>3</xdr:col>
                <xdr:colOff>285750</xdr:colOff>
                <xdr:row>69</xdr:row>
                <xdr:rowOff>114300</xdr:rowOff>
              </from>
              <to>
                <xdr:col>5</xdr:col>
                <xdr:colOff>381000</xdr:colOff>
                <xdr:row>70</xdr:row>
                <xdr:rowOff>161925</xdr:rowOff>
              </to>
            </anchor>
          </controlPr>
        </control>
      </mc:Choice>
      <mc:Fallback>
        <control shapeId="96273" r:id="rId258" name="Q_PPH_EOL_Comp"/>
      </mc:Fallback>
    </mc:AlternateContent>
    <mc:AlternateContent xmlns:mc="http://schemas.openxmlformats.org/markup-compatibility/2006">
      <mc:Choice Requires="x14">
        <control shapeId="96272" r:id="rId260" name="Q_PPH_Wire_Mesh">
          <controlPr defaultSize="0" disabled="1" autoLine="0" r:id="rId261">
            <anchor moveWithCells="1">
              <from>
                <xdr:col>6</xdr:col>
                <xdr:colOff>66675</xdr:colOff>
                <xdr:row>5</xdr:row>
                <xdr:rowOff>0</xdr:rowOff>
              </from>
              <to>
                <xdr:col>8</xdr:col>
                <xdr:colOff>1257300</xdr:colOff>
                <xdr:row>6</xdr:row>
                <xdr:rowOff>19050</xdr:rowOff>
              </to>
            </anchor>
          </controlPr>
        </control>
      </mc:Choice>
      <mc:Fallback>
        <control shapeId="96272" r:id="rId260" name="Q_PPH_Wire_Mesh"/>
      </mc:Fallback>
    </mc:AlternateContent>
    <mc:AlternateContent xmlns:mc="http://schemas.openxmlformats.org/markup-compatibility/2006">
      <mc:Choice Requires="x14">
        <control shapeId="96271" r:id="rId262" name="Q_PPH_Suction_Valve">
          <controlPr defaultSize="0" autoLine="0" r:id="rId263">
            <anchor moveWithCells="1">
              <from>
                <xdr:col>3</xdr:col>
                <xdr:colOff>95250</xdr:colOff>
                <xdr:row>24</xdr:row>
                <xdr:rowOff>66675</xdr:rowOff>
              </from>
              <to>
                <xdr:col>5</xdr:col>
                <xdr:colOff>581025</xdr:colOff>
                <xdr:row>25</xdr:row>
                <xdr:rowOff>104775</xdr:rowOff>
              </to>
            </anchor>
          </controlPr>
        </control>
      </mc:Choice>
      <mc:Fallback>
        <control shapeId="96271" r:id="rId262" name="Q_PPH_Suction_Valve"/>
      </mc:Fallback>
    </mc:AlternateContent>
    <mc:AlternateContent xmlns:mc="http://schemas.openxmlformats.org/markup-compatibility/2006">
      <mc:Choice Requires="x14">
        <control shapeId="96270" r:id="rId264" name="Q_PPH_CU_Pre_Coating">
          <controlPr defaultSize="0" autoLine="0" r:id="rId265">
            <anchor moveWithCells="1">
              <from>
                <xdr:col>3</xdr:col>
                <xdr:colOff>47625</xdr:colOff>
                <xdr:row>44</xdr:row>
                <xdr:rowOff>209550</xdr:rowOff>
              </from>
              <to>
                <xdr:col>5</xdr:col>
                <xdr:colOff>1447800</xdr:colOff>
                <xdr:row>45</xdr:row>
                <xdr:rowOff>152400</xdr:rowOff>
              </to>
            </anchor>
          </controlPr>
        </control>
      </mc:Choice>
      <mc:Fallback>
        <control shapeId="96270" r:id="rId264" name="Q_PPH_CU_Pre_Coating"/>
      </mc:Fallback>
    </mc:AlternateContent>
    <mc:AlternateContent xmlns:mc="http://schemas.openxmlformats.org/markup-compatibility/2006">
      <mc:Choice Requires="x14">
        <control shapeId="96269" r:id="rId266" name="Q_PPH_CU_AL">
          <controlPr defaultSize="0" autoLine="0" r:id="rId267">
            <anchor moveWithCells="1">
              <from>
                <xdr:col>3</xdr:col>
                <xdr:colOff>47625</xdr:colOff>
                <xdr:row>43</xdr:row>
                <xdr:rowOff>19050</xdr:rowOff>
              </from>
              <to>
                <xdr:col>5</xdr:col>
                <xdr:colOff>1266825</xdr:colOff>
                <xdr:row>44</xdr:row>
                <xdr:rowOff>19050</xdr:rowOff>
              </to>
            </anchor>
          </controlPr>
        </control>
      </mc:Choice>
      <mc:Fallback>
        <control shapeId="96269" r:id="rId266" name="Q_PPH_CU_AL"/>
      </mc:Fallback>
    </mc:AlternateContent>
    <mc:AlternateContent xmlns:mc="http://schemas.openxmlformats.org/markup-compatibility/2006">
      <mc:Choice Requires="x14">
        <control shapeId="96268" r:id="rId268" name="Q_PPH_CU_CU">
          <controlPr defaultSize="0" autoLine="0" r:id="rId269">
            <anchor moveWithCells="1">
              <from>
                <xdr:col>3</xdr:col>
                <xdr:colOff>47625</xdr:colOff>
                <xdr:row>43</xdr:row>
                <xdr:rowOff>209550</xdr:rowOff>
              </from>
              <to>
                <xdr:col>5</xdr:col>
                <xdr:colOff>1390650</xdr:colOff>
                <xdr:row>44</xdr:row>
                <xdr:rowOff>247650</xdr:rowOff>
              </to>
            </anchor>
          </controlPr>
        </control>
      </mc:Choice>
      <mc:Fallback>
        <control shapeId="96268" r:id="rId268" name="Q_PPH_CU_CU"/>
      </mc:Fallback>
    </mc:AlternateContent>
    <mc:AlternateContent xmlns:mc="http://schemas.openxmlformats.org/markup-compatibility/2006">
      <mc:Choice Requires="x14">
        <control shapeId="96267" r:id="rId270" name="Q_PPH_Microchannel">
          <controlPr defaultSize="0" autoLine="0" r:id="rId271">
            <anchor moveWithCells="1">
              <from>
                <xdr:col>3</xdr:col>
                <xdr:colOff>57150</xdr:colOff>
                <xdr:row>42</xdr:row>
                <xdr:rowOff>19050</xdr:rowOff>
              </from>
              <to>
                <xdr:col>5</xdr:col>
                <xdr:colOff>1038225</xdr:colOff>
                <xdr:row>43</xdr:row>
                <xdr:rowOff>19050</xdr:rowOff>
              </to>
            </anchor>
          </controlPr>
        </control>
      </mc:Choice>
      <mc:Fallback>
        <control shapeId="96267" r:id="rId270" name="Q_PPH_Microchannel"/>
      </mc:Fallback>
    </mc:AlternateContent>
    <mc:AlternateContent xmlns:mc="http://schemas.openxmlformats.org/markup-compatibility/2006">
      <mc:Choice Requires="x14">
        <control shapeId="96266" r:id="rId272" name="SAOS_KSA">
          <controlPr defaultSize="0" autoLine="0" r:id="rId273">
            <anchor moveWithCells="1">
              <from>
                <xdr:col>3</xdr:col>
                <xdr:colOff>19050</xdr:colOff>
                <xdr:row>63</xdr:row>
                <xdr:rowOff>0</xdr:rowOff>
              </from>
              <to>
                <xdr:col>4</xdr:col>
                <xdr:colOff>133350</xdr:colOff>
                <xdr:row>64</xdr:row>
                <xdr:rowOff>38100</xdr:rowOff>
              </to>
            </anchor>
          </controlPr>
        </control>
      </mc:Choice>
      <mc:Fallback>
        <control shapeId="96266" r:id="rId272" name="SAOS_KSA"/>
      </mc:Fallback>
    </mc:AlternateContent>
    <mc:AlternateContent xmlns:mc="http://schemas.openxmlformats.org/markup-compatibility/2006">
      <mc:Choice Requires="x14">
        <control shapeId="96265" r:id="rId274" name="Q_PPH_SASO_JO">
          <controlPr defaultSize="0" disabled="1" autoLine="0" r:id="rId275">
            <anchor moveWithCells="1">
              <from>
                <xdr:col>3</xdr:col>
                <xdr:colOff>19050</xdr:colOff>
                <xdr:row>62</xdr:row>
                <xdr:rowOff>0</xdr:rowOff>
              </from>
              <to>
                <xdr:col>4</xdr:col>
                <xdr:colOff>171450</xdr:colOff>
                <xdr:row>63</xdr:row>
                <xdr:rowOff>38100</xdr:rowOff>
              </to>
            </anchor>
          </controlPr>
        </control>
      </mc:Choice>
      <mc:Fallback>
        <control shapeId="96265" r:id="rId274" name="Q_PPH_SASO_JO"/>
      </mc:Fallback>
    </mc:AlternateContent>
    <mc:AlternateContent xmlns:mc="http://schemas.openxmlformats.org/markup-compatibility/2006">
      <mc:Choice Requires="x14">
        <control shapeId="96264" r:id="rId276" name="Q_PPH_460">
          <controlPr defaultSize="0" disabled="1" autoLine="0" r:id="rId277">
            <anchor moveWithCells="1">
              <from>
                <xdr:col>4</xdr:col>
                <xdr:colOff>57150</xdr:colOff>
                <xdr:row>59</xdr:row>
                <xdr:rowOff>0</xdr:rowOff>
              </from>
              <to>
                <xdr:col>4</xdr:col>
                <xdr:colOff>600075</xdr:colOff>
                <xdr:row>60</xdr:row>
                <xdr:rowOff>38100</xdr:rowOff>
              </to>
            </anchor>
          </controlPr>
        </control>
      </mc:Choice>
      <mc:Fallback>
        <control shapeId="96264" r:id="rId276" name="Q_PPH_460"/>
      </mc:Fallback>
    </mc:AlternateContent>
    <mc:AlternateContent xmlns:mc="http://schemas.openxmlformats.org/markup-compatibility/2006">
      <mc:Choice Requires="x14">
        <control shapeId="96263" r:id="rId278" name="Q_PPH_380">
          <controlPr defaultSize="0" disabled="1" autoLine="0" r:id="rId279">
            <anchor moveWithCells="1">
              <from>
                <xdr:col>4</xdr:col>
                <xdr:colOff>38100</xdr:colOff>
                <xdr:row>58</xdr:row>
                <xdr:rowOff>0</xdr:rowOff>
              </from>
              <to>
                <xdr:col>4</xdr:col>
                <xdr:colOff>581025</xdr:colOff>
                <xdr:row>59</xdr:row>
                <xdr:rowOff>38100</xdr:rowOff>
              </to>
            </anchor>
          </controlPr>
        </control>
      </mc:Choice>
      <mc:Fallback>
        <control shapeId="96263" r:id="rId278" name="Q_PPH_380"/>
      </mc:Fallback>
    </mc:AlternateContent>
    <mc:AlternateContent xmlns:mc="http://schemas.openxmlformats.org/markup-compatibility/2006">
      <mc:Choice Requires="x14">
        <control shapeId="96262" r:id="rId280" name="Q_PPH_220">
          <controlPr defaultSize="0" disabled="1" autoLine="0" r:id="rId281">
            <anchor moveWithCells="1">
              <from>
                <xdr:col>4</xdr:col>
                <xdr:colOff>57150</xdr:colOff>
                <xdr:row>57</xdr:row>
                <xdr:rowOff>0</xdr:rowOff>
              </from>
              <to>
                <xdr:col>4</xdr:col>
                <xdr:colOff>600075</xdr:colOff>
                <xdr:row>58</xdr:row>
                <xdr:rowOff>38100</xdr:rowOff>
              </to>
            </anchor>
          </controlPr>
        </control>
      </mc:Choice>
      <mc:Fallback>
        <control shapeId="96262" r:id="rId280" name="Q_PPH_220"/>
      </mc:Fallback>
    </mc:AlternateContent>
    <mc:AlternateContent xmlns:mc="http://schemas.openxmlformats.org/markup-compatibility/2006">
      <mc:Choice Requires="x14">
        <control shapeId="96261" r:id="rId282" name="Q_PPH_50Hz">
          <controlPr defaultSize="0" disabled="1" autoLine="0" r:id="rId283">
            <anchor moveWithCells="1">
              <from>
                <xdr:col>3</xdr:col>
                <xdr:colOff>28575</xdr:colOff>
                <xdr:row>58</xdr:row>
                <xdr:rowOff>0</xdr:rowOff>
              </from>
              <to>
                <xdr:col>3</xdr:col>
                <xdr:colOff>571500</xdr:colOff>
                <xdr:row>59</xdr:row>
                <xdr:rowOff>38100</xdr:rowOff>
              </to>
            </anchor>
          </controlPr>
        </control>
      </mc:Choice>
      <mc:Fallback>
        <control shapeId="96261" r:id="rId282" name="Q_PPH_50Hz"/>
      </mc:Fallback>
    </mc:AlternateContent>
    <mc:AlternateContent xmlns:mc="http://schemas.openxmlformats.org/markup-compatibility/2006">
      <mc:Choice Requires="x14">
        <control shapeId="96260" r:id="rId284" name="Q_PPH_60Hz">
          <controlPr defaultSize="0" disabled="1" autoLine="0" r:id="rId285">
            <anchor moveWithCells="1">
              <from>
                <xdr:col>3</xdr:col>
                <xdr:colOff>28575</xdr:colOff>
                <xdr:row>57</xdr:row>
                <xdr:rowOff>0</xdr:rowOff>
              </from>
              <to>
                <xdr:col>3</xdr:col>
                <xdr:colOff>571500</xdr:colOff>
                <xdr:row>58</xdr:row>
                <xdr:rowOff>38100</xdr:rowOff>
              </to>
            </anchor>
          </controlPr>
        </control>
      </mc:Choice>
      <mc:Fallback>
        <control shapeId="96260" r:id="rId284" name="Q_PPH_60Hz"/>
      </mc:Fallback>
    </mc:AlternateContent>
    <mc:AlternateContent xmlns:mc="http://schemas.openxmlformats.org/markup-compatibility/2006">
      <mc:Choice Requires="x14">
        <control shapeId="96259" r:id="rId286" name="Q_PPH_R407C">
          <controlPr defaultSize="0" disabled="1" autoLine="0" r:id="rId287">
            <anchor moveWithCells="1">
              <from>
                <xdr:col>0</xdr:col>
                <xdr:colOff>0</xdr:colOff>
                <xdr:row>54</xdr:row>
                <xdr:rowOff>0</xdr:rowOff>
              </from>
              <to>
                <xdr:col>4</xdr:col>
                <xdr:colOff>66675</xdr:colOff>
                <xdr:row>55</xdr:row>
                <xdr:rowOff>38100</xdr:rowOff>
              </to>
            </anchor>
          </controlPr>
        </control>
      </mc:Choice>
      <mc:Fallback>
        <control shapeId="96259" r:id="rId286" name="Q_PPH_R407C"/>
      </mc:Fallback>
    </mc:AlternateContent>
    <mc:AlternateContent xmlns:mc="http://schemas.openxmlformats.org/markup-compatibility/2006">
      <mc:Choice Requires="x14">
        <control shapeId="96258" r:id="rId288" name="Q_PPH_R410A">
          <controlPr defaultSize="0" autoLine="0" r:id="rId289">
            <anchor moveWithCells="1">
              <from>
                <xdr:col>0</xdr:col>
                <xdr:colOff>0</xdr:colOff>
                <xdr:row>55</xdr:row>
                <xdr:rowOff>0</xdr:rowOff>
              </from>
              <to>
                <xdr:col>4</xdr:col>
                <xdr:colOff>66675</xdr:colOff>
                <xdr:row>56</xdr:row>
                <xdr:rowOff>38100</xdr:rowOff>
              </to>
            </anchor>
          </controlPr>
        </control>
      </mc:Choice>
      <mc:Fallback>
        <control shapeId="96258" r:id="rId288" name="Q_PPH_R410A"/>
      </mc:Fallback>
    </mc:AlternateContent>
    <mc:AlternateContent xmlns:mc="http://schemas.openxmlformats.org/markup-compatibility/2006">
      <mc:Choice Requires="x14">
        <control shapeId="96257" r:id="rId290" name="Q_PPH_R134A">
          <controlPr defaultSize="0" disabled="1" autoLine="0" r:id="rId291">
            <anchor moveWithCells="1">
              <from>
                <xdr:col>3</xdr:col>
                <xdr:colOff>9525</xdr:colOff>
                <xdr:row>52</xdr:row>
                <xdr:rowOff>9525</xdr:rowOff>
              </from>
              <to>
                <xdr:col>4</xdr:col>
                <xdr:colOff>76200</xdr:colOff>
                <xdr:row>53</xdr:row>
                <xdr:rowOff>57150</xdr:rowOff>
              </to>
            </anchor>
          </controlPr>
        </control>
      </mc:Choice>
      <mc:Fallback>
        <control shapeId="96257" r:id="rId290" name="Q_PPH_R134A"/>
      </mc:Fallback>
    </mc:AlternateContent>
    <mc:AlternateContent xmlns:mc="http://schemas.openxmlformats.org/markup-compatibility/2006">
      <mc:Choice Requires="x14">
        <control shapeId="96398" r:id="rId292" name="PPH_Unit_Details">
          <controlPr defaultSize="0" autoLine="0" autoPict="0" r:id="rId293">
            <anchor moveWithCells="1">
              <from>
                <xdr:col>12</xdr:col>
                <xdr:colOff>133350</xdr:colOff>
                <xdr:row>0</xdr:row>
                <xdr:rowOff>95250</xdr:rowOff>
              </from>
              <to>
                <xdr:col>12</xdr:col>
                <xdr:colOff>1409700</xdr:colOff>
                <xdr:row>1</xdr:row>
                <xdr:rowOff>76200</xdr:rowOff>
              </to>
            </anchor>
          </controlPr>
        </control>
      </mc:Choice>
      <mc:Fallback>
        <control shapeId="96398" r:id="rId292" name="PPH_Unit_Details"/>
      </mc:Fallback>
    </mc:AlternateContent>
    <mc:AlternateContent xmlns:mc="http://schemas.openxmlformats.org/markup-compatibility/2006">
      <mc:Choice Requires="x14">
        <control shapeId="96414" r:id="rId294" name="GI_WM">
          <controlPr defaultSize="0" autoLine="0" autoPict="0" r:id="rId295">
            <anchor moveWithCells="1">
              <from>
                <xdr:col>6</xdr:col>
                <xdr:colOff>76200</xdr:colOff>
                <xdr:row>6</xdr:row>
                <xdr:rowOff>19050</xdr:rowOff>
              </from>
              <to>
                <xdr:col>6</xdr:col>
                <xdr:colOff>609600</xdr:colOff>
                <xdr:row>7</xdr:row>
                <xdr:rowOff>19050</xdr:rowOff>
              </to>
            </anchor>
          </controlPr>
        </control>
      </mc:Choice>
      <mc:Fallback>
        <control shapeId="96414" r:id="rId294" name="GI_WM"/>
      </mc:Fallback>
    </mc:AlternateContent>
    <mc:AlternateContent xmlns:mc="http://schemas.openxmlformats.org/markup-compatibility/2006">
      <mc:Choice Requires="x14">
        <control shapeId="96415" r:id="rId296" name="SS304_WM">
          <controlPr defaultSize="0" autoLine="0" autoPict="0" r:id="rId297">
            <anchor moveWithCells="1">
              <from>
                <xdr:col>7</xdr:col>
                <xdr:colOff>200025</xdr:colOff>
                <xdr:row>6</xdr:row>
                <xdr:rowOff>0</xdr:rowOff>
              </from>
              <to>
                <xdr:col>8</xdr:col>
                <xdr:colOff>381000</xdr:colOff>
                <xdr:row>7</xdr:row>
                <xdr:rowOff>19050</xdr:rowOff>
              </to>
            </anchor>
          </controlPr>
        </control>
      </mc:Choice>
      <mc:Fallback>
        <control shapeId="96415" r:id="rId296" name="SS304_WM"/>
      </mc:Fallback>
    </mc:AlternateContent>
    <mc:AlternateContent xmlns:mc="http://schemas.openxmlformats.org/markup-compatibility/2006">
      <mc:Choice Requires="x14">
        <control shapeId="96416" r:id="rId298" name="SS316_WM">
          <controlPr defaultSize="0" autoLine="0" autoPict="0" r:id="rId299">
            <anchor moveWithCells="1">
              <from>
                <xdr:col>8</xdr:col>
                <xdr:colOff>685800</xdr:colOff>
                <xdr:row>5</xdr:row>
                <xdr:rowOff>209550</xdr:rowOff>
              </from>
              <to>
                <xdr:col>8</xdr:col>
                <xdr:colOff>1504950</xdr:colOff>
                <xdr:row>7</xdr:row>
                <xdr:rowOff>19050</xdr:rowOff>
              </to>
            </anchor>
          </controlPr>
        </control>
      </mc:Choice>
      <mc:Fallback>
        <control shapeId="96416" r:id="rId298" name="SS316_WM"/>
      </mc:Fallback>
    </mc:AlternateContent>
    <mc:AlternateContent xmlns:mc="http://schemas.openxmlformats.org/markup-compatibility/2006">
      <mc:Choice Requires="x14">
        <control shapeId="96417" r:id="rId300" name="Coil_Casing_SS316">
          <controlPr defaultSize="0" disabled="1" autoLine="0" r:id="rId301">
            <anchor moveWithCells="1">
              <from>
                <xdr:col>6</xdr:col>
                <xdr:colOff>38100</xdr:colOff>
                <xdr:row>38</xdr:row>
                <xdr:rowOff>190500</xdr:rowOff>
              </from>
              <to>
                <xdr:col>8</xdr:col>
                <xdr:colOff>1095375</xdr:colOff>
                <xdr:row>40</xdr:row>
                <xdr:rowOff>9525</xdr:rowOff>
              </to>
            </anchor>
          </controlPr>
        </control>
      </mc:Choice>
      <mc:Fallback>
        <control shapeId="96417" r:id="rId300" name="Coil_Casing_SS316"/>
      </mc:Fallback>
    </mc:AlternateContent>
    <mc:AlternateContent xmlns:mc="http://schemas.openxmlformats.org/markup-compatibility/2006">
      <mc:Choice Requires="x14">
        <control shapeId="96418" r:id="rId302" name="Coil_Casing_SS304">
          <controlPr defaultSize="0" disabled="1" autoLine="0" r:id="rId303">
            <anchor moveWithCells="1">
              <from>
                <xdr:col>6</xdr:col>
                <xdr:colOff>38100</xdr:colOff>
                <xdr:row>39</xdr:row>
                <xdr:rowOff>180975</xdr:rowOff>
              </from>
              <to>
                <xdr:col>8</xdr:col>
                <xdr:colOff>1000125</xdr:colOff>
                <xdr:row>41</xdr:row>
                <xdr:rowOff>0</xdr:rowOff>
              </to>
            </anchor>
          </controlPr>
        </control>
      </mc:Choice>
      <mc:Fallback>
        <control shapeId="96418" r:id="rId302" name="Coil_Casing_SS304"/>
      </mc:Fallback>
    </mc:AlternateContent>
    <mc:AlternateContent xmlns:mc="http://schemas.openxmlformats.org/markup-compatibility/2006">
      <mc:Choice Requires="x14">
        <control shapeId="96419" r:id="rId304" name="IP55_Electrcial_Panel">
          <controlPr defaultSize="0" autoLine="0" r:id="rId305">
            <anchor moveWithCells="1">
              <from>
                <xdr:col>9</xdr:col>
                <xdr:colOff>57150</xdr:colOff>
                <xdr:row>25</xdr:row>
                <xdr:rowOff>200025</xdr:rowOff>
              </from>
              <to>
                <xdr:col>11</xdr:col>
                <xdr:colOff>266700</xdr:colOff>
                <xdr:row>26</xdr:row>
                <xdr:rowOff>219075</xdr:rowOff>
              </to>
            </anchor>
          </controlPr>
        </control>
      </mc:Choice>
      <mc:Fallback>
        <control shapeId="96419" r:id="rId304" name="IP55_Electrcial_Panel"/>
      </mc:Fallback>
    </mc:AlternateContent>
    <mc:AlternateContent xmlns:mc="http://schemas.openxmlformats.org/markup-compatibility/2006">
      <mc:Choice Requires="x14">
        <control shapeId="96421" r:id="rId306" name="ALC_Controller">
          <controlPr defaultSize="0" autoLine="0" autoPict="0" r:id="rId307">
            <anchor moveWithCells="1">
              <from>
                <xdr:col>12</xdr:col>
                <xdr:colOff>47625</xdr:colOff>
                <xdr:row>6</xdr:row>
                <xdr:rowOff>180975</xdr:rowOff>
              </from>
              <to>
                <xdr:col>13</xdr:col>
                <xdr:colOff>38100</xdr:colOff>
                <xdr:row>7</xdr:row>
                <xdr:rowOff>200025</xdr:rowOff>
              </to>
            </anchor>
          </controlPr>
        </control>
      </mc:Choice>
      <mc:Fallback>
        <control shapeId="96421" r:id="rId306" name="ALC_Controller"/>
      </mc:Fallback>
    </mc:AlternateContent>
    <mc:AlternateContent xmlns:mc="http://schemas.openxmlformats.org/markup-compatibility/2006">
      <mc:Choice Requires="x14">
        <control shapeId="96423" r:id="rId308" name="CO2_Secsor">
          <controlPr defaultSize="0" autoLine="0" r:id="rId309">
            <anchor moveWithCells="1">
              <from>
                <xdr:col>12</xdr:col>
                <xdr:colOff>28575</xdr:colOff>
                <xdr:row>28</xdr:row>
                <xdr:rowOff>19050</xdr:rowOff>
              </from>
              <to>
                <xdr:col>12</xdr:col>
                <xdr:colOff>1390650</xdr:colOff>
                <xdr:row>28</xdr:row>
                <xdr:rowOff>276225</xdr:rowOff>
              </to>
            </anchor>
          </controlPr>
        </control>
      </mc:Choice>
      <mc:Fallback>
        <control shapeId="96423" r:id="rId308" name="CO2_Secsor"/>
      </mc:Fallback>
    </mc:AlternateContent>
  </controls>
  <tableParts count="1">
    <tablePart r:id="rId310"/>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B1_Chillers_DATA_Base">
    <tabColor rgb="FFFFC000"/>
  </sheetPr>
  <dimension ref="A1:BI230"/>
  <sheetViews>
    <sheetView topLeftCell="S1" zoomScale="70" zoomScaleNormal="70" workbookViewId="0">
      <selection activeCell="AF28" sqref="AF28"/>
    </sheetView>
  </sheetViews>
  <sheetFormatPr defaultRowHeight="15"/>
  <cols>
    <col min="1" max="1" width="15" style="712" bestFit="1" customWidth="1"/>
    <col min="2" max="2" width="15.42578125" bestFit="1" customWidth="1"/>
    <col min="3" max="4" width="22" customWidth="1"/>
    <col min="5" max="5" width="25.28515625" style="712" bestFit="1" customWidth="1"/>
    <col min="6" max="6" width="29.28515625" style="712" bestFit="1" customWidth="1"/>
    <col min="7" max="7" width="28.140625" bestFit="1" customWidth="1"/>
    <col min="8" max="8" width="28.5703125" bestFit="1" customWidth="1"/>
    <col min="9" max="9" width="19.5703125" style="712" bestFit="1" customWidth="1"/>
    <col min="10" max="10" width="17.42578125" style="712" bestFit="1" customWidth="1"/>
    <col min="11" max="11" width="17.140625" style="712" bestFit="1" customWidth="1"/>
    <col min="12" max="12" width="17.42578125" style="712" bestFit="1" customWidth="1"/>
    <col min="13" max="13" width="17.140625" style="712" bestFit="1" customWidth="1"/>
    <col min="14" max="14" width="17.140625" style="712" customWidth="1"/>
    <col min="15" max="15" width="23.140625" style="712" customWidth="1"/>
    <col min="16" max="16" width="21.42578125" style="712" bestFit="1" customWidth="1"/>
    <col min="17" max="17" width="21.42578125" style="712" customWidth="1"/>
    <col min="18" max="18" width="21" style="712" bestFit="1" customWidth="1"/>
    <col min="19" max="19" width="23.85546875" style="712" bestFit="1" customWidth="1"/>
    <col min="20" max="21" width="23.85546875" style="712" customWidth="1"/>
    <col min="22" max="22" width="14.42578125" style="712" bestFit="1" customWidth="1"/>
    <col min="23" max="23" width="19.28515625" style="712" customWidth="1"/>
    <col min="24" max="24" width="17.7109375" bestFit="1" customWidth="1"/>
    <col min="25" max="25" width="15.7109375" customWidth="1"/>
    <col min="26" max="26" width="18.140625" customWidth="1"/>
    <col min="27" max="27" width="19.7109375" customWidth="1"/>
    <col min="28" max="28" width="25.85546875" style="712" bestFit="1" customWidth="1"/>
    <col min="29" max="29" width="24" style="712" bestFit="1" customWidth="1"/>
    <col min="30" max="30" width="25.85546875" style="712" bestFit="1" customWidth="1"/>
    <col min="31" max="31" width="25.85546875" style="712" customWidth="1"/>
    <col min="32" max="32" width="17.28515625" customWidth="1"/>
    <col min="33" max="33" width="19.5703125" style="712" customWidth="1"/>
    <col min="34" max="34" width="23.28515625" customWidth="1"/>
    <col min="35" max="35" width="26.7109375" customWidth="1"/>
    <col min="36" max="37" width="19.42578125" customWidth="1"/>
    <col min="38" max="38" width="24" customWidth="1"/>
    <col min="39" max="39" width="26.85546875" style="712" customWidth="1"/>
    <col min="40" max="40" width="30.140625" style="712" bestFit="1" customWidth="1"/>
    <col min="41" max="43" width="23" customWidth="1"/>
    <col min="44" max="44" width="28.140625" bestFit="1" customWidth="1"/>
    <col min="45" max="45" width="27.85546875" customWidth="1"/>
    <col min="46" max="46" width="17.85546875" customWidth="1"/>
    <col min="48" max="54" width="9.140625" style="712"/>
    <col min="60" max="60" width="9.140625" style="712"/>
    <col min="62" max="65" width="9.140625" style="712"/>
    <col min="66" max="66" width="22.28515625" style="712" customWidth="1"/>
    <col min="67" max="69" width="9.140625" style="712"/>
    <col min="70" max="70" width="14.42578125" style="712" customWidth="1"/>
    <col min="71" max="279" width="9.140625" style="712"/>
    <col min="280" max="280" width="10.140625" style="712" bestFit="1" customWidth="1"/>
    <col min="281" max="281" width="19.42578125" style="712" bestFit="1" customWidth="1"/>
    <col min="282" max="282" width="2.28515625" style="712" customWidth="1"/>
    <col min="283" max="283" width="6.5703125" style="712" bestFit="1" customWidth="1"/>
    <col min="284" max="284" width="9.7109375" style="712" bestFit="1" customWidth="1"/>
    <col min="285" max="285" width="1.7109375" style="712" customWidth="1"/>
    <col min="286" max="286" width="6.5703125" style="712" bestFit="1" customWidth="1"/>
    <col min="287" max="287" width="40.140625" style="712" bestFit="1" customWidth="1"/>
    <col min="288" max="288" width="9.7109375" style="712" bestFit="1" customWidth="1"/>
    <col min="289" max="289" width="1.140625" style="712" customWidth="1"/>
    <col min="290" max="290" width="9" style="712" bestFit="1" customWidth="1"/>
    <col min="291" max="291" width="8.140625" style="712" bestFit="1" customWidth="1"/>
    <col min="292" max="292" width="11" style="712" bestFit="1" customWidth="1"/>
    <col min="293" max="293" width="17" style="712" customWidth="1"/>
    <col min="294" max="294" width="3.85546875" style="712" bestFit="1" customWidth="1"/>
    <col min="295" max="295" width="6.5703125" style="712" bestFit="1" customWidth="1"/>
    <col min="296" max="297" width="9.140625" style="712"/>
    <col min="298" max="298" width="9" style="712" bestFit="1" customWidth="1"/>
    <col min="299" max="299" width="8" style="712" bestFit="1" customWidth="1"/>
    <col min="300" max="300" width="6.5703125" style="712" bestFit="1" customWidth="1"/>
    <col min="301" max="535" width="9.140625" style="712"/>
    <col min="536" max="536" width="10.140625" style="712" bestFit="1" customWidth="1"/>
    <col min="537" max="537" width="19.42578125" style="712" bestFit="1" customWidth="1"/>
    <col min="538" max="538" width="2.28515625" style="712" customWidth="1"/>
    <col min="539" max="539" width="6.5703125" style="712" bestFit="1" customWidth="1"/>
    <col min="540" max="540" width="9.7109375" style="712" bestFit="1" customWidth="1"/>
    <col min="541" max="541" width="1.7109375" style="712" customWidth="1"/>
    <col min="542" max="542" width="6.5703125" style="712" bestFit="1" customWidth="1"/>
    <col min="543" max="543" width="40.140625" style="712" bestFit="1" customWidth="1"/>
    <col min="544" max="544" width="9.7109375" style="712" bestFit="1" customWidth="1"/>
    <col min="545" max="545" width="1.140625" style="712" customWidth="1"/>
    <col min="546" max="546" width="9" style="712" bestFit="1" customWidth="1"/>
    <col min="547" max="547" width="8.140625" style="712" bestFit="1" customWidth="1"/>
    <col min="548" max="548" width="11" style="712" bestFit="1" customWidth="1"/>
    <col min="549" max="549" width="17" style="712" customWidth="1"/>
    <col min="550" max="550" width="3.85546875" style="712" bestFit="1" customWidth="1"/>
    <col min="551" max="551" width="6.5703125" style="712" bestFit="1" customWidth="1"/>
    <col min="552" max="553" width="9.140625" style="712"/>
    <col min="554" max="554" width="9" style="712" bestFit="1" customWidth="1"/>
    <col min="555" max="555" width="8" style="712" bestFit="1" customWidth="1"/>
    <col min="556" max="556" width="6.5703125" style="712" bestFit="1" customWidth="1"/>
    <col min="557" max="791" width="9.140625" style="712"/>
    <col min="792" max="792" width="10.140625" style="712" bestFit="1" customWidth="1"/>
    <col min="793" max="793" width="19.42578125" style="712" bestFit="1" customWidth="1"/>
    <col min="794" max="794" width="2.28515625" style="712" customWidth="1"/>
    <col min="795" max="795" width="6.5703125" style="712" bestFit="1" customWidth="1"/>
    <col min="796" max="796" width="9.7109375" style="712" bestFit="1" customWidth="1"/>
    <col min="797" max="797" width="1.7109375" style="712" customWidth="1"/>
    <col min="798" max="798" width="6.5703125" style="712" bestFit="1" customWidth="1"/>
    <col min="799" max="799" width="40.140625" style="712" bestFit="1" customWidth="1"/>
    <col min="800" max="800" width="9.7109375" style="712" bestFit="1" customWidth="1"/>
    <col min="801" max="801" width="1.140625" style="712" customWidth="1"/>
    <col min="802" max="802" width="9" style="712" bestFit="1" customWidth="1"/>
    <col min="803" max="803" width="8.140625" style="712" bestFit="1" customWidth="1"/>
    <col min="804" max="804" width="11" style="712" bestFit="1" customWidth="1"/>
    <col min="805" max="805" width="17" style="712" customWidth="1"/>
    <col min="806" max="806" width="3.85546875" style="712" bestFit="1" customWidth="1"/>
    <col min="807" max="807" width="6.5703125" style="712" bestFit="1" customWidth="1"/>
    <col min="808" max="809" width="9.140625" style="712"/>
    <col min="810" max="810" width="9" style="712" bestFit="1" customWidth="1"/>
    <col min="811" max="811" width="8" style="712" bestFit="1" customWidth="1"/>
    <col min="812" max="812" width="6.5703125" style="712" bestFit="1" customWidth="1"/>
    <col min="813" max="1047" width="9.140625" style="712"/>
    <col min="1048" max="1048" width="10.140625" style="712" bestFit="1" customWidth="1"/>
    <col min="1049" max="1049" width="19.42578125" style="712" bestFit="1" customWidth="1"/>
    <col min="1050" max="1050" width="2.28515625" style="712" customWidth="1"/>
    <col min="1051" max="1051" width="6.5703125" style="712" bestFit="1" customWidth="1"/>
    <col min="1052" max="1052" width="9.7109375" style="712" bestFit="1" customWidth="1"/>
    <col min="1053" max="1053" width="1.7109375" style="712" customWidth="1"/>
    <col min="1054" max="1054" width="6.5703125" style="712" bestFit="1" customWidth="1"/>
    <col min="1055" max="1055" width="40.140625" style="712" bestFit="1" customWidth="1"/>
    <col min="1056" max="1056" width="9.7109375" style="712" bestFit="1" customWidth="1"/>
    <col min="1057" max="1057" width="1.140625" style="712" customWidth="1"/>
    <col min="1058" max="1058" width="9" style="712" bestFit="1" customWidth="1"/>
    <col min="1059" max="1059" width="8.140625" style="712" bestFit="1" customWidth="1"/>
    <col min="1060" max="1060" width="11" style="712" bestFit="1" customWidth="1"/>
    <col min="1061" max="1061" width="17" style="712" customWidth="1"/>
    <col min="1062" max="1062" width="3.85546875" style="712" bestFit="1" customWidth="1"/>
    <col min="1063" max="1063" width="6.5703125" style="712" bestFit="1" customWidth="1"/>
    <col min="1064" max="1065" width="9.140625" style="712"/>
    <col min="1066" max="1066" width="9" style="712" bestFit="1" customWidth="1"/>
    <col min="1067" max="1067" width="8" style="712" bestFit="1" customWidth="1"/>
    <col min="1068" max="1068" width="6.5703125" style="712" bestFit="1" customWidth="1"/>
    <col min="1069" max="1303" width="9.140625" style="712"/>
    <col min="1304" max="1304" width="10.140625" style="712" bestFit="1" customWidth="1"/>
    <col min="1305" max="1305" width="19.42578125" style="712" bestFit="1" customWidth="1"/>
    <col min="1306" max="1306" width="2.28515625" style="712" customWidth="1"/>
    <col min="1307" max="1307" width="6.5703125" style="712" bestFit="1" customWidth="1"/>
    <col min="1308" max="1308" width="9.7109375" style="712" bestFit="1" customWidth="1"/>
    <col min="1309" max="1309" width="1.7109375" style="712" customWidth="1"/>
    <col min="1310" max="1310" width="6.5703125" style="712" bestFit="1" customWidth="1"/>
    <col min="1311" max="1311" width="40.140625" style="712" bestFit="1" customWidth="1"/>
    <col min="1312" max="1312" width="9.7109375" style="712" bestFit="1" customWidth="1"/>
    <col min="1313" max="1313" width="1.140625" style="712" customWidth="1"/>
    <col min="1314" max="1314" width="9" style="712" bestFit="1" customWidth="1"/>
    <col min="1315" max="1315" width="8.140625" style="712" bestFit="1" customWidth="1"/>
    <col min="1316" max="1316" width="11" style="712" bestFit="1" customWidth="1"/>
    <col min="1317" max="1317" width="17" style="712" customWidth="1"/>
    <col min="1318" max="1318" width="3.85546875" style="712" bestFit="1" customWidth="1"/>
    <col min="1319" max="1319" width="6.5703125" style="712" bestFit="1" customWidth="1"/>
    <col min="1320" max="1321" width="9.140625" style="712"/>
    <col min="1322" max="1322" width="9" style="712" bestFit="1" customWidth="1"/>
    <col min="1323" max="1323" width="8" style="712" bestFit="1" customWidth="1"/>
    <col min="1324" max="1324" width="6.5703125" style="712" bestFit="1" customWidth="1"/>
    <col min="1325" max="1559" width="9.140625" style="712"/>
    <col min="1560" max="1560" width="10.140625" style="712" bestFit="1" customWidth="1"/>
    <col min="1561" max="1561" width="19.42578125" style="712" bestFit="1" customWidth="1"/>
    <col min="1562" max="1562" width="2.28515625" style="712" customWidth="1"/>
    <col min="1563" max="1563" width="6.5703125" style="712" bestFit="1" customWidth="1"/>
    <col min="1564" max="1564" width="9.7109375" style="712" bestFit="1" customWidth="1"/>
    <col min="1565" max="1565" width="1.7109375" style="712" customWidth="1"/>
    <col min="1566" max="1566" width="6.5703125" style="712" bestFit="1" customWidth="1"/>
    <col min="1567" max="1567" width="40.140625" style="712" bestFit="1" customWidth="1"/>
    <col min="1568" max="1568" width="9.7109375" style="712" bestFit="1" customWidth="1"/>
    <col min="1569" max="1569" width="1.140625" style="712" customWidth="1"/>
    <col min="1570" max="1570" width="9" style="712" bestFit="1" customWidth="1"/>
    <col min="1571" max="1571" width="8.140625" style="712" bestFit="1" customWidth="1"/>
    <col min="1572" max="1572" width="11" style="712" bestFit="1" customWidth="1"/>
    <col min="1573" max="1573" width="17" style="712" customWidth="1"/>
    <col min="1574" max="1574" width="3.85546875" style="712" bestFit="1" customWidth="1"/>
    <col min="1575" max="1575" width="6.5703125" style="712" bestFit="1" customWidth="1"/>
    <col min="1576" max="1577" width="9.140625" style="712"/>
    <col min="1578" max="1578" width="9" style="712" bestFit="1" customWidth="1"/>
    <col min="1579" max="1579" width="8" style="712" bestFit="1" customWidth="1"/>
    <col min="1580" max="1580" width="6.5703125" style="712" bestFit="1" customWidth="1"/>
    <col min="1581" max="1815" width="9.140625" style="712"/>
    <col min="1816" max="1816" width="10.140625" style="712" bestFit="1" customWidth="1"/>
    <col min="1817" max="1817" width="19.42578125" style="712" bestFit="1" customWidth="1"/>
    <col min="1818" max="1818" width="2.28515625" style="712" customWidth="1"/>
    <col min="1819" max="1819" width="6.5703125" style="712" bestFit="1" customWidth="1"/>
    <col min="1820" max="1820" width="9.7109375" style="712" bestFit="1" customWidth="1"/>
    <col min="1821" max="1821" width="1.7109375" style="712" customWidth="1"/>
    <col min="1822" max="1822" width="6.5703125" style="712" bestFit="1" customWidth="1"/>
    <col min="1823" max="1823" width="40.140625" style="712" bestFit="1" customWidth="1"/>
    <col min="1824" max="1824" width="9.7109375" style="712" bestFit="1" customWidth="1"/>
    <col min="1825" max="1825" width="1.140625" style="712" customWidth="1"/>
    <col min="1826" max="1826" width="9" style="712" bestFit="1" customWidth="1"/>
    <col min="1827" max="1827" width="8.140625" style="712" bestFit="1" customWidth="1"/>
    <col min="1828" max="1828" width="11" style="712" bestFit="1" customWidth="1"/>
    <col min="1829" max="1829" width="17" style="712" customWidth="1"/>
    <col min="1830" max="1830" width="3.85546875" style="712" bestFit="1" customWidth="1"/>
    <col min="1831" max="1831" width="6.5703125" style="712" bestFit="1" customWidth="1"/>
    <col min="1832" max="1833" width="9.140625" style="712"/>
    <col min="1834" max="1834" width="9" style="712" bestFit="1" customWidth="1"/>
    <col min="1835" max="1835" width="8" style="712" bestFit="1" customWidth="1"/>
    <col min="1836" max="1836" width="6.5703125" style="712" bestFit="1" customWidth="1"/>
    <col min="1837" max="2071" width="9.140625" style="712"/>
    <col min="2072" max="2072" width="10.140625" style="712" bestFit="1" customWidth="1"/>
    <col min="2073" max="2073" width="19.42578125" style="712" bestFit="1" customWidth="1"/>
    <col min="2074" max="2074" width="2.28515625" style="712" customWidth="1"/>
    <col min="2075" max="2075" width="6.5703125" style="712" bestFit="1" customWidth="1"/>
    <col min="2076" max="2076" width="9.7109375" style="712" bestFit="1" customWidth="1"/>
    <col min="2077" max="2077" width="1.7109375" style="712" customWidth="1"/>
    <col min="2078" max="2078" width="6.5703125" style="712" bestFit="1" customWidth="1"/>
    <col min="2079" max="2079" width="40.140625" style="712" bestFit="1" customWidth="1"/>
    <col min="2080" max="2080" width="9.7109375" style="712" bestFit="1" customWidth="1"/>
    <col min="2081" max="2081" width="1.140625" style="712" customWidth="1"/>
    <col min="2082" max="2082" width="9" style="712" bestFit="1" customWidth="1"/>
    <col min="2083" max="2083" width="8.140625" style="712" bestFit="1" customWidth="1"/>
    <col min="2084" max="2084" width="11" style="712" bestFit="1" customWidth="1"/>
    <col min="2085" max="2085" width="17" style="712" customWidth="1"/>
    <col min="2086" max="2086" width="3.85546875" style="712" bestFit="1" customWidth="1"/>
    <col min="2087" max="2087" width="6.5703125" style="712" bestFit="1" customWidth="1"/>
    <col min="2088" max="2089" width="9.140625" style="712"/>
    <col min="2090" max="2090" width="9" style="712" bestFit="1" customWidth="1"/>
    <col min="2091" max="2091" width="8" style="712" bestFit="1" customWidth="1"/>
    <col min="2092" max="2092" width="6.5703125" style="712" bestFit="1" customWidth="1"/>
    <col min="2093" max="2327" width="9.140625" style="712"/>
    <col min="2328" max="2328" width="10.140625" style="712" bestFit="1" customWidth="1"/>
    <col min="2329" max="2329" width="19.42578125" style="712" bestFit="1" customWidth="1"/>
    <col min="2330" max="2330" width="2.28515625" style="712" customWidth="1"/>
    <col min="2331" max="2331" width="6.5703125" style="712" bestFit="1" customWidth="1"/>
    <col min="2332" max="2332" width="9.7109375" style="712" bestFit="1" customWidth="1"/>
    <col min="2333" max="2333" width="1.7109375" style="712" customWidth="1"/>
    <col min="2334" max="2334" width="6.5703125" style="712" bestFit="1" customWidth="1"/>
    <col min="2335" max="2335" width="40.140625" style="712" bestFit="1" customWidth="1"/>
    <col min="2336" max="2336" width="9.7109375" style="712" bestFit="1" customWidth="1"/>
    <col min="2337" max="2337" width="1.140625" style="712" customWidth="1"/>
    <col min="2338" max="2338" width="9" style="712" bestFit="1" customWidth="1"/>
    <col min="2339" max="2339" width="8.140625" style="712" bestFit="1" customWidth="1"/>
    <col min="2340" max="2340" width="11" style="712" bestFit="1" customWidth="1"/>
    <col min="2341" max="2341" width="17" style="712" customWidth="1"/>
    <col min="2342" max="2342" width="3.85546875" style="712" bestFit="1" customWidth="1"/>
    <col min="2343" max="2343" width="6.5703125" style="712" bestFit="1" customWidth="1"/>
    <col min="2344" max="2345" width="9.140625" style="712"/>
    <col min="2346" max="2346" width="9" style="712" bestFit="1" customWidth="1"/>
    <col min="2347" max="2347" width="8" style="712" bestFit="1" customWidth="1"/>
    <col min="2348" max="2348" width="6.5703125" style="712" bestFit="1" customWidth="1"/>
    <col min="2349" max="2583" width="9.140625" style="712"/>
    <col min="2584" max="2584" width="10.140625" style="712" bestFit="1" customWidth="1"/>
    <col min="2585" max="2585" width="19.42578125" style="712" bestFit="1" customWidth="1"/>
    <col min="2586" max="2586" width="2.28515625" style="712" customWidth="1"/>
    <col min="2587" max="2587" width="6.5703125" style="712" bestFit="1" customWidth="1"/>
    <col min="2588" max="2588" width="9.7109375" style="712" bestFit="1" customWidth="1"/>
    <col min="2589" max="2589" width="1.7109375" style="712" customWidth="1"/>
    <col min="2590" max="2590" width="6.5703125" style="712" bestFit="1" customWidth="1"/>
    <col min="2591" max="2591" width="40.140625" style="712" bestFit="1" customWidth="1"/>
    <col min="2592" max="2592" width="9.7109375" style="712" bestFit="1" customWidth="1"/>
    <col min="2593" max="2593" width="1.140625" style="712" customWidth="1"/>
    <col min="2594" max="2594" width="9" style="712" bestFit="1" customWidth="1"/>
    <col min="2595" max="2595" width="8.140625" style="712" bestFit="1" customWidth="1"/>
    <col min="2596" max="2596" width="11" style="712" bestFit="1" customWidth="1"/>
    <col min="2597" max="2597" width="17" style="712" customWidth="1"/>
    <col min="2598" max="2598" width="3.85546875" style="712" bestFit="1" customWidth="1"/>
    <col min="2599" max="2599" width="6.5703125" style="712" bestFit="1" customWidth="1"/>
    <col min="2600" max="2601" width="9.140625" style="712"/>
    <col min="2602" max="2602" width="9" style="712" bestFit="1" customWidth="1"/>
    <col min="2603" max="2603" width="8" style="712" bestFit="1" customWidth="1"/>
    <col min="2604" max="2604" width="6.5703125" style="712" bestFit="1" customWidth="1"/>
    <col min="2605" max="2839" width="9.140625" style="712"/>
    <col min="2840" max="2840" width="10.140625" style="712" bestFit="1" customWidth="1"/>
    <col min="2841" max="2841" width="19.42578125" style="712" bestFit="1" customWidth="1"/>
    <col min="2842" max="2842" width="2.28515625" style="712" customWidth="1"/>
    <col min="2843" max="2843" width="6.5703125" style="712" bestFit="1" customWidth="1"/>
    <col min="2844" max="2844" width="9.7109375" style="712" bestFit="1" customWidth="1"/>
    <col min="2845" max="2845" width="1.7109375" style="712" customWidth="1"/>
    <col min="2846" max="2846" width="6.5703125" style="712" bestFit="1" customWidth="1"/>
    <col min="2847" max="2847" width="40.140625" style="712" bestFit="1" customWidth="1"/>
    <col min="2848" max="2848" width="9.7109375" style="712" bestFit="1" customWidth="1"/>
    <col min="2849" max="2849" width="1.140625" style="712" customWidth="1"/>
    <col min="2850" max="2850" width="9" style="712" bestFit="1" customWidth="1"/>
    <col min="2851" max="2851" width="8.140625" style="712" bestFit="1" customWidth="1"/>
    <col min="2852" max="2852" width="11" style="712" bestFit="1" customWidth="1"/>
    <col min="2853" max="2853" width="17" style="712" customWidth="1"/>
    <col min="2854" max="2854" width="3.85546875" style="712" bestFit="1" customWidth="1"/>
    <col min="2855" max="2855" width="6.5703125" style="712" bestFit="1" customWidth="1"/>
    <col min="2856" max="2857" width="9.140625" style="712"/>
    <col min="2858" max="2858" width="9" style="712" bestFit="1" customWidth="1"/>
    <col min="2859" max="2859" width="8" style="712" bestFit="1" customWidth="1"/>
    <col min="2860" max="2860" width="6.5703125" style="712" bestFit="1" customWidth="1"/>
    <col min="2861" max="3095" width="9.140625" style="712"/>
    <col min="3096" max="3096" width="10.140625" style="712" bestFit="1" customWidth="1"/>
    <col min="3097" max="3097" width="19.42578125" style="712" bestFit="1" customWidth="1"/>
    <col min="3098" max="3098" width="2.28515625" style="712" customWidth="1"/>
    <col min="3099" max="3099" width="6.5703125" style="712" bestFit="1" customWidth="1"/>
    <col min="3100" max="3100" width="9.7109375" style="712" bestFit="1" customWidth="1"/>
    <col min="3101" max="3101" width="1.7109375" style="712" customWidth="1"/>
    <col min="3102" max="3102" width="6.5703125" style="712" bestFit="1" customWidth="1"/>
    <col min="3103" max="3103" width="40.140625" style="712" bestFit="1" customWidth="1"/>
    <col min="3104" max="3104" width="9.7109375" style="712" bestFit="1" customWidth="1"/>
    <col min="3105" max="3105" width="1.140625" style="712" customWidth="1"/>
    <col min="3106" max="3106" width="9" style="712" bestFit="1" customWidth="1"/>
    <col min="3107" max="3107" width="8.140625" style="712" bestFit="1" customWidth="1"/>
    <col min="3108" max="3108" width="11" style="712" bestFit="1" customWidth="1"/>
    <col min="3109" max="3109" width="17" style="712" customWidth="1"/>
    <col min="3110" max="3110" width="3.85546875" style="712" bestFit="1" customWidth="1"/>
    <col min="3111" max="3111" width="6.5703125" style="712" bestFit="1" customWidth="1"/>
    <col min="3112" max="3113" width="9.140625" style="712"/>
    <col min="3114" max="3114" width="9" style="712" bestFit="1" customWidth="1"/>
    <col min="3115" max="3115" width="8" style="712" bestFit="1" customWidth="1"/>
    <col min="3116" max="3116" width="6.5703125" style="712" bestFit="1" customWidth="1"/>
    <col min="3117" max="3351" width="9.140625" style="712"/>
    <col min="3352" max="3352" width="10.140625" style="712" bestFit="1" customWidth="1"/>
    <col min="3353" max="3353" width="19.42578125" style="712" bestFit="1" customWidth="1"/>
    <col min="3354" max="3354" width="2.28515625" style="712" customWidth="1"/>
    <col min="3355" max="3355" width="6.5703125" style="712" bestFit="1" customWidth="1"/>
    <col min="3356" max="3356" width="9.7109375" style="712" bestFit="1" customWidth="1"/>
    <col min="3357" max="3357" width="1.7109375" style="712" customWidth="1"/>
    <col min="3358" max="3358" width="6.5703125" style="712" bestFit="1" customWidth="1"/>
    <col min="3359" max="3359" width="40.140625" style="712" bestFit="1" customWidth="1"/>
    <col min="3360" max="3360" width="9.7109375" style="712" bestFit="1" customWidth="1"/>
    <col min="3361" max="3361" width="1.140625" style="712" customWidth="1"/>
    <col min="3362" max="3362" width="9" style="712" bestFit="1" customWidth="1"/>
    <col min="3363" max="3363" width="8.140625" style="712" bestFit="1" customWidth="1"/>
    <col min="3364" max="3364" width="11" style="712" bestFit="1" customWidth="1"/>
    <col min="3365" max="3365" width="17" style="712" customWidth="1"/>
    <col min="3366" max="3366" width="3.85546875" style="712" bestFit="1" customWidth="1"/>
    <col min="3367" max="3367" width="6.5703125" style="712" bestFit="1" customWidth="1"/>
    <col min="3368" max="3369" width="9.140625" style="712"/>
    <col min="3370" max="3370" width="9" style="712" bestFit="1" customWidth="1"/>
    <col min="3371" max="3371" width="8" style="712" bestFit="1" customWidth="1"/>
    <col min="3372" max="3372" width="6.5703125" style="712" bestFit="1" customWidth="1"/>
    <col min="3373" max="3607" width="9.140625" style="712"/>
    <col min="3608" max="3608" width="10.140625" style="712" bestFit="1" customWidth="1"/>
    <col min="3609" max="3609" width="19.42578125" style="712" bestFit="1" customWidth="1"/>
    <col min="3610" max="3610" width="2.28515625" style="712" customWidth="1"/>
    <col min="3611" max="3611" width="6.5703125" style="712" bestFit="1" customWidth="1"/>
    <col min="3612" max="3612" width="9.7109375" style="712" bestFit="1" customWidth="1"/>
    <col min="3613" max="3613" width="1.7109375" style="712" customWidth="1"/>
    <col min="3614" max="3614" width="6.5703125" style="712" bestFit="1" customWidth="1"/>
    <col min="3615" max="3615" width="40.140625" style="712" bestFit="1" customWidth="1"/>
    <col min="3616" max="3616" width="9.7109375" style="712" bestFit="1" customWidth="1"/>
    <col min="3617" max="3617" width="1.140625" style="712" customWidth="1"/>
    <col min="3618" max="3618" width="9" style="712" bestFit="1" customWidth="1"/>
    <col min="3619" max="3619" width="8.140625" style="712" bestFit="1" customWidth="1"/>
    <col min="3620" max="3620" width="11" style="712" bestFit="1" customWidth="1"/>
    <col min="3621" max="3621" width="17" style="712" customWidth="1"/>
    <col min="3622" max="3622" width="3.85546875" style="712" bestFit="1" customWidth="1"/>
    <col min="3623" max="3623" width="6.5703125" style="712" bestFit="1" customWidth="1"/>
    <col min="3624" max="3625" width="9.140625" style="712"/>
    <col min="3626" max="3626" width="9" style="712" bestFit="1" customWidth="1"/>
    <col min="3627" max="3627" width="8" style="712" bestFit="1" customWidth="1"/>
    <col min="3628" max="3628" width="6.5703125" style="712" bestFit="1" customWidth="1"/>
    <col min="3629" max="3863" width="9.140625" style="712"/>
    <col min="3864" max="3864" width="10.140625" style="712" bestFit="1" customWidth="1"/>
    <col min="3865" max="3865" width="19.42578125" style="712" bestFit="1" customWidth="1"/>
    <col min="3866" max="3866" width="2.28515625" style="712" customWidth="1"/>
    <col min="3867" max="3867" width="6.5703125" style="712" bestFit="1" customWidth="1"/>
    <col min="3868" max="3868" width="9.7109375" style="712" bestFit="1" customWidth="1"/>
    <col min="3869" max="3869" width="1.7109375" style="712" customWidth="1"/>
    <col min="3870" max="3870" width="6.5703125" style="712" bestFit="1" customWidth="1"/>
    <col min="3871" max="3871" width="40.140625" style="712" bestFit="1" customWidth="1"/>
    <col min="3872" max="3872" width="9.7109375" style="712" bestFit="1" customWidth="1"/>
    <col min="3873" max="3873" width="1.140625" style="712" customWidth="1"/>
    <col min="3874" max="3874" width="9" style="712" bestFit="1" customWidth="1"/>
    <col min="3875" max="3875" width="8.140625" style="712" bestFit="1" customWidth="1"/>
    <col min="3876" max="3876" width="11" style="712" bestFit="1" customWidth="1"/>
    <col min="3877" max="3877" width="17" style="712" customWidth="1"/>
    <col min="3878" max="3878" width="3.85546875" style="712" bestFit="1" customWidth="1"/>
    <col min="3879" max="3879" width="6.5703125" style="712" bestFit="1" customWidth="1"/>
    <col min="3880" max="3881" width="9.140625" style="712"/>
    <col min="3882" max="3882" width="9" style="712" bestFit="1" customWidth="1"/>
    <col min="3883" max="3883" width="8" style="712" bestFit="1" customWidth="1"/>
    <col min="3884" max="3884" width="6.5703125" style="712" bestFit="1" customWidth="1"/>
    <col min="3885" max="4119" width="9.140625" style="712"/>
    <col min="4120" max="4120" width="10.140625" style="712" bestFit="1" customWidth="1"/>
    <col min="4121" max="4121" width="19.42578125" style="712" bestFit="1" customWidth="1"/>
    <col min="4122" max="4122" width="2.28515625" style="712" customWidth="1"/>
    <col min="4123" max="4123" width="6.5703125" style="712" bestFit="1" customWidth="1"/>
    <col min="4124" max="4124" width="9.7109375" style="712" bestFit="1" customWidth="1"/>
    <col min="4125" max="4125" width="1.7109375" style="712" customWidth="1"/>
    <col min="4126" max="4126" width="6.5703125" style="712" bestFit="1" customWidth="1"/>
    <col min="4127" max="4127" width="40.140625" style="712" bestFit="1" customWidth="1"/>
    <col min="4128" max="4128" width="9.7109375" style="712" bestFit="1" customWidth="1"/>
    <col min="4129" max="4129" width="1.140625" style="712" customWidth="1"/>
    <col min="4130" max="4130" width="9" style="712" bestFit="1" customWidth="1"/>
    <col min="4131" max="4131" width="8.140625" style="712" bestFit="1" customWidth="1"/>
    <col min="4132" max="4132" width="11" style="712" bestFit="1" customWidth="1"/>
    <col min="4133" max="4133" width="17" style="712" customWidth="1"/>
    <col min="4134" max="4134" width="3.85546875" style="712" bestFit="1" customWidth="1"/>
    <col min="4135" max="4135" width="6.5703125" style="712" bestFit="1" customWidth="1"/>
    <col min="4136" max="4137" width="9.140625" style="712"/>
    <col min="4138" max="4138" width="9" style="712" bestFit="1" customWidth="1"/>
    <col min="4139" max="4139" width="8" style="712" bestFit="1" customWidth="1"/>
    <col min="4140" max="4140" width="6.5703125" style="712" bestFit="1" customWidth="1"/>
    <col min="4141" max="4375" width="9.140625" style="712"/>
    <col min="4376" max="4376" width="10.140625" style="712" bestFit="1" customWidth="1"/>
    <col min="4377" max="4377" width="19.42578125" style="712" bestFit="1" customWidth="1"/>
    <col min="4378" max="4378" width="2.28515625" style="712" customWidth="1"/>
    <col min="4379" max="4379" width="6.5703125" style="712" bestFit="1" customWidth="1"/>
    <col min="4380" max="4380" width="9.7109375" style="712" bestFit="1" customWidth="1"/>
    <col min="4381" max="4381" width="1.7109375" style="712" customWidth="1"/>
    <col min="4382" max="4382" width="6.5703125" style="712" bestFit="1" customWidth="1"/>
    <col min="4383" max="4383" width="40.140625" style="712" bestFit="1" customWidth="1"/>
    <col min="4384" max="4384" width="9.7109375" style="712" bestFit="1" customWidth="1"/>
    <col min="4385" max="4385" width="1.140625" style="712" customWidth="1"/>
    <col min="4386" max="4386" width="9" style="712" bestFit="1" customWidth="1"/>
    <col min="4387" max="4387" width="8.140625" style="712" bestFit="1" customWidth="1"/>
    <col min="4388" max="4388" width="11" style="712" bestFit="1" customWidth="1"/>
    <col min="4389" max="4389" width="17" style="712" customWidth="1"/>
    <col min="4390" max="4390" width="3.85546875" style="712" bestFit="1" customWidth="1"/>
    <col min="4391" max="4391" width="6.5703125" style="712" bestFit="1" customWidth="1"/>
    <col min="4392" max="4393" width="9.140625" style="712"/>
    <col min="4394" max="4394" width="9" style="712" bestFit="1" customWidth="1"/>
    <col min="4395" max="4395" width="8" style="712" bestFit="1" customWidth="1"/>
    <col min="4396" max="4396" width="6.5703125" style="712" bestFit="1" customWidth="1"/>
    <col min="4397" max="4631" width="9.140625" style="712"/>
    <col min="4632" max="4632" width="10.140625" style="712" bestFit="1" customWidth="1"/>
    <col min="4633" max="4633" width="19.42578125" style="712" bestFit="1" customWidth="1"/>
    <col min="4634" max="4634" width="2.28515625" style="712" customWidth="1"/>
    <col min="4635" max="4635" width="6.5703125" style="712" bestFit="1" customWidth="1"/>
    <col min="4636" max="4636" width="9.7109375" style="712" bestFit="1" customWidth="1"/>
    <col min="4637" max="4637" width="1.7109375" style="712" customWidth="1"/>
    <col min="4638" max="4638" width="6.5703125" style="712" bestFit="1" customWidth="1"/>
    <col min="4639" max="4639" width="40.140625" style="712" bestFit="1" customWidth="1"/>
    <col min="4640" max="4640" width="9.7109375" style="712" bestFit="1" customWidth="1"/>
    <col min="4641" max="4641" width="1.140625" style="712" customWidth="1"/>
    <col min="4642" max="4642" width="9" style="712" bestFit="1" customWidth="1"/>
    <col min="4643" max="4643" width="8.140625" style="712" bestFit="1" customWidth="1"/>
    <col min="4644" max="4644" width="11" style="712" bestFit="1" customWidth="1"/>
    <col min="4645" max="4645" width="17" style="712" customWidth="1"/>
    <col min="4646" max="4646" width="3.85546875" style="712" bestFit="1" customWidth="1"/>
    <col min="4647" max="4647" width="6.5703125" style="712" bestFit="1" customWidth="1"/>
    <col min="4648" max="4649" width="9.140625" style="712"/>
    <col min="4650" max="4650" width="9" style="712" bestFit="1" customWidth="1"/>
    <col min="4651" max="4651" width="8" style="712" bestFit="1" customWidth="1"/>
    <col min="4652" max="4652" width="6.5703125" style="712" bestFit="1" customWidth="1"/>
    <col min="4653" max="4887" width="9.140625" style="712"/>
    <col min="4888" max="4888" width="10.140625" style="712" bestFit="1" customWidth="1"/>
    <col min="4889" max="4889" width="19.42578125" style="712" bestFit="1" customWidth="1"/>
    <col min="4890" max="4890" width="2.28515625" style="712" customWidth="1"/>
    <col min="4891" max="4891" width="6.5703125" style="712" bestFit="1" customWidth="1"/>
    <col min="4892" max="4892" width="9.7109375" style="712" bestFit="1" customWidth="1"/>
    <col min="4893" max="4893" width="1.7109375" style="712" customWidth="1"/>
    <col min="4894" max="4894" width="6.5703125" style="712" bestFit="1" customWidth="1"/>
    <col min="4895" max="4895" width="40.140625" style="712" bestFit="1" customWidth="1"/>
    <col min="4896" max="4896" width="9.7109375" style="712" bestFit="1" customWidth="1"/>
    <col min="4897" max="4897" width="1.140625" style="712" customWidth="1"/>
    <col min="4898" max="4898" width="9" style="712" bestFit="1" customWidth="1"/>
    <col min="4899" max="4899" width="8.140625" style="712" bestFit="1" customWidth="1"/>
    <col min="4900" max="4900" width="11" style="712" bestFit="1" customWidth="1"/>
    <col min="4901" max="4901" width="17" style="712" customWidth="1"/>
    <col min="4902" max="4902" width="3.85546875" style="712" bestFit="1" customWidth="1"/>
    <col min="4903" max="4903" width="6.5703125" style="712" bestFit="1" customWidth="1"/>
    <col min="4904" max="4905" width="9.140625" style="712"/>
    <col min="4906" max="4906" width="9" style="712" bestFit="1" customWidth="1"/>
    <col min="4907" max="4907" width="8" style="712" bestFit="1" customWidth="1"/>
    <col min="4908" max="4908" width="6.5703125" style="712" bestFit="1" customWidth="1"/>
    <col min="4909" max="5143" width="9.140625" style="712"/>
    <col min="5144" max="5144" width="10.140625" style="712" bestFit="1" customWidth="1"/>
    <col min="5145" max="5145" width="19.42578125" style="712" bestFit="1" customWidth="1"/>
    <col min="5146" max="5146" width="2.28515625" style="712" customWidth="1"/>
    <col min="5147" max="5147" width="6.5703125" style="712" bestFit="1" customWidth="1"/>
    <col min="5148" max="5148" width="9.7109375" style="712" bestFit="1" customWidth="1"/>
    <col min="5149" max="5149" width="1.7109375" style="712" customWidth="1"/>
    <col min="5150" max="5150" width="6.5703125" style="712" bestFit="1" customWidth="1"/>
    <col min="5151" max="5151" width="40.140625" style="712" bestFit="1" customWidth="1"/>
    <col min="5152" max="5152" width="9.7109375" style="712" bestFit="1" customWidth="1"/>
    <col min="5153" max="5153" width="1.140625" style="712" customWidth="1"/>
    <col min="5154" max="5154" width="9" style="712" bestFit="1" customWidth="1"/>
    <col min="5155" max="5155" width="8.140625" style="712" bestFit="1" customWidth="1"/>
    <col min="5156" max="5156" width="11" style="712" bestFit="1" customWidth="1"/>
    <col min="5157" max="5157" width="17" style="712" customWidth="1"/>
    <col min="5158" max="5158" width="3.85546875" style="712" bestFit="1" customWidth="1"/>
    <col min="5159" max="5159" width="6.5703125" style="712" bestFit="1" customWidth="1"/>
    <col min="5160" max="5161" width="9.140625" style="712"/>
    <col min="5162" max="5162" width="9" style="712" bestFit="1" customWidth="1"/>
    <col min="5163" max="5163" width="8" style="712" bestFit="1" customWidth="1"/>
    <col min="5164" max="5164" width="6.5703125" style="712" bestFit="1" customWidth="1"/>
    <col min="5165" max="5399" width="9.140625" style="712"/>
    <col min="5400" max="5400" width="10.140625" style="712" bestFit="1" customWidth="1"/>
    <col min="5401" max="5401" width="19.42578125" style="712" bestFit="1" customWidth="1"/>
    <col min="5402" max="5402" width="2.28515625" style="712" customWidth="1"/>
    <col min="5403" max="5403" width="6.5703125" style="712" bestFit="1" customWidth="1"/>
    <col min="5404" max="5404" width="9.7109375" style="712" bestFit="1" customWidth="1"/>
    <col min="5405" max="5405" width="1.7109375" style="712" customWidth="1"/>
    <col min="5406" max="5406" width="6.5703125" style="712" bestFit="1" customWidth="1"/>
    <col min="5407" max="5407" width="40.140625" style="712" bestFit="1" customWidth="1"/>
    <col min="5408" max="5408" width="9.7109375" style="712" bestFit="1" customWidth="1"/>
    <col min="5409" max="5409" width="1.140625" style="712" customWidth="1"/>
    <col min="5410" max="5410" width="9" style="712" bestFit="1" customWidth="1"/>
    <col min="5411" max="5411" width="8.140625" style="712" bestFit="1" customWidth="1"/>
    <col min="5412" max="5412" width="11" style="712" bestFit="1" customWidth="1"/>
    <col min="5413" max="5413" width="17" style="712" customWidth="1"/>
    <col min="5414" max="5414" width="3.85546875" style="712" bestFit="1" customWidth="1"/>
    <col min="5415" max="5415" width="6.5703125" style="712" bestFit="1" customWidth="1"/>
    <col min="5416" max="5417" width="9.140625" style="712"/>
    <col min="5418" max="5418" width="9" style="712" bestFit="1" customWidth="1"/>
    <col min="5419" max="5419" width="8" style="712" bestFit="1" customWidth="1"/>
    <col min="5420" max="5420" width="6.5703125" style="712" bestFit="1" customWidth="1"/>
    <col min="5421" max="5655" width="9.140625" style="712"/>
    <col min="5656" max="5656" width="10.140625" style="712" bestFit="1" customWidth="1"/>
    <col min="5657" max="5657" width="19.42578125" style="712" bestFit="1" customWidth="1"/>
    <col min="5658" max="5658" width="2.28515625" style="712" customWidth="1"/>
    <col min="5659" max="5659" width="6.5703125" style="712" bestFit="1" customWidth="1"/>
    <col min="5660" max="5660" width="9.7109375" style="712" bestFit="1" customWidth="1"/>
    <col min="5661" max="5661" width="1.7109375" style="712" customWidth="1"/>
    <col min="5662" max="5662" width="6.5703125" style="712" bestFit="1" customWidth="1"/>
    <col min="5663" max="5663" width="40.140625" style="712" bestFit="1" customWidth="1"/>
    <col min="5664" max="5664" width="9.7109375" style="712" bestFit="1" customWidth="1"/>
    <col min="5665" max="5665" width="1.140625" style="712" customWidth="1"/>
    <col min="5666" max="5666" width="9" style="712" bestFit="1" customWidth="1"/>
    <col min="5667" max="5667" width="8.140625" style="712" bestFit="1" customWidth="1"/>
    <col min="5668" max="5668" width="11" style="712" bestFit="1" customWidth="1"/>
    <col min="5669" max="5669" width="17" style="712" customWidth="1"/>
    <col min="5670" max="5670" width="3.85546875" style="712" bestFit="1" customWidth="1"/>
    <col min="5671" max="5671" width="6.5703125" style="712" bestFit="1" customWidth="1"/>
    <col min="5672" max="5673" width="9.140625" style="712"/>
    <col min="5674" max="5674" width="9" style="712" bestFit="1" customWidth="1"/>
    <col min="5675" max="5675" width="8" style="712" bestFit="1" customWidth="1"/>
    <col min="5676" max="5676" width="6.5703125" style="712" bestFit="1" customWidth="1"/>
    <col min="5677" max="5911" width="9.140625" style="712"/>
    <col min="5912" max="5912" width="10.140625" style="712" bestFit="1" customWidth="1"/>
    <col min="5913" max="5913" width="19.42578125" style="712" bestFit="1" customWidth="1"/>
    <col min="5914" max="5914" width="2.28515625" style="712" customWidth="1"/>
    <col min="5915" max="5915" width="6.5703125" style="712" bestFit="1" customWidth="1"/>
    <col min="5916" max="5916" width="9.7109375" style="712" bestFit="1" customWidth="1"/>
    <col min="5917" max="5917" width="1.7109375" style="712" customWidth="1"/>
    <col min="5918" max="5918" width="6.5703125" style="712" bestFit="1" customWidth="1"/>
    <col min="5919" max="5919" width="40.140625" style="712" bestFit="1" customWidth="1"/>
    <col min="5920" max="5920" width="9.7109375" style="712" bestFit="1" customWidth="1"/>
    <col min="5921" max="5921" width="1.140625" style="712" customWidth="1"/>
    <col min="5922" max="5922" width="9" style="712" bestFit="1" customWidth="1"/>
    <col min="5923" max="5923" width="8.140625" style="712" bestFit="1" customWidth="1"/>
    <col min="5924" max="5924" width="11" style="712" bestFit="1" customWidth="1"/>
    <col min="5925" max="5925" width="17" style="712" customWidth="1"/>
    <col min="5926" max="5926" width="3.85546875" style="712" bestFit="1" customWidth="1"/>
    <col min="5927" max="5927" width="6.5703125" style="712" bestFit="1" customWidth="1"/>
    <col min="5928" max="5929" width="9.140625" style="712"/>
    <col min="5930" max="5930" width="9" style="712" bestFit="1" customWidth="1"/>
    <col min="5931" max="5931" width="8" style="712" bestFit="1" customWidth="1"/>
    <col min="5932" max="5932" width="6.5703125" style="712" bestFit="1" customWidth="1"/>
    <col min="5933" max="6167" width="9.140625" style="712"/>
    <col min="6168" max="6168" width="10.140625" style="712" bestFit="1" customWidth="1"/>
    <col min="6169" max="6169" width="19.42578125" style="712" bestFit="1" customWidth="1"/>
    <col min="6170" max="6170" width="2.28515625" style="712" customWidth="1"/>
    <col min="6171" max="6171" width="6.5703125" style="712" bestFit="1" customWidth="1"/>
    <col min="6172" max="6172" width="9.7109375" style="712" bestFit="1" customWidth="1"/>
    <col min="6173" max="6173" width="1.7109375" style="712" customWidth="1"/>
    <col min="6174" max="6174" width="6.5703125" style="712" bestFit="1" customWidth="1"/>
    <col min="6175" max="6175" width="40.140625" style="712" bestFit="1" customWidth="1"/>
    <col min="6176" max="6176" width="9.7109375" style="712" bestFit="1" customWidth="1"/>
    <col min="6177" max="6177" width="1.140625" style="712" customWidth="1"/>
    <col min="6178" max="6178" width="9" style="712" bestFit="1" customWidth="1"/>
    <col min="6179" max="6179" width="8.140625" style="712" bestFit="1" customWidth="1"/>
    <col min="6180" max="6180" width="11" style="712" bestFit="1" customWidth="1"/>
    <col min="6181" max="6181" width="17" style="712" customWidth="1"/>
    <col min="6182" max="6182" width="3.85546875" style="712" bestFit="1" customWidth="1"/>
    <col min="6183" max="6183" width="6.5703125" style="712" bestFit="1" customWidth="1"/>
    <col min="6184" max="6185" width="9.140625" style="712"/>
    <col min="6186" max="6186" width="9" style="712" bestFit="1" customWidth="1"/>
    <col min="6187" max="6187" width="8" style="712" bestFit="1" customWidth="1"/>
    <col min="6188" max="6188" width="6.5703125" style="712" bestFit="1" customWidth="1"/>
    <col min="6189" max="6423" width="9.140625" style="712"/>
    <col min="6424" max="6424" width="10.140625" style="712" bestFit="1" customWidth="1"/>
    <col min="6425" max="6425" width="19.42578125" style="712" bestFit="1" customWidth="1"/>
    <col min="6426" max="6426" width="2.28515625" style="712" customWidth="1"/>
    <col min="6427" max="6427" width="6.5703125" style="712" bestFit="1" customWidth="1"/>
    <col min="6428" max="6428" width="9.7109375" style="712" bestFit="1" customWidth="1"/>
    <col min="6429" max="6429" width="1.7109375" style="712" customWidth="1"/>
    <col min="6430" max="6430" width="6.5703125" style="712" bestFit="1" customWidth="1"/>
    <col min="6431" max="6431" width="40.140625" style="712" bestFit="1" customWidth="1"/>
    <col min="6432" max="6432" width="9.7109375" style="712" bestFit="1" customWidth="1"/>
    <col min="6433" max="6433" width="1.140625" style="712" customWidth="1"/>
    <col min="6434" max="6434" width="9" style="712" bestFit="1" customWidth="1"/>
    <col min="6435" max="6435" width="8.140625" style="712" bestFit="1" customWidth="1"/>
    <col min="6436" max="6436" width="11" style="712" bestFit="1" customWidth="1"/>
    <col min="6437" max="6437" width="17" style="712" customWidth="1"/>
    <col min="6438" max="6438" width="3.85546875" style="712" bestFit="1" customWidth="1"/>
    <col min="6439" max="6439" width="6.5703125" style="712" bestFit="1" customWidth="1"/>
    <col min="6440" max="6441" width="9.140625" style="712"/>
    <col min="6442" max="6442" width="9" style="712" bestFit="1" customWidth="1"/>
    <col min="6443" max="6443" width="8" style="712" bestFit="1" customWidth="1"/>
    <col min="6444" max="6444" width="6.5703125" style="712" bestFit="1" customWidth="1"/>
    <col min="6445" max="6679" width="9.140625" style="712"/>
    <col min="6680" max="6680" width="10.140625" style="712" bestFit="1" customWidth="1"/>
    <col min="6681" max="6681" width="19.42578125" style="712" bestFit="1" customWidth="1"/>
    <col min="6682" max="6682" width="2.28515625" style="712" customWidth="1"/>
    <col min="6683" max="6683" width="6.5703125" style="712" bestFit="1" customWidth="1"/>
    <col min="6684" max="6684" width="9.7109375" style="712" bestFit="1" customWidth="1"/>
    <col min="6685" max="6685" width="1.7109375" style="712" customWidth="1"/>
    <col min="6686" max="6686" width="6.5703125" style="712" bestFit="1" customWidth="1"/>
    <col min="6687" max="6687" width="40.140625" style="712" bestFit="1" customWidth="1"/>
    <col min="6688" max="6688" width="9.7109375" style="712" bestFit="1" customWidth="1"/>
    <col min="6689" max="6689" width="1.140625" style="712" customWidth="1"/>
    <col min="6690" max="6690" width="9" style="712" bestFit="1" customWidth="1"/>
    <col min="6691" max="6691" width="8.140625" style="712" bestFit="1" customWidth="1"/>
    <col min="6692" max="6692" width="11" style="712" bestFit="1" customWidth="1"/>
    <col min="6693" max="6693" width="17" style="712" customWidth="1"/>
    <col min="6694" max="6694" width="3.85546875" style="712" bestFit="1" customWidth="1"/>
    <col min="6695" max="6695" width="6.5703125" style="712" bestFit="1" customWidth="1"/>
    <col min="6696" max="6697" width="9.140625" style="712"/>
    <col min="6698" max="6698" width="9" style="712" bestFit="1" customWidth="1"/>
    <col min="6699" max="6699" width="8" style="712" bestFit="1" customWidth="1"/>
    <col min="6700" max="6700" width="6.5703125" style="712" bestFit="1" customWidth="1"/>
    <col min="6701" max="6935" width="9.140625" style="712"/>
    <col min="6936" max="6936" width="10.140625" style="712" bestFit="1" customWidth="1"/>
    <col min="6937" max="6937" width="19.42578125" style="712" bestFit="1" customWidth="1"/>
    <col min="6938" max="6938" width="2.28515625" style="712" customWidth="1"/>
    <col min="6939" max="6939" width="6.5703125" style="712" bestFit="1" customWidth="1"/>
    <col min="6940" max="6940" width="9.7109375" style="712" bestFit="1" customWidth="1"/>
    <col min="6941" max="6941" width="1.7109375" style="712" customWidth="1"/>
    <col min="6942" max="6942" width="6.5703125" style="712" bestFit="1" customWidth="1"/>
    <col min="6943" max="6943" width="40.140625" style="712" bestFit="1" customWidth="1"/>
    <col min="6944" max="6944" width="9.7109375" style="712" bestFit="1" customWidth="1"/>
    <col min="6945" max="6945" width="1.140625" style="712" customWidth="1"/>
    <col min="6946" max="6946" width="9" style="712" bestFit="1" customWidth="1"/>
    <col min="6947" max="6947" width="8.140625" style="712" bestFit="1" customWidth="1"/>
    <col min="6948" max="6948" width="11" style="712" bestFit="1" customWidth="1"/>
    <col min="6949" max="6949" width="17" style="712" customWidth="1"/>
    <col min="6950" max="6950" width="3.85546875" style="712" bestFit="1" customWidth="1"/>
    <col min="6951" max="6951" width="6.5703125" style="712" bestFit="1" customWidth="1"/>
    <col min="6952" max="6953" width="9.140625" style="712"/>
    <col min="6954" max="6954" width="9" style="712" bestFit="1" customWidth="1"/>
    <col min="6955" max="6955" width="8" style="712" bestFit="1" customWidth="1"/>
    <col min="6956" max="6956" width="6.5703125" style="712" bestFit="1" customWidth="1"/>
    <col min="6957" max="7191" width="9.140625" style="712"/>
    <col min="7192" max="7192" width="10.140625" style="712" bestFit="1" customWidth="1"/>
    <col min="7193" max="7193" width="19.42578125" style="712" bestFit="1" customWidth="1"/>
    <col min="7194" max="7194" width="2.28515625" style="712" customWidth="1"/>
    <col min="7195" max="7195" width="6.5703125" style="712" bestFit="1" customWidth="1"/>
    <col min="7196" max="7196" width="9.7109375" style="712" bestFit="1" customWidth="1"/>
    <col min="7197" max="7197" width="1.7109375" style="712" customWidth="1"/>
    <col min="7198" max="7198" width="6.5703125" style="712" bestFit="1" customWidth="1"/>
    <col min="7199" max="7199" width="40.140625" style="712" bestFit="1" customWidth="1"/>
    <col min="7200" max="7200" width="9.7109375" style="712" bestFit="1" customWidth="1"/>
    <col min="7201" max="7201" width="1.140625" style="712" customWidth="1"/>
    <col min="7202" max="7202" width="9" style="712" bestFit="1" customWidth="1"/>
    <col min="7203" max="7203" width="8.140625" style="712" bestFit="1" customWidth="1"/>
    <col min="7204" max="7204" width="11" style="712" bestFit="1" customWidth="1"/>
    <col min="7205" max="7205" width="17" style="712" customWidth="1"/>
    <col min="7206" max="7206" width="3.85546875" style="712" bestFit="1" customWidth="1"/>
    <col min="7207" max="7207" width="6.5703125" style="712" bestFit="1" customWidth="1"/>
    <col min="7208" max="7209" width="9.140625" style="712"/>
    <col min="7210" max="7210" width="9" style="712" bestFit="1" customWidth="1"/>
    <col min="7211" max="7211" width="8" style="712" bestFit="1" customWidth="1"/>
    <col min="7212" max="7212" width="6.5703125" style="712" bestFit="1" customWidth="1"/>
    <col min="7213" max="7447" width="9.140625" style="712"/>
    <col min="7448" max="7448" width="10.140625" style="712" bestFit="1" customWidth="1"/>
    <col min="7449" max="7449" width="19.42578125" style="712" bestFit="1" customWidth="1"/>
    <col min="7450" max="7450" width="2.28515625" style="712" customWidth="1"/>
    <col min="7451" max="7451" width="6.5703125" style="712" bestFit="1" customWidth="1"/>
    <col min="7452" max="7452" width="9.7109375" style="712" bestFit="1" customWidth="1"/>
    <col min="7453" max="7453" width="1.7109375" style="712" customWidth="1"/>
    <col min="7454" max="7454" width="6.5703125" style="712" bestFit="1" customWidth="1"/>
    <col min="7455" max="7455" width="40.140625" style="712" bestFit="1" customWidth="1"/>
    <col min="7456" max="7456" width="9.7109375" style="712" bestFit="1" customWidth="1"/>
    <col min="7457" max="7457" width="1.140625" style="712" customWidth="1"/>
    <col min="7458" max="7458" width="9" style="712" bestFit="1" customWidth="1"/>
    <col min="7459" max="7459" width="8.140625" style="712" bestFit="1" customWidth="1"/>
    <col min="7460" max="7460" width="11" style="712" bestFit="1" customWidth="1"/>
    <col min="7461" max="7461" width="17" style="712" customWidth="1"/>
    <col min="7462" max="7462" width="3.85546875" style="712" bestFit="1" customWidth="1"/>
    <col min="7463" max="7463" width="6.5703125" style="712" bestFit="1" customWidth="1"/>
    <col min="7464" max="7465" width="9.140625" style="712"/>
    <col min="7466" max="7466" width="9" style="712" bestFit="1" customWidth="1"/>
    <col min="7467" max="7467" width="8" style="712" bestFit="1" customWidth="1"/>
    <col min="7468" max="7468" width="6.5703125" style="712" bestFit="1" customWidth="1"/>
    <col min="7469" max="7703" width="9.140625" style="712"/>
    <col min="7704" max="7704" width="10.140625" style="712" bestFit="1" customWidth="1"/>
    <col min="7705" max="7705" width="19.42578125" style="712" bestFit="1" customWidth="1"/>
    <col min="7706" max="7706" width="2.28515625" style="712" customWidth="1"/>
    <col min="7707" max="7707" width="6.5703125" style="712" bestFit="1" customWidth="1"/>
    <col min="7708" max="7708" width="9.7109375" style="712" bestFit="1" customWidth="1"/>
    <col min="7709" max="7709" width="1.7109375" style="712" customWidth="1"/>
    <col min="7710" max="7710" width="6.5703125" style="712" bestFit="1" customWidth="1"/>
    <col min="7711" max="7711" width="40.140625" style="712" bestFit="1" customWidth="1"/>
    <col min="7712" max="7712" width="9.7109375" style="712" bestFit="1" customWidth="1"/>
    <col min="7713" max="7713" width="1.140625" style="712" customWidth="1"/>
    <col min="7714" max="7714" width="9" style="712" bestFit="1" customWidth="1"/>
    <col min="7715" max="7715" width="8.140625" style="712" bestFit="1" customWidth="1"/>
    <col min="7716" max="7716" width="11" style="712" bestFit="1" customWidth="1"/>
    <col min="7717" max="7717" width="17" style="712" customWidth="1"/>
    <col min="7718" max="7718" width="3.85546875" style="712" bestFit="1" customWidth="1"/>
    <col min="7719" max="7719" width="6.5703125" style="712" bestFit="1" customWidth="1"/>
    <col min="7720" max="7721" width="9.140625" style="712"/>
    <col min="7722" max="7722" width="9" style="712" bestFit="1" customWidth="1"/>
    <col min="7723" max="7723" width="8" style="712" bestFit="1" customWidth="1"/>
    <col min="7724" max="7724" width="6.5703125" style="712" bestFit="1" customWidth="1"/>
    <col min="7725" max="7959" width="9.140625" style="712"/>
    <col min="7960" max="7960" width="10.140625" style="712" bestFit="1" customWidth="1"/>
    <col min="7961" max="7961" width="19.42578125" style="712" bestFit="1" customWidth="1"/>
    <col min="7962" max="7962" width="2.28515625" style="712" customWidth="1"/>
    <col min="7963" max="7963" width="6.5703125" style="712" bestFit="1" customWidth="1"/>
    <col min="7964" max="7964" width="9.7109375" style="712" bestFit="1" customWidth="1"/>
    <col min="7965" max="7965" width="1.7109375" style="712" customWidth="1"/>
    <col min="7966" max="7966" width="6.5703125" style="712" bestFit="1" customWidth="1"/>
    <col min="7967" max="7967" width="40.140625" style="712" bestFit="1" customWidth="1"/>
    <col min="7968" max="7968" width="9.7109375" style="712" bestFit="1" customWidth="1"/>
    <col min="7969" max="7969" width="1.140625" style="712" customWidth="1"/>
    <col min="7970" max="7970" width="9" style="712" bestFit="1" customWidth="1"/>
    <col min="7971" max="7971" width="8.140625" style="712" bestFit="1" customWidth="1"/>
    <col min="7972" max="7972" width="11" style="712" bestFit="1" customWidth="1"/>
    <col min="7973" max="7973" width="17" style="712" customWidth="1"/>
    <col min="7974" max="7974" width="3.85546875" style="712" bestFit="1" customWidth="1"/>
    <col min="7975" max="7975" width="6.5703125" style="712" bestFit="1" customWidth="1"/>
    <col min="7976" max="7977" width="9.140625" style="712"/>
    <col min="7978" max="7978" width="9" style="712" bestFit="1" customWidth="1"/>
    <col min="7979" max="7979" width="8" style="712" bestFit="1" customWidth="1"/>
    <col min="7980" max="7980" width="6.5703125" style="712" bestFit="1" customWidth="1"/>
    <col min="7981" max="8215" width="9.140625" style="712"/>
    <col min="8216" max="8216" width="10.140625" style="712" bestFit="1" customWidth="1"/>
    <col min="8217" max="8217" width="19.42578125" style="712" bestFit="1" customWidth="1"/>
    <col min="8218" max="8218" width="2.28515625" style="712" customWidth="1"/>
    <col min="8219" max="8219" width="6.5703125" style="712" bestFit="1" customWidth="1"/>
    <col min="8220" max="8220" width="9.7109375" style="712" bestFit="1" customWidth="1"/>
    <col min="8221" max="8221" width="1.7109375" style="712" customWidth="1"/>
    <col min="8222" max="8222" width="6.5703125" style="712" bestFit="1" customWidth="1"/>
    <col min="8223" max="8223" width="40.140625" style="712" bestFit="1" customWidth="1"/>
    <col min="8224" max="8224" width="9.7109375" style="712" bestFit="1" customWidth="1"/>
    <col min="8225" max="8225" width="1.140625" style="712" customWidth="1"/>
    <col min="8226" max="8226" width="9" style="712" bestFit="1" customWidth="1"/>
    <col min="8227" max="8227" width="8.140625" style="712" bestFit="1" customWidth="1"/>
    <col min="8228" max="8228" width="11" style="712" bestFit="1" customWidth="1"/>
    <col min="8229" max="8229" width="17" style="712" customWidth="1"/>
    <col min="8230" max="8230" width="3.85546875" style="712" bestFit="1" customWidth="1"/>
    <col min="8231" max="8231" width="6.5703125" style="712" bestFit="1" customWidth="1"/>
    <col min="8232" max="8233" width="9.140625" style="712"/>
    <col min="8234" max="8234" width="9" style="712" bestFit="1" customWidth="1"/>
    <col min="8235" max="8235" width="8" style="712" bestFit="1" customWidth="1"/>
    <col min="8236" max="8236" width="6.5703125" style="712" bestFit="1" customWidth="1"/>
    <col min="8237" max="8471" width="9.140625" style="712"/>
    <col min="8472" max="8472" width="10.140625" style="712" bestFit="1" customWidth="1"/>
    <col min="8473" max="8473" width="19.42578125" style="712" bestFit="1" customWidth="1"/>
    <col min="8474" max="8474" width="2.28515625" style="712" customWidth="1"/>
    <col min="8475" max="8475" width="6.5703125" style="712" bestFit="1" customWidth="1"/>
    <col min="8476" max="8476" width="9.7109375" style="712" bestFit="1" customWidth="1"/>
    <col min="8477" max="8477" width="1.7109375" style="712" customWidth="1"/>
    <col min="8478" max="8478" width="6.5703125" style="712" bestFit="1" customWidth="1"/>
    <col min="8479" max="8479" width="40.140625" style="712" bestFit="1" customWidth="1"/>
    <col min="8480" max="8480" width="9.7109375" style="712" bestFit="1" customWidth="1"/>
    <col min="8481" max="8481" width="1.140625" style="712" customWidth="1"/>
    <col min="8482" max="8482" width="9" style="712" bestFit="1" customWidth="1"/>
    <col min="8483" max="8483" width="8.140625" style="712" bestFit="1" customWidth="1"/>
    <col min="8484" max="8484" width="11" style="712" bestFit="1" customWidth="1"/>
    <col min="8485" max="8485" width="17" style="712" customWidth="1"/>
    <col min="8486" max="8486" width="3.85546875" style="712" bestFit="1" customWidth="1"/>
    <col min="8487" max="8487" width="6.5703125" style="712" bestFit="1" customWidth="1"/>
    <col min="8488" max="8489" width="9.140625" style="712"/>
    <col min="8490" max="8490" width="9" style="712" bestFit="1" customWidth="1"/>
    <col min="8491" max="8491" width="8" style="712" bestFit="1" customWidth="1"/>
    <col min="8492" max="8492" width="6.5703125" style="712" bestFit="1" customWidth="1"/>
    <col min="8493" max="8727" width="9.140625" style="712"/>
    <col min="8728" max="8728" width="10.140625" style="712" bestFit="1" customWidth="1"/>
    <col min="8729" max="8729" width="19.42578125" style="712" bestFit="1" customWidth="1"/>
    <col min="8730" max="8730" width="2.28515625" style="712" customWidth="1"/>
    <col min="8731" max="8731" width="6.5703125" style="712" bestFit="1" customWidth="1"/>
    <col min="8732" max="8732" width="9.7109375" style="712" bestFit="1" customWidth="1"/>
    <col min="8733" max="8733" width="1.7109375" style="712" customWidth="1"/>
    <col min="8734" max="8734" width="6.5703125" style="712" bestFit="1" customWidth="1"/>
    <col min="8735" max="8735" width="40.140625" style="712" bestFit="1" customWidth="1"/>
    <col min="8736" max="8736" width="9.7109375" style="712" bestFit="1" customWidth="1"/>
    <col min="8737" max="8737" width="1.140625" style="712" customWidth="1"/>
    <col min="8738" max="8738" width="9" style="712" bestFit="1" customWidth="1"/>
    <col min="8739" max="8739" width="8.140625" style="712" bestFit="1" customWidth="1"/>
    <col min="8740" max="8740" width="11" style="712" bestFit="1" customWidth="1"/>
    <col min="8741" max="8741" width="17" style="712" customWidth="1"/>
    <col min="8742" max="8742" width="3.85546875" style="712" bestFit="1" customWidth="1"/>
    <col min="8743" max="8743" width="6.5703125" style="712" bestFit="1" customWidth="1"/>
    <col min="8744" max="8745" width="9.140625" style="712"/>
    <col min="8746" max="8746" width="9" style="712" bestFit="1" customWidth="1"/>
    <col min="8747" max="8747" width="8" style="712" bestFit="1" customWidth="1"/>
    <col min="8748" max="8748" width="6.5703125" style="712" bestFit="1" customWidth="1"/>
    <col min="8749" max="8983" width="9.140625" style="712"/>
    <col min="8984" max="8984" width="10.140625" style="712" bestFit="1" customWidth="1"/>
    <col min="8985" max="8985" width="19.42578125" style="712" bestFit="1" customWidth="1"/>
    <col min="8986" max="8986" width="2.28515625" style="712" customWidth="1"/>
    <col min="8987" max="8987" width="6.5703125" style="712" bestFit="1" customWidth="1"/>
    <col min="8988" max="8988" width="9.7109375" style="712" bestFit="1" customWidth="1"/>
    <col min="8989" max="8989" width="1.7109375" style="712" customWidth="1"/>
    <col min="8990" max="8990" width="6.5703125" style="712" bestFit="1" customWidth="1"/>
    <col min="8991" max="8991" width="40.140625" style="712" bestFit="1" customWidth="1"/>
    <col min="8992" max="8992" width="9.7109375" style="712" bestFit="1" customWidth="1"/>
    <col min="8993" max="8993" width="1.140625" style="712" customWidth="1"/>
    <col min="8994" max="8994" width="9" style="712" bestFit="1" customWidth="1"/>
    <col min="8995" max="8995" width="8.140625" style="712" bestFit="1" customWidth="1"/>
    <col min="8996" max="8996" width="11" style="712" bestFit="1" customWidth="1"/>
    <col min="8997" max="8997" width="17" style="712" customWidth="1"/>
    <col min="8998" max="8998" width="3.85546875" style="712" bestFit="1" customWidth="1"/>
    <col min="8999" max="8999" width="6.5703125" style="712" bestFit="1" customWidth="1"/>
    <col min="9000" max="9001" width="9.140625" style="712"/>
    <col min="9002" max="9002" width="9" style="712" bestFit="1" customWidth="1"/>
    <col min="9003" max="9003" width="8" style="712" bestFit="1" customWidth="1"/>
    <col min="9004" max="9004" width="6.5703125" style="712" bestFit="1" customWidth="1"/>
    <col min="9005" max="9239" width="9.140625" style="712"/>
    <col min="9240" max="9240" width="10.140625" style="712" bestFit="1" customWidth="1"/>
    <col min="9241" max="9241" width="19.42578125" style="712" bestFit="1" customWidth="1"/>
    <col min="9242" max="9242" width="2.28515625" style="712" customWidth="1"/>
    <col min="9243" max="9243" width="6.5703125" style="712" bestFit="1" customWidth="1"/>
    <col min="9244" max="9244" width="9.7109375" style="712" bestFit="1" customWidth="1"/>
    <col min="9245" max="9245" width="1.7109375" style="712" customWidth="1"/>
    <col min="9246" max="9246" width="6.5703125" style="712" bestFit="1" customWidth="1"/>
    <col min="9247" max="9247" width="40.140625" style="712" bestFit="1" customWidth="1"/>
    <col min="9248" max="9248" width="9.7109375" style="712" bestFit="1" customWidth="1"/>
    <col min="9249" max="9249" width="1.140625" style="712" customWidth="1"/>
    <col min="9250" max="9250" width="9" style="712" bestFit="1" customWidth="1"/>
    <col min="9251" max="9251" width="8.140625" style="712" bestFit="1" customWidth="1"/>
    <col min="9252" max="9252" width="11" style="712" bestFit="1" customWidth="1"/>
    <col min="9253" max="9253" width="17" style="712" customWidth="1"/>
    <col min="9254" max="9254" width="3.85546875" style="712" bestFit="1" customWidth="1"/>
    <col min="9255" max="9255" width="6.5703125" style="712" bestFit="1" customWidth="1"/>
    <col min="9256" max="9257" width="9.140625" style="712"/>
    <col min="9258" max="9258" width="9" style="712" bestFit="1" customWidth="1"/>
    <col min="9259" max="9259" width="8" style="712" bestFit="1" customWidth="1"/>
    <col min="9260" max="9260" width="6.5703125" style="712" bestFit="1" customWidth="1"/>
    <col min="9261" max="9495" width="9.140625" style="712"/>
    <col min="9496" max="9496" width="10.140625" style="712" bestFit="1" customWidth="1"/>
    <col min="9497" max="9497" width="19.42578125" style="712" bestFit="1" customWidth="1"/>
    <col min="9498" max="9498" width="2.28515625" style="712" customWidth="1"/>
    <col min="9499" max="9499" width="6.5703125" style="712" bestFit="1" customWidth="1"/>
    <col min="9500" max="9500" width="9.7109375" style="712" bestFit="1" customWidth="1"/>
    <col min="9501" max="9501" width="1.7109375" style="712" customWidth="1"/>
    <col min="9502" max="9502" width="6.5703125" style="712" bestFit="1" customWidth="1"/>
    <col min="9503" max="9503" width="40.140625" style="712" bestFit="1" customWidth="1"/>
    <col min="9504" max="9504" width="9.7109375" style="712" bestFit="1" customWidth="1"/>
    <col min="9505" max="9505" width="1.140625" style="712" customWidth="1"/>
    <col min="9506" max="9506" width="9" style="712" bestFit="1" customWidth="1"/>
    <col min="9507" max="9507" width="8.140625" style="712" bestFit="1" customWidth="1"/>
    <col min="9508" max="9508" width="11" style="712" bestFit="1" customWidth="1"/>
    <col min="9509" max="9509" width="17" style="712" customWidth="1"/>
    <col min="9510" max="9510" width="3.85546875" style="712" bestFit="1" customWidth="1"/>
    <col min="9511" max="9511" width="6.5703125" style="712" bestFit="1" customWidth="1"/>
    <col min="9512" max="9513" width="9.140625" style="712"/>
    <col min="9514" max="9514" width="9" style="712" bestFit="1" customWidth="1"/>
    <col min="9515" max="9515" width="8" style="712" bestFit="1" customWidth="1"/>
    <col min="9516" max="9516" width="6.5703125" style="712" bestFit="1" customWidth="1"/>
    <col min="9517" max="9751" width="9.140625" style="712"/>
    <col min="9752" max="9752" width="10.140625" style="712" bestFit="1" customWidth="1"/>
    <col min="9753" max="9753" width="19.42578125" style="712" bestFit="1" customWidth="1"/>
    <col min="9754" max="9754" width="2.28515625" style="712" customWidth="1"/>
    <col min="9755" max="9755" width="6.5703125" style="712" bestFit="1" customWidth="1"/>
    <col min="9756" max="9756" width="9.7109375" style="712" bestFit="1" customWidth="1"/>
    <col min="9757" max="9757" width="1.7109375" style="712" customWidth="1"/>
    <col min="9758" max="9758" width="6.5703125" style="712" bestFit="1" customWidth="1"/>
    <col min="9759" max="9759" width="40.140625" style="712" bestFit="1" customWidth="1"/>
    <col min="9760" max="9760" width="9.7109375" style="712" bestFit="1" customWidth="1"/>
    <col min="9761" max="9761" width="1.140625" style="712" customWidth="1"/>
    <col min="9762" max="9762" width="9" style="712" bestFit="1" customWidth="1"/>
    <col min="9763" max="9763" width="8.140625" style="712" bestFit="1" customWidth="1"/>
    <col min="9764" max="9764" width="11" style="712" bestFit="1" customWidth="1"/>
    <col min="9765" max="9765" width="17" style="712" customWidth="1"/>
    <col min="9766" max="9766" width="3.85546875" style="712" bestFit="1" customWidth="1"/>
    <col min="9767" max="9767" width="6.5703125" style="712" bestFit="1" customWidth="1"/>
    <col min="9768" max="9769" width="9.140625" style="712"/>
    <col min="9770" max="9770" width="9" style="712" bestFit="1" customWidth="1"/>
    <col min="9771" max="9771" width="8" style="712" bestFit="1" customWidth="1"/>
    <col min="9772" max="9772" width="6.5703125" style="712" bestFit="1" customWidth="1"/>
    <col min="9773" max="10007" width="9.140625" style="712"/>
    <col min="10008" max="10008" width="10.140625" style="712" bestFit="1" customWidth="1"/>
    <col min="10009" max="10009" width="19.42578125" style="712" bestFit="1" customWidth="1"/>
    <col min="10010" max="10010" width="2.28515625" style="712" customWidth="1"/>
    <col min="10011" max="10011" width="6.5703125" style="712" bestFit="1" customWidth="1"/>
    <col min="10012" max="10012" width="9.7109375" style="712" bestFit="1" customWidth="1"/>
    <col min="10013" max="10013" width="1.7109375" style="712" customWidth="1"/>
    <col min="10014" max="10014" width="6.5703125" style="712" bestFit="1" customWidth="1"/>
    <col min="10015" max="10015" width="40.140625" style="712" bestFit="1" customWidth="1"/>
    <col min="10016" max="10016" width="9.7109375" style="712" bestFit="1" customWidth="1"/>
    <col min="10017" max="10017" width="1.140625" style="712" customWidth="1"/>
    <col min="10018" max="10018" width="9" style="712" bestFit="1" customWidth="1"/>
    <col min="10019" max="10019" width="8.140625" style="712" bestFit="1" customWidth="1"/>
    <col min="10020" max="10020" width="11" style="712" bestFit="1" customWidth="1"/>
    <col min="10021" max="10021" width="17" style="712" customWidth="1"/>
    <col min="10022" max="10022" width="3.85546875" style="712" bestFit="1" customWidth="1"/>
    <col min="10023" max="10023" width="6.5703125" style="712" bestFit="1" customWidth="1"/>
    <col min="10024" max="10025" width="9.140625" style="712"/>
    <col min="10026" max="10026" width="9" style="712" bestFit="1" customWidth="1"/>
    <col min="10027" max="10027" width="8" style="712" bestFit="1" customWidth="1"/>
    <col min="10028" max="10028" width="6.5703125" style="712" bestFit="1" customWidth="1"/>
    <col min="10029" max="10263" width="9.140625" style="712"/>
    <col min="10264" max="10264" width="10.140625" style="712" bestFit="1" customWidth="1"/>
    <col min="10265" max="10265" width="19.42578125" style="712" bestFit="1" customWidth="1"/>
    <col min="10266" max="10266" width="2.28515625" style="712" customWidth="1"/>
    <col min="10267" max="10267" width="6.5703125" style="712" bestFit="1" customWidth="1"/>
    <col min="10268" max="10268" width="9.7109375" style="712" bestFit="1" customWidth="1"/>
    <col min="10269" max="10269" width="1.7109375" style="712" customWidth="1"/>
    <col min="10270" max="10270" width="6.5703125" style="712" bestFit="1" customWidth="1"/>
    <col min="10271" max="10271" width="40.140625" style="712" bestFit="1" customWidth="1"/>
    <col min="10272" max="10272" width="9.7109375" style="712" bestFit="1" customWidth="1"/>
    <col min="10273" max="10273" width="1.140625" style="712" customWidth="1"/>
    <col min="10274" max="10274" width="9" style="712" bestFit="1" customWidth="1"/>
    <col min="10275" max="10275" width="8.140625" style="712" bestFit="1" customWidth="1"/>
    <col min="10276" max="10276" width="11" style="712" bestFit="1" customWidth="1"/>
    <col min="10277" max="10277" width="17" style="712" customWidth="1"/>
    <col min="10278" max="10278" width="3.85546875" style="712" bestFit="1" customWidth="1"/>
    <col min="10279" max="10279" width="6.5703125" style="712" bestFit="1" customWidth="1"/>
    <col min="10280" max="10281" width="9.140625" style="712"/>
    <col min="10282" max="10282" width="9" style="712" bestFit="1" customWidth="1"/>
    <col min="10283" max="10283" width="8" style="712" bestFit="1" customWidth="1"/>
    <col min="10284" max="10284" width="6.5703125" style="712" bestFit="1" customWidth="1"/>
    <col min="10285" max="10519" width="9.140625" style="712"/>
    <col min="10520" max="10520" width="10.140625" style="712" bestFit="1" customWidth="1"/>
    <col min="10521" max="10521" width="19.42578125" style="712" bestFit="1" customWidth="1"/>
    <col min="10522" max="10522" width="2.28515625" style="712" customWidth="1"/>
    <col min="10523" max="10523" width="6.5703125" style="712" bestFit="1" customWidth="1"/>
    <col min="10524" max="10524" width="9.7109375" style="712" bestFit="1" customWidth="1"/>
    <col min="10525" max="10525" width="1.7109375" style="712" customWidth="1"/>
    <col min="10526" max="10526" width="6.5703125" style="712" bestFit="1" customWidth="1"/>
    <col min="10527" max="10527" width="40.140625" style="712" bestFit="1" customWidth="1"/>
    <col min="10528" max="10528" width="9.7109375" style="712" bestFit="1" customWidth="1"/>
    <col min="10529" max="10529" width="1.140625" style="712" customWidth="1"/>
    <col min="10530" max="10530" width="9" style="712" bestFit="1" customWidth="1"/>
    <col min="10531" max="10531" width="8.140625" style="712" bestFit="1" customWidth="1"/>
    <col min="10532" max="10532" width="11" style="712" bestFit="1" customWidth="1"/>
    <col min="10533" max="10533" width="17" style="712" customWidth="1"/>
    <col min="10534" max="10534" width="3.85546875" style="712" bestFit="1" customWidth="1"/>
    <col min="10535" max="10535" width="6.5703125" style="712" bestFit="1" customWidth="1"/>
    <col min="10536" max="10537" width="9.140625" style="712"/>
    <col min="10538" max="10538" width="9" style="712" bestFit="1" customWidth="1"/>
    <col min="10539" max="10539" width="8" style="712" bestFit="1" customWidth="1"/>
    <col min="10540" max="10540" width="6.5703125" style="712" bestFit="1" customWidth="1"/>
    <col min="10541" max="10775" width="9.140625" style="712"/>
    <col min="10776" max="10776" width="10.140625" style="712" bestFit="1" customWidth="1"/>
    <col min="10777" max="10777" width="19.42578125" style="712" bestFit="1" customWidth="1"/>
    <col min="10778" max="10778" width="2.28515625" style="712" customWidth="1"/>
    <col min="10779" max="10779" width="6.5703125" style="712" bestFit="1" customWidth="1"/>
    <col min="10780" max="10780" width="9.7109375" style="712" bestFit="1" customWidth="1"/>
    <col min="10781" max="10781" width="1.7109375" style="712" customWidth="1"/>
    <col min="10782" max="10782" width="6.5703125" style="712" bestFit="1" customWidth="1"/>
    <col min="10783" max="10783" width="40.140625" style="712" bestFit="1" customWidth="1"/>
    <col min="10784" max="10784" width="9.7109375" style="712" bestFit="1" customWidth="1"/>
    <col min="10785" max="10785" width="1.140625" style="712" customWidth="1"/>
    <col min="10786" max="10786" width="9" style="712" bestFit="1" customWidth="1"/>
    <col min="10787" max="10787" width="8.140625" style="712" bestFit="1" customWidth="1"/>
    <col min="10788" max="10788" width="11" style="712" bestFit="1" customWidth="1"/>
    <col min="10789" max="10789" width="17" style="712" customWidth="1"/>
    <col min="10790" max="10790" width="3.85546875" style="712" bestFit="1" customWidth="1"/>
    <col min="10791" max="10791" width="6.5703125" style="712" bestFit="1" customWidth="1"/>
    <col min="10792" max="10793" width="9.140625" style="712"/>
    <col min="10794" max="10794" width="9" style="712" bestFit="1" customWidth="1"/>
    <col min="10795" max="10795" width="8" style="712" bestFit="1" customWidth="1"/>
    <col min="10796" max="10796" width="6.5703125" style="712" bestFit="1" customWidth="1"/>
    <col min="10797" max="11031" width="9.140625" style="712"/>
    <col min="11032" max="11032" width="10.140625" style="712" bestFit="1" customWidth="1"/>
    <col min="11033" max="11033" width="19.42578125" style="712" bestFit="1" customWidth="1"/>
    <col min="11034" max="11034" width="2.28515625" style="712" customWidth="1"/>
    <col min="11035" max="11035" width="6.5703125" style="712" bestFit="1" customWidth="1"/>
    <col min="11036" max="11036" width="9.7109375" style="712" bestFit="1" customWidth="1"/>
    <col min="11037" max="11037" width="1.7109375" style="712" customWidth="1"/>
    <col min="11038" max="11038" width="6.5703125" style="712" bestFit="1" customWidth="1"/>
    <col min="11039" max="11039" width="40.140625" style="712" bestFit="1" customWidth="1"/>
    <col min="11040" max="11040" width="9.7109375" style="712" bestFit="1" customWidth="1"/>
    <col min="11041" max="11041" width="1.140625" style="712" customWidth="1"/>
    <col min="11042" max="11042" width="9" style="712" bestFit="1" customWidth="1"/>
    <col min="11043" max="11043" width="8.140625" style="712" bestFit="1" customWidth="1"/>
    <col min="11044" max="11044" width="11" style="712" bestFit="1" customWidth="1"/>
    <col min="11045" max="11045" width="17" style="712" customWidth="1"/>
    <col min="11046" max="11046" width="3.85546875" style="712" bestFit="1" customWidth="1"/>
    <col min="11047" max="11047" width="6.5703125" style="712" bestFit="1" customWidth="1"/>
    <col min="11048" max="11049" width="9.140625" style="712"/>
    <col min="11050" max="11050" width="9" style="712" bestFit="1" customWidth="1"/>
    <col min="11051" max="11051" width="8" style="712" bestFit="1" customWidth="1"/>
    <col min="11052" max="11052" width="6.5703125" style="712" bestFit="1" customWidth="1"/>
    <col min="11053" max="11287" width="9.140625" style="712"/>
    <col min="11288" max="11288" width="10.140625" style="712" bestFit="1" customWidth="1"/>
    <col min="11289" max="11289" width="19.42578125" style="712" bestFit="1" customWidth="1"/>
    <col min="11290" max="11290" width="2.28515625" style="712" customWidth="1"/>
    <col min="11291" max="11291" width="6.5703125" style="712" bestFit="1" customWidth="1"/>
    <col min="11292" max="11292" width="9.7109375" style="712" bestFit="1" customWidth="1"/>
    <col min="11293" max="11293" width="1.7109375" style="712" customWidth="1"/>
    <col min="11294" max="11294" width="6.5703125" style="712" bestFit="1" customWidth="1"/>
    <col min="11295" max="11295" width="40.140625" style="712" bestFit="1" customWidth="1"/>
    <col min="11296" max="11296" width="9.7109375" style="712" bestFit="1" customWidth="1"/>
    <col min="11297" max="11297" width="1.140625" style="712" customWidth="1"/>
    <col min="11298" max="11298" width="9" style="712" bestFit="1" customWidth="1"/>
    <col min="11299" max="11299" width="8.140625" style="712" bestFit="1" customWidth="1"/>
    <col min="11300" max="11300" width="11" style="712" bestFit="1" customWidth="1"/>
    <col min="11301" max="11301" width="17" style="712" customWidth="1"/>
    <col min="11302" max="11302" width="3.85546875" style="712" bestFit="1" customWidth="1"/>
    <col min="11303" max="11303" width="6.5703125" style="712" bestFit="1" customWidth="1"/>
    <col min="11304" max="11305" width="9.140625" style="712"/>
    <col min="11306" max="11306" width="9" style="712" bestFit="1" customWidth="1"/>
    <col min="11307" max="11307" width="8" style="712" bestFit="1" customWidth="1"/>
    <col min="11308" max="11308" width="6.5703125" style="712" bestFit="1" customWidth="1"/>
    <col min="11309" max="11543" width="9.140625" style="712"/>
    <col min="11544" max="11544" width="10.140625" style="712" bestFit="1" customWidth="1"/>
    <col min="11545" max="11545" width="19.42578125" style="712" bestFit="1" customWidth="1"/>
    <col min="11546" max="11546" width="2.28515625" style="712" customWidth="1"/>
    <col min="11547" max="11547" width="6.5703125" style="712" bestFit="1" customWidth="1"/>
    <col min="11548" max="11548" width="9.7109375" style="712" bestFit="1" customWidth="1"/>
    <col min="11549" max="11549" width="1.7109375" style="712" customWidth="1"/>
    <col min="11550" max="11550" width="6.5703125" style="712" bestFit="1" customWidth="1"/>
    <col min="11551" max="11551" width="40.140625" style="712" bestFit="1" customWidth="1"/>
    <col min="11552" max="11552" width="9.7109375" style="712" bestFit="1" customWidth="1"/>
    <col min="11553" max="11553" width="1.140625" style="712" customWidth="1"/>
    <col min="11554" max="11554" width="9" style="712" bestFit="1" customWidth="1"/>
    <col min="11555" max="11555" width="8.140625" style="712" bestFit="1" customWidth="1"/>
    <col min="11556" max="11556" width="11" style="712" bestFit="1" customWidth="1"/>
    <col min="11557" max="11557" width="17" style="712" customWidth="1"/>
    <col min="11558" max="11558" width="3.85546875" style="712" bestFit="1" customWidth="1"/>
    <col min="11559" max="11559" width="6.5703125" style="712" bestFit="1" customWidth="1"/>
    <col min="11560" max="11561" width="9.140625" style="712"/>
    <col min="11562" max="11562" width="9" style="712" bestFit="1" customWidth="1"/>
    <col min="11563" max="11563" width="8" style="712" bestFit="1" customWidth="1"/>
    <col min="11564" max="11564" width="6.5703125" style="712" bestFit="1" customWidth="1"/>
    <col min="11565" max="11799" width="9.140625" style="712"/>
    <col min="11800" max="11800" width="10.140625" style="712" bestFit="1" customWidth="1"/>
    <col min="11801" max="11801" width="19.42578125" style="712" bestFit="1" customWidth="1"/>
    <col min="11802" max="11802" width="2.28515625" style="712" customWidth="1"/>
    <col min="11803" max="11803" width="6.5703125" style="712" bestFit="1" customWidth="1"/>
    <col min="11804" max="11804" width="9.7109375" style="712" bestFit="1" customWidth="1"/>
    <col min="11805" max="11805" width="1.7109375" style="712" customWidth="1"/>
    <col min="11806" max="11806" width="6.5703125" style="712" bestFit="1" customWidth="1"/>
    <col min="11807" max="11807" width="40.140625" style="712" bestFit="1" customWidth="1"/>
    <col min="11808" max="11808" width="9.7109375" style="712" bestFit="1" customWidth="1"/>
    <col min="11809" max="11809" width="1.140625" style="712" customWidth="1"/>
    <col min="11810" max="11810" width="9" style="712" bestFit="1" customWidth="1"/>
    <col min="11811" max="11811" width="8.140625" style="712" bestFit="1" customWidth="1"/>
    <col min="11812" max="11812" width="11" style="712" bestFit="1" customWidth="1"/>
    <col min="11813" max="11813" width="17" style="712" customWidth="1"/>
    <col min="11814" max="11814" width="3.85546875" style="712" bestFit="1" customWidth="1"/>
    <col min="11815" max="11815" width="6.5703125" style="712" bestFit="1" customWidth="1"/>
    <col min="11816" max="11817" width="9.140625" style="712"/>
    <col min="11818" max="11818" width="9" style="712" bestFit="1" customWidth="1"/>
    <col min="11819" max="11819" width="8" style="712" bestFit="1" customWidth="1"/>
    <col min="11820" max="11820" width="6.5703125" style="712" bestFit="1" customWidth="1"/>
    <col min="11821" max="12055" width="9.140625" style="712"/>
    <col min="12056" max="12056" width="10.140625" style="712" bestFit="1" customWidth="1"/>
    <col min="12057" max="12057" width="19.42578125" style="712" bestFit="1" customWidth="1"/>
    <col min="12058" max="12058" width="2.28515625" style="712" customWidth="1"/>
    <col min="12059" max="12059" width="6.5703125" style="712" bestFit="1" customWidth="1"/>
    <col min="12060" max="12060" width="9.7109375" style="712" bestFit="1" customWidth="1"/>
    <col min="12061" max="12061" width="1.7109375" style="712" customWidth="1"/>
    <col min="12062" max="12062" width="6.5703125" style="712" bestFit="1" customWidth="1"/>
    <col min="12063" max="12063" width="40.140625" style="712" bestFit="1" customWidth="1"/>
    <col min="12064" max="12064" width="9.7109375" style="712" bestFit="1" customWidth="1"/>
    <col min="12065" max="12065" width="1.140625" style="712" customWidth="1"/>
    <col min="12066" max="12066" width="9" style="712" bestFit="1" customWidth="1"/>
    <col min="12067" max="12067" width="8.140625" style="712" bestFit="1" customWidth="1"/>
    <col min="12068" max="12068" width="11" style="712" bestFit="1" customWidth="1"/>
    <col min="12069" max="12069" width="17" style="712" customWidth="1"/>
    <col min="12070" max="12070" width="3.85546875" style="712" bestFit="1" customWidth="1"/>
    <col min="12071" max="12071" width="6.5703125" style="712" bestFit="1" customWidth="1"/>
    <col min="12072" max="12073" width="9.140625" style="712"/>
    <col min="12074" max="12074" width="9" style="712" bestFit="1" customWidth="1"/>
    <col min="12075" max="12075" width="8" style="712" bestFit="1" customWidth="1"/>
    <col min="12076" max="12076" width="6.5703125" style="712" bestFit="1" customWidth="1"/>
    <col min="12077" max="12311" width="9.140625" style="712"/>
    <col min="12312" max="12312" width="10.140625" style="712" bestFit="1" customWidth="1"/>
    <col min="12313" max="12313" width="19.42578125" style="712" bestFit="1" customWidth="1"/>
    <col min="12314" max="12314" width="2.28515625" style="712" customWidth="1"/>
    <col min="12315" max="12315" width="6.5703125" style="712" bestFit="1" customWidth="1"/>
    <col min="12316" max="12316" width="9.7109375" style="712" bestFit="1" customWidth="1"/>
    <col min="12317" max="12317" width="1.7109375" style="712" customWidth="1"/>
    <col min="12318" max="12318" width="6.5703125" style="712" bestFit="1" customWidth="1"/>
    <col min="12319" max="12319" width="40.140625" style="712" bestFit="1" customWidth="1"/>
    <col min="12320" max="12320" width="9.7109375" style="712" bestFit="1" customWidth="1"/>
    <col min="12321" max="12321" width="1.140625" style="712" customWidth="1"/>
    <col min="12322" max="12322" width="9" style="712" bestFit="1" customWidth="1"/>
    <col min="12323" max="12323" width="8.140625" style="712" bestFit="1" customWidth="1"/>
    <col min="12324" max="12324" width="11" style="712" bestFit="1" customWidth="1"/>
    <col min="12325" max="12325" width="17" style="712" customWidth="1"/>
    <col min="12326" max="12326" width="3.85546875" style="712" bestFit="1" customWidth="1"/>
    <col min="12327" max="12327" width="6.5703125" style="712" bestFit="1" customWidth="1"/>
    <col min="12328" max="12329" width="9.140625" style="712"/>
    <col min="12330" max="12330" width="9" style="712" bestFit="1" customWidth="1"/>
    <col min="12331" max="12331" width="8" style="712" bestFit="1" customWidth="1"/>
    <col min="12332" max="12332" width="6.5703125" style="712" bestFit="1" customWidth="1"/>
    <col min="12333" max="12567" width="9.140625" style="712"/>
    <col min="12568" max="12568" width="10.140625" style="712" bestFit="1" customWidth="1"/>
    <col min="12569" max="12569" width="19.42578125" style="712" bestFit="1" customWidth="1"/>
    <col min="12570" max="12570" width="2.28515625" style="712" customWidth="1"/>
    <col min="12571" max="12571" width="6.5703125" style="712" bestFit="1" customWidth="1"/>
    <col min="12572" max="12572" width="9.7109375" style="712" bestFit="1" customWidth="1"/>
    <col min="12573" max="12573" width="1.7109375" style="712" customWidth="1"/>
    <col min="12574" max="12574" width="6.5703125" style="712" bestFit="1" customWidth="1"/>
    <col min="12575" max="12575" width="40.140625" style="712" bestFit="1" customWidth="1"/>
    <col min="12576" max="12576" width="9.7109375" style="712" bestFit="1" customWidth="1"/>
    <col min="12577" max="12577" width="1.140625" style="712" customWidth="1"/>
    <col min="12578" max="12578" width="9" style="712" bestFit="1" customWidth="1"/>
    <col min="12579" max="12579" width="8.140625" style="712" bestFit="1" customWidth="1"/>
    <col min="12580" max="12580" width="11" style="712" bestFit="1" customWidth="1"/>
    <col min="12581" max="12581" width="17" style="712" customWidth="1"/>
    <col min="12582" max="12582" width="3.85546875" style="712" bestFit="1" customWidth="1"/>
    <col min="12583" max="12583" width="6.5703125" style="712" bestFit="1" customWidth="1"/>
    <col min="12584" max="12585" width="9.140625" style="712"/>
    <col min="12586" max="12586" width="9" style="712" bestFit="1" customWidth="1"/>
    <col min="12587" max="12587" width="8" style="712" bestFit="1" customWidth="1"/>
    <col min="12588" max="12588" width="6.5703125" style="712" bestFit="1" customWidth="1"/>
    <col min="12589" max="12823" width="9.140625" style="712"/>
    <col min="12824" max="12824" width="10.140625" style="712" bestFit="1" customWidth="1"/>
    <col min="12825" max="12825" width="19.42578125" style="712" bestFit="1" customWidth="1"/>
    <col min="12826" max="12826" width="2.28515625" style="712" customWidth="1"/>
    <col min="12827" max="12827" width="6.5703125" style="712" bestFit="1" customWidth="1"/>
    <col min="12828" max="12828" width="9.7109375" style="712" bestFit="1" customWidth="1"/>
    <col min="12829" max="12829" width="1.7109375" style="712" customWidth="1"/>
    <col min="12830" max="12830" width="6.5703125" style="712" bestFit="1" customWidth="1"/>
    <col min="12831" max="12831" width="40.140625" style="712" bestFit="1" customWidth="1"/>
    <col min="12832" max="12832" width="9.7109375" style="712" bestFit="1" customWidth="1"/>
    <col min="12833" max="12833" width="1.140625" style="712" customWidth="1"/>
    <col min="12834" max="12834" width="9" style="712" bestFit="1" customWidth="1"/>
    <col min="12835" max="12835" width="8.140625" style="712" bestFit="1" customWidth="1"/>
    <col min="12836" max="12836" width="11" style="712" bestFit="1" customWidth="1"/>
    <col min="12837" max="12837" width="17" style="712" customWidth="1"/>
    <col min="12838" max="12838" width="3.85546875" style="712" bestFit="1" customWidth="1"/>
    <col min="12839" max="12839" width="6.5703125" style="712" bestFit="1" customWidth="1"/>
    <col min="12840" max="12841" width="9.140625" style="712"/>
    <col min="12842" max="12842" width="9" style="712" bestFit="1" customWidth="1"/>
    <col min="12843" max="12843" width="8" style="712" bestFit="1" customWidth="1"/>
    <col min="12844" max="12844" width="6.5703125" style="712" bestFit="1" customWidth="1"/>
    <col min="12845" max="13079" width="9.140625" style="712"/>
    <col min="13080" max="13080" width="10.140625" style="712" bestFit="1" customWidth="1"/>
    <col min="13081" max="13081" width="19.42578125" style="712" bestFit="1" customWidth="1"/>
    <col min="13082" max="13082" width="2.28515625" style="712" customWidth="1"/>
    <col min="13083" max="13083" width="6.5703125" style="712" bestFit="1" customWidth="1"/>
    <col min="13084" max="13084" width="9.7109375" style="712" bestFit="1" customWidth="1"/>
    <col min="13085" max="13085" width="1.7109375" style="712" customWidth="1"/>
    <col min="13086" max="13086" width="6.5703125" style="712" bestFit="1" customWidth="1"/>
    <col min="13087" max="13087" width="40.140625" style="712" bestFit="1" customWidth="1"/>
    <col min="13088" max="13088" width="9.7109375" style="712" bestFit="1" customWidth="1"/>
    <col min="13089" max="13089" width="1.140625" style="712" customWidth="1"/>
    <col min="13090" max="13090" width="9" style="712" bestFit="1" customWidth="1"/>
    <col min="13091" max="13091" width="8.140625" style="712" bestFit="1" customWidth="1"/>
    <col min="13092" max="13092" width="11" style="712" bestFit="1" customWidth="1"/>
    <col min="13093" max="13093" width="17" style="712" customWidth="1"/>
    <col min="13094" max="13094" width="3.85546875" style="712" bestFit="1" customWidth="1"/>
    <col min="13095" max="13095" width="6.5703125" style="712" bestFit="1" customWidth="1"/>
    <col min="13096" max="13097" width="9.140625" style="712"/>
    <col min="13098" max="13098" width="9" style="712" bestFit="1" customWidth="1"/>
    <col min="13099" max="13099" width="8" style="712" bestFit="1" customWidth="1"/>
    <col min="13100" max="13100" width="6.5703125" style="712" bestFit="1" customWidth="1"/>
    <col min="13101" max="13335" width="9.140625" style="712"/>
    <col min="13336" max="13336" width="10.140625" style="712" bestFit="1" customWidth="1"/>
    <col min="13337" max="13337" width="19.42578125" style="712" bestFit="1" customWidth="1"/>
    <col min="13338" max="13338" width="2.28515625" style="712" customWidth="1"/>
    <col min="13339" max="13339" width="6.5703125" style="712" bestFit="1" customWidth="1"/>
    <col min="13340" max="13340" width="9.7109375" style="712" bestFit="1" customWidth="1"/>
    <col min="13341" max="13341" width="1.7109375" style="712" customWidth="1"/>
    <col min="13342" max="13342" width="6.5703125" style="712" bestFit="1" customWidth="1"/>
    <col min="13343" max="13343" width="40.140625" style="712" bestFit="1" customWidth="1"/>
    <col min="13344" max="13344" width="9.7109375" style="712" bestFit="1" customWidth="1"/>
    <col min="13345" max="13345" width="1.140625" style="712" customWidth="1"/>
    <col min="13346" max="13346" width="9" style="712" bestFit="1" customWidth="1"/>
    <col min="13347" max="13347" width="8.140625" style="712" bestFit="1" customWidth="1"/>
    <col min="13348" max="13348" width="11" style="712" bestFit="1" customWidth="1"/>
    <col min="13349" max="13349" width="17" style="712" customWidth="1"/>
    <col min="13350" max="13350" width="3.85546875" style="712" bestFit="1" customWidth="1"/>
    <col min="13351" max="13351" width="6.5703125" style="712" bestFit="1" customWidth="1"/>
    <col min="13352" max="13353" width="9.140625" style="712"/>
    <col min="13354" max="13354" width="9" style="712" bestFit="1" customWidth="1"/>
    <col min="13355" max="13355" width="8" style="712" bestFit="1" customWidth="1"/>
    <col min="13356" max="13356" width="6.5703125" style="712" bestFit="1" customWidth="1"/>
    <col min="13357" max="13591" width="9.140625" style="712"/>
    <col min="13592" max="13592" width="10.140625" style="712" bestFit="1" customWidth="1"/>
    <col min="13593" max="13593" width="19.42578125" style="712" bestFit="1" customWidth="1"/>
    <col min="13594" max="13594" width="2.28515625" style="712" customWidth="1"/>
    <col min="13595" max="13595" width="6.5703125" style="712" bestFit="1" customWidth="1"/>
    <col min="13596" max="13596" width="9.7109375" style="712" bestFit="1" customWidth="1"/>
    <col min="13597" max="13597" width="1.7109375" style="712" customWidth="1"/>
    <col min="13598" max="13598" width="6.5703125" style="712" bestFit="1" customWidth="1"/>
    <col min="13599" max="13599" width="40.140625" style="712" bestFit="1" customWidth="1"/>
    <col min="13600" max="13600" width="9.7109375" style="712" bestFit="1" customWidth="1"/>
    <col min="13601" max="13601" width="1.140625" style="712" customWidth="1"/>
    <col min="13602" max="13602" width="9" style="712" bestFit="1" customWidth="1"/>
    <col min="13603" max="13603" width="8.140625" style="712" bestFit="1" customWidth="1"/>
    <col min="13604" max="13604" width="11" style="712" bestFit="1" customWidth="1"/>
    <col min="13605" max="13605" width="17" style="712" customWidth="1"/>
    <col min="13606" max="13606" width="3.85546875" style="712" bestFit="1" customWidth="1"/>
    <col min="13607" max="13607" width="6.5703125" style="712" bestFit="1" customWidth="1"/>
    <col min="13608" max="13609" width="9.140625" style="712"/>
    <col min="13610" max="13610" width="9" style="712" bestFit="1" customWidth="1"/>
    <col min="13611" max="13611" width="8" style="712" bestFit="1" customWidth="1"/>
    <col min="13612" max="13612" width="6.5703125" style="712" bestFit="1" customWidth="1"/>
    <col min="13613" max="13847" width="9.140625" style="712"/>
    <col min="13848" max="13848" width="10.140625" style="712" bestFit="1" customWidth="1"/>
    <col min="13849" max="13849" width="19.42578125" style="712" bestFit="1" customWidth="1"/>
    <col min="13850" max="13850" width="2.28515625" style="712" customWidth="1"/>
    <col min="13851" max="13851" width="6.5703125" style="712" bestFit="1" customWidth="1"/>
    <col min="13852" max="13852" width="9.7109375" style="712" bestFit="1" customWidth="1"/>
    <col min="13853" max="13853" width="1.7109375" style="712" customWidth="1"/>
    <col min="13854" max="13854" width="6.5703125" style="712" bestFit="1" customWidth="1"/>
    <col min="13855" max="13855" width="40.140625" style="712" bestFit="1" customWidth="1"/>
    <col min="13856" max="13856" width="9.7109375" style="712" bestFit="1" customWidth="1"/>
    <col min="13857" max="13857" width="1.140625" style="712" customWidth="1"/>
    <col min="13858" max="13858" width="9" style="712" bestFit="1" customWidth="1"/>
    <col min="13859" max="13859" width="8.140625" style="712" bestFit="1" customWidth="1"/>
    <col min="13860" max="13860" width="11" style="712" bestFit="1" customWidth="1"/>
    <col min="13861" max="13861" width="17" style="712" customWidth="1"/>
    <col min="13862" max="13862" width="3.85546875" style="712" bestFit="1" customWidth="1"/>
    <col min="13863" max="13863" width="6.5703125" style="712" bestFit="1" customWidth="1"/>
    <col min="13864" max="13865" width="9.140625" style="712"/>
    <col min="13866" max="13866" width="9" style="712" bestFit="1" customWidth="1"/>
    <col min="13867" max="13867" width="8" style="712" bestFit="1" customWidth="1"/>
    <col min="13868" max="13868" width="6.5703125" style="712" bestFit="1" customWidth="1"/>
    <col min="13869" max="14103" width="9.140625" style="712"/>
    <col min="14104" max="14104" width="10.140625" style="712" bestFit="1" customWidth="1"/>
    <col min="14105" max="14105" width="19.42578125" style="712" bestFit="1" customWidth="1"/>
    <col min="14106" max="14106" width="2.28515625" style="712" customWidth="1"/>
    <col min="14107" max="14107" width="6.5703125" style="712" bestFit="1" customWidth="1"/>
    <col min="14108" max="14108" width="9.7109375" style="712" bestFit="1" customWidth="1"/>
    <col min="14109" max="14109" width="1.7109375" style="712" customWidth="1"/>
    <col min="14110" max="14110" width="6.5703125" style="712" bestFit="1" customWidth="1"/>
    <col min="14111" max="14111" width="40.140625" style="712" bestFit="1" customWidth="1"/>
    <col min="14112" max="14112" width="9.7109375" style="712" bestFit="1" customWidth="1"/>
    <col min="14113" max="14113" width="1.140625" style="712" customWidth="1"/>
    <col min="14114" max="14114" width="9" style="712" bestFit="1" customWidth="1"/>
    <col min="14115" max="14115" width="8.140625" style="712" bestFit="1" customWidth="1"/>
    <col min="14116" max="14116" width="11" style="712" bestFit="1" customWidth="1"/>
    <col min="14117" max="14117" width="17" style="712" customWidth="1"/>
    <col min="14118" max="14118" width="3.85546875" style="712" bestFit="1" customWidth="1"/>
    <col min="14119" max="14119" width="6.5703125" style="712" bestFit="1" customWidth="1"/>
    <col min="14120" max="14121" width="9.140625" style="712"/>
    <col min="14122" max="14122" width="9" style="712" bestFit="1" customWidth="1"/>
    <col min="14123" max="14123" width="8" style="712" bestFit="1" customWidth="1"/>
    <col min="14124" max="14124" width="6.5703125" style="712" bestFit="1" customWidth="1"/>
    <col min="14125" max="14359" width="9.140625" style="712"/>
    <col min="14360" max="14360" width="10.140625" style="712" bestFit="1" customWidth="1"/>
    <col min="14361" max="14361" width="19.42578125" style="712" bestFit="1" customWidth="1"/>
    <col min="14362" max="14362" width="2.28515625" style="712" customWidth="1"/>
    <col min="14363" max="14363" width="6.5703125" style="712" bestFit="1" customWidth="1"/>
    <col min="14364" max="14364" width="9.7109375" style="712" bestFit="1" customWidth="1"/>
    <col min="14365" max="14365" width="1.7109375" style="712" customWidth="1"/>
    <col min="14366" max="14366" width="6.5703125" style="712" bestFit="1" customWidth="1"/>
    <col min="14367" max="14367" width="40.140625" style="712" bestFit="1" customWidth="1"/>
    <col min="14368" max="14368" width="9.7109375" style="712" bestFit="1" customWidth="1"/>
    <col min="14369" max="14369" width="1.140625" style="712" customWidth="1"/>
    <col min="14370" max="14370" width="9" style="712" bestFit="1" customWidth="1"/>
    <col min="14371" max="14371" width="8.140625" style="712" bestFit="1" customWidth="1"/>
    <col min="14372" max="14372" width="11" style="712" bestFit="1" customWidth="1"/>
    <col min="14373" max="14373" width="17" style="712" customWidth="1"/>
    <col min="14374" max="14374" width="3.85546875" style="712" bestFit="1" customWidth="1"/>
    <col min="14375" max="14375" width="6.5703125" style="712" bestFit="1" customWidth="1"/>
    <col min="14376" max="14377" width="9.140625" style="712"/>
    <col min="14378" max="14378" width="9" style="712" bestFit="1" customWidth="1"/>
    <col min="14379" max="14379" width="8" style="712" bestFit="1" customWidth="1"/>
    <col min="14380" max="14380" width="6.5703125" style="712" bestFit="1" customWidth="1"/>
    <col min="14381" max="14615" width="9.140625" style="712"/>
    <col min="14616" max="14616" width="10.140625" style="712" bestFit="1" customWidth="1"/>
    <col min="14617" max="14617" width="19.42578125" style="712" bestFit="1" customWidth="1"/>
    <col min="14618" max="14618" width="2.28515625" style="712" customWidth="1"/>
    <col min="14619" max="14619" width="6.5703125" style="712" bestFit="1" customWidth="1"/>
    <col min="14620" max="14620" width="9.7109375" style="712" bestFit="1" customWidth="1"/>
    <col min="14621" max="14621" width="1.7109375" style="712" customWidth="1"/>
    <col min="14622" max="14622" width="6.5703125" style="712" bestFit="1" customWidth="1"/>
    <col min="14623" max="14623" width="40.140625" style="712" bestFit="1" customWidth="1"/>
    <col min="14624" max="14624" width="9.7109375" style="712" bestFit="1" customWidth="1"/>
    <col min="14625" max="14625" width="1.140625" style="712" customWidth="1"/>
    <col min="14626" max="14626" width="9" style="712" bestFit="1" customWidth="1"/>
    <col min="14627" max="14627" width="8.140625" style="712" bestFit="1" customWidth="1"/>
    <col min="14628" max="14628" width="11" style="712" bestFit="1" customWidth="1"/>
    <col min="14629" max="14629" width="17" style="712" customWidth="1"/>
    <col min="14630" max="14630" width="3.85546875" style="712" bestFit="1" customWidth="1"/>
    <col min="14631" max="14631" width="6.5703125" style="712" bestFit="1" customWidth="1"/>
    <col min="14632" max="14633" width="9.140625" style="712"/>
    <col min="14634" max="14634" width="9" style="712" bestFit="1" customWidth="1"/>
    <col min="14635" max="14635" width="8" style="712" bestFit="1" customWidth="1"/>
    <col min="14636" max="14636" width="6.5703125" style="712" bestFit="1" customWidth="1"/>
    <col min="14637" max="14871" width="9.140625" style="712"/>
    <col min="14872" max="14872" width="10.140625" style="712" bestFit="1" customWidth="1"/>
    <col min="14873" max="14873" width="19.42578125" style="712" bestFit="1" customWidth="1"/>
    <col min="14874" max="14874" width="2.28515625" style="712" customWidth="1"/>
    <col min="14875" max="14875" width="6.5703125" style="712" bestFit="1" customWidth="1"/>
    <col min="14876" max="14876" width="9.7109375" style="712" bestFit="1" customWidth="1"/>
    <col min="14877" max="14877" width="1.7109375" style="712" customWidth="1"/>
    <col min="14878" max="14878" width="6.5703125" style="712" bestFit="1" customWidth="1"/>
    <col min="14879" max="14879" width="40.140625" style="712" bestFit="1" customWidth="1"/>
    <col min="14880" max="14880" width="9.7109375" style="712" bestFit="1" customWidth="1"/>
    <col min="14881" max="14881" width="1.140625" style="712" customWidth="1"/>
    <col min="14882" max="14882" width="9" style="712" bestFit="1" customWidth="1"/>
    <col min="14883" max="14883" width="8.140625" style="712" bestFit="1" customWidth="1"/>
    <col min="14884" max="14884" width="11" style="712" bestFit="1" customWidth="1"/>
    <col min="14885" max="14885" width="17" style="712" customWidth="1"/>
    <col min="14886" max="14886" width="3.85546875" style="712" bestFit="1" customWidth="1"/>
    <col min="14887" max="14887" width="6.5703125" style="712" bestFit="1" customWidth="1"/>
    <col min="14888" max="14889" width="9.140625" style="712"/>
    <col min="14890" max="14890" width="9" style="712" bestFit="1" customWidth="1"/>
    <col min="14891" max="14891" width="8" style="712" bestFit="1" customWidth="1"/>
    <col min="14892" max="14892" width="6.5703125" style="712" bestFit="1" customWidth="1"/>
    <col min="14893" max="15127" width="9.140625" style="712"/>
    <col min="15128" max="15128" width="10.140625" style="712" bestFit="1" customWidth="1"/>
    <col min="15129" max="15129" width="19.42578125" style="712" bestFit="1" customWidth="1"/>
    <col min="15130" max="15130" width="2.28515625" style="712" customWidth="1"/>
    <col min="15131" max="15131" width="6.5703125" style="712" bestFit="1" customWidth="1"/>
    <col min="15132" max="15132" width="9.7109375" style="712" bestFit="1" customWidth="1"/>
    <col min="15133" max="15133" width="1.7109375" style="712" customWidth="1"/>
    <col min="15134" max="15134" width="6.5703125" style="712" bestFit="1" customWidth="1"/>
    <col min="15135" max="15135" width="40.140625" style="712" bestFit="1" customWidth="1"/>
    <col min="15136" max="15136" width="9.7109375" style="712" bestFit="1" customWidth="1"/>
    <col min="15137" max="15137" width="1.140625" style="712" customWidth="1"/>
    <col min="15138" max="15138" width="9" style="712" bestFit="1" customWidth="1"/>
    <col min="15139" max="15139" width="8.140625" style="712" bestFit="1" customWidth="1"/>
    <col min="15140" max="15140" width="11" style="712" bestFit="1" customWidth="1"/>
    <col min="15141" max="15141" width="17" style="712" customWidth="1"/>
    <col min="15142" max="15142" width="3.85546875" style="712" bestFit="1" customWidth="1"/>
    <col min="15143" max="15143" width="6.5703125" style="712" bestFit="1" customWidth="1"/>
    <col min="15144" max="15145" width="9.140625" style="712"/>
    <col min="15146" max="15146" width="9" style="712" bestFit="1" customWidth="1"/>
    <col min="15147" max="15147" width="8" style="712" bestFit="1" customWidth="1"/>
    <col min="15148" max="15148" width="6.5703125" style="712" bestFit="1" customWidth="1"/>
    <col min="15149" max="15383" width="9.140625" style="712"/>
    <col min="15384" max="15384" width="10.140625" style="712" bestFit="1" customWidth="1"/>
    <col min="15385" max="15385" width="19.42578125" style="712" bestFit="1" customWidth="1"/>
    <col min="15386" max="15386" width="2.28515625" style="712" customWidth="1"/>
    <col min="15387" max="15387" width="6.5703125" style="712" bestFit="1" customWidth="1"/>
    <col min="15388" max="15388" width="9.7109375" style="712" bestFit="1" customWidth="1"/>
    <col min="15389" max="15389" width="1.7109375" style="712" customWidth="1"/>
    <col min="15390" max="15390" width="6.5703125" style="712" bestFit="1" customWidth="1"/>
    <col min="15391" max="15391" width="40.140625" style="712" bestFit="1" customWidth="1"/>
    <col min="15392" max="15392" width="9.7109375" style="712" bestFit="1" customWidth="1"/>
    <col min="15393" max="15393" width="1.140625" style="712" customWidth="1"/>
    <col min="15394" max="15394" width="9" style="712" bestFit="1" customWidth="1"/>
    <col min="15395" max="15395" width="8.140625" style="712" bestFit="1" customWidth="1"/>
    <col min="15396" max="15396" width="11" style="712" bestFit="1" customWidth="1"/>
    <col min="15397" max="15397" width="17" style="712" customWidth="1"/>
    <col min="15398" max="15398" width="3.85546875" style="712" bestFit="1" customWidth="1"/>
    <col min="15399" max="15399" width="6.5703125" style="712" bestFit="1" customWidth="1"/>
    <col min="15400" max="15401" width="9.140625" style="712"/>
    <col min="15402" max="15402" width="9" style="712" bestFit="1" customWidth="1"/>
    <col min="15403" max="15403" width="8" style="712" bestFit="1" customWidth="1"/>
    <col min="15404" max="15404" width="6.5703125" style="712" bestFit="1" customWidth="1"/>
    <col min="15405" max="15639" width="9.140625" style="712"/>
    <col min="15640" max="15640" width="10.140625" style="712" bestFit="1" customWidth="1"/>
    <col min="15641" max="15641" width="19.42578125" style="712" bestFit="1" customWidth="1"/>
    <col min="15642" max="15642" width="2.28515625" style="712" customWidth="1"/>
    <col min="15643" max="15643" width="6.5703125" style="712" bestFit="1" customWidth="1"/>
    <col min="15644" max="15644" width="9.7109375" style="712" bestFit="1" customWidth="1"/>
    <col min="15645" max="15645" width="1.7109375" style="712" customWidth="1"/>
    <col min="15646" max="15646" width="6.5703125" style="712" bestFit="1" customWidth="1"/>
    <col min="15647" max="15647" width="40.140625" style="712" bestFit="1" customWidth="1"/>
    <col min="15648" max="15648" width="9.7109375" style="712" bestFit="1" customWidth="1"/>
    <col min="15649" max="15649" width="1.140625" style="712" customWidth="1"/>
    <col min="15650" max="15650" width="9" style="712" bestFit="1" customWidth="1"/>
    <col min="15651" max="15651" width="8.140625" style="712" bestFit="1" customWidth="1"/>
    <col min="15652" max="15652" width="11" style="712" bestFit="1" customWidth="1"/>
    <col min="15653" max="15653" width="17" style="712" customWidth="1"/>
    <col min="15654" max="15654" width="3.85546875" style="712" bestFit="1" customWidth="1"/>
    <col min="15655" max="15655" width="6.5703125" style="712" bestFit="1" customWidth="1"/>
    <col min="15656" max="15657" width="9.140625" style="712"/>
    <col min="15658" max="15658" width="9" style="712" bestFit="1" customWidth="1"/>
    <col min="15659" max="15659" width="8" style="712" bestFit="1" customWidth="1"/>
    <col min="15660" max="15660" width="6.5703125" style="712" bestFit="1" customWidth="1"/>
    <col min="15661" max="15895" width="9.140625" style="712"/>
    <col min="15896" max="15896" width="10.140625" style="712" bestFit="1" customWidth="1"/>
    <col min="15897" max="15897" width="19.42578125" style="712" bestFit="1" customWidth="1"/>
    <col min="15898" max="15898" width="2.28515625" style="712" customWidth="1"/>
    <col min="15899" max="15899" width="6.5703125" style="712" bestFit="1" customWidth="1"/>
    <col min="15900" max="15900" width="9.7109375" style="712" bestFit="1" customWidth="1"/>
    <col min="15901" max="15901" width="1.7109375" style="712" customWidth="1"/>
    <col min="15902" max="15902" width="6.5703125" style="712" bestFit="1" customWidth="1"/>
    <col min="15903" max="15903" width="40.140625" style="712" bestFit="1" customWidth="1"/>
    <col min="15904" max="15904" width="9.7109375" style="712" bestFit="1" customWidth="1"/>
    <col min="15905" max="15905" width="1.140625" style="712" customWidth="1"/>
    <col min="15906" max="15906" width="9" style="712" bestFit="1" customWidth="1"/>
    <col min="15907" max="15907" width="8.140625" style="712" bestFit="1" customWidth="1"/>
    <col min="15908" max="15908" width="11" style="712" bestFit="1" customWidth="1"/>
    <col min="15909" max="15909" width="17" style="712" customWidth="1"/>
    <col min="15910" max="15910" width="3.85546875" style="712" bestFit="1" customWidth="1"/>
    <col min="15911" max="15911" width="6.5703125" style="712" bestFit="1" customWidth="1"/>
    <col min="15912" max="15913" width="9.140625" style="712"/>
    <col min="15914" max="15914" width="9" style="712" bestFit="1" customWidth="1"/>
    <col min="15915" max="15915" width="8" style="712" bestFit="1" customWidth="1"/>
    <col min="15916" max="15916" width="6.5703125" style="712" bestFit="1" customWidth="1"/>
    <col min="15917" max="16151" width="9.140625" style="712"/>
    <col min="16152" max="16152" width="10.140625" style="712" bestFit="1" customWidth="1"/>
    <col min="16153" max="16153" width="19.42578125" style="712" bestFit="1" customWidth="1"/>
    <col min="16154" max="16154" width="2.28515625" style="712" customWidth="1"/>
    <col min="16155" max="16155" width="6.5703125" style="712" bestFit="1" customWidth="1"/>
    <col min="16156" max="16156" width="9.7109375" style="712" bestFit="1" customWidth="1"/>
    <col min="16157" max="16157" width="1.7109375" style="712" customWidth="1"/>
    <col min="16158" max="16158" width="6.5703125" style="712" bestFit="1" customWidth="1"/>
    <col min="16159" max="16159" width="40.140625" style="712" bestFit="1" customWidth="1"/>
    <col min="16160" max="16160" width="9.7109375" style="712" bestFit="1" customWidth="1"/>
    <col min="16161" max="16161" width="1.140625" style="712" customWidth="1"/>
    <col min="16162" max="16162" width="9" style="712" bestFit="1" customWidth="1"/>
    <col min="16163" max="16163" width="8.140625" style="712" bestFit="1" customWidth="1"/>
    <col min="16164" max="16164" width="11" style="712" bestFit="1" customWidth="1"/>
    <col min="16165" max="16165" width="17" style="712" customWidth="1"/>
    <col min="16166" max="16166" width="3.85546875" style="712" bestFit="1" customWidth="1"/>
    <col min="16167" max="16167" width="6.5703125" style="712" bestFit="1" customWidth="1"/>
    <col min="16168" max="16169" width="9.140625" style="712"/>
    <col min="16170" max="16170" width="9" style="712" bestFit="1" customWidth="1"/>
    <col min="16171" max="16171" width="8" style="712" bestFit="1" customWidth="1"/>
    <col min="16172" max="16172" width="6.5703125" style="712" bestFit="1" customWidth="1"/>
    <col min="16173" max="16384" width="9.140625" style="712"/>
  </cols>
  <sheetData>
    <row r="1" spans="1:61" ht="60">
      <c r="D1" s="852"/>
      <c r="E1" s="850" t="s">
        <v>2399</v>
      </c>
      <c r="F1" s="850"/>
      <c r="G1" s="850"/>
      <c r="H1" s="850"/>
      <c r="I1" s="850"/>
      <c r="J1" s="850"/>
      <c r="K1" s="850"/>
      <c r="L1" s="850"/>
      <c r="M1" s="850"/>
      <c r="N1" s="841"/>
      <c r="O1" s="925" t="s">
        <v>27</v>
      </c>
      <c r="P1" s="926"/>
      <c r="Q1" s="838"/>
      <c r="R1" s="837"/>
      <c r="S1" s="837" t="s">
        <v>1765</v>
      </c>
      <c r="T1" s="837"/>
      <c r="U1" s="837"/>
      <c r="V1" s="837"/>
      <c r="W1" s="837"/>
      <c r="X1" s="837"/>
      <c r="Y1" s="837"/>
      <c r="Z1" s="837"/>
      <c r="AA1" s="837"/>
      <c r="AB1" s="837"/>
      <c r="AC1" s="949"/>
      <c r="AD1" s="951"/>
      <c r="AE1" s="950" t="s">
        <v>2237</v>
      </c>
      <c r="AF1" s="831"/>
      <c r="AG1" s="831"/>
      <c r="AH1" s="831"/>
      <c r="AI1" s="831"/>
      <c r="AJ1" s="841"/>
      <c r="AK1" s="846" t="s">
        <v>2246</v>
      </c>
      <c r="AL1" s="836"/>
      <c r="AM1" s="836"/>
      <c r="AN1" s="846"/>
      <c r="AO1" s="846"/>
      <c r="AP1" s="846"/>
      <c r="AQ1" s="846"/>
      <c r="AR1" s="836"/>
      <c r="AS1" s="836"/>
      <c r="AT1" s="712"/>
      <c r="AU1" s="712"/>
      <c r="BC1" s="712"/>
      <c r="BD1" s="712"/>
      <c r="BE1" s="712"/>
      <c r="BF1" s="712"/>
      <c r="BG1" s="712"/>
      <c r="BI1" s="712"/>
    </row>
    <row r="2" spans="1:61" ht="15.75" customHeight="1">
      <c r="D2" s="853"/>
      <c r="N2" s="842"/>
      <c r="O2" s="176"/>
      <c r="P2" s="176"/>
      <c r="Q2" s="839"/>
      <c r="S2" s="176"/>
      <c r="T2" s="176"/>
      <c r="U2" s="176"/>
      <c r="X2" s="712"/>
      <c r="Y2" s="712"/>
      <c r="Z2" s="712"/>
      <c r="AA2" s="712"/>
      <c r="AD2" s="952"/>
      <c r="AF2" s="712"/>
      <c r="AH2" s="712"/>
      <c r="AI2" s="712"/>
      <c r="AJ2" s="842"/>
      <c r="AK2" s="712"/>
      <c r="AL2" s="712"/>
      <c r="AQ2" s="712"/>
      <c r="AR2" s="712"/>
      <c r="AT2" s="712"/>
      <c r="AU2" s="712"/>
      <c r="BC2" s="712"/>
      <c r="BD2" s="712"/>
      <c r="BE2" s="712"/>
      <c r="BF2" s="712"/>
      <c r="BG2" s="712"/>
      <c r="BI2" s="712"/>
    </row>
    <row r="3" spans="1:61" ht="16.5">
      <c r="D3" s="853"/>
      <c r="N3" s="842"/>
      <c r="O3" s="176"/>
      <c r="P3" s="176"/>
      <c r="Q3" s="839"/>
      <c r="S3" s="176"/>
      <c r="T3" s="176"/>
      <c r="U3" s="176"/>
      <c r="X3" s="712"/>
      <c r="Y3" s="712"/>
      <c r="Z3" s="712"/>
      <c r="AA3" s="712"/>
      <c r="AD3" s="952"/>
      <c r="AF3" s="712"/>
      <c r="AH3" s="712"/>
      <c r="AI3" s="712"/>
      <c r="AJ3" s="842"/>
      <c r="AK3" s="712"/>
      <c r="AL3" s="712"/>
      <c r="AQ3" s="712"/>
      <c r="AR3" s="712"/>
      <c r="AT3" s="712"/>
      <c r="AU3" s="712"/>
      <c r="BC3" s="712"/>
      <c r="BD3" s="712"/>
      <c r="BE3" s="712"/>
      <c r="BF3" s="712"/>
      <c r="BG3" s="712"/>
      <c r="BI3" s="712"/>
    </row>
    <row r="4" spans="1:61" ht="17.25" thickBot="1">
      <c r="D4" s="853"/>
      <c r="N4" s="843"/>
      <c r="O4" s="176"/>
      <c r="P4" s="176"/>
      <c r="Q4" s="840"/>
      <c r="S4" s="176"/>
      <c r="T4" s="176"/>
      <c r="U4" s="176"/>
      <c r="X4" s="712"/>
      <c r="Y4" s="712"/>
      <c r="Z4" s="712"/>
      <c r="AA4" s="712"/>
      <c r="AD4" s="953"/>
      <c r="AF4" s="712"/>
      <c r="AH4" s="712"/>
      <c r="AI4" s="712"/>
      <c r="AJ4" s="842"/>
      <c r="AK4" s="712"/>
      <c r="AL4" s="712"/>
      <c r="AQ4" s="712"/>
      <c r="AR4" s="712"/>
      <c r="AT4" s="712"/>
      <c r="AU4" s="712"/>
      <c r="BC4" s="712"/>
      <c r="BD4" s="712"/>
      <c r="BE4" s="712"/>
      <c r="BF4" s="712"/>
      <c r="BG4" s="712"/>
      <c r="BI4" s="712"/>
    </row>
    <row r="5" spans="1:61" ht="16.5" thickBot="1">
      <c r="A5" s="863" t="s">
        <v>2391</v>
      </c>
      <c r="B5" s="863" t="s">
        <v>2392</v>
      </c>
      <c r="C5" s="863" t="s">
        <v>2393</v>
      </c>
      <c r="D5" s="924" t="s">
        <v>2179</v>
      </c>
      <c r="E5" s="864" t="s">
        <v>2374</v>
      </c>
      <c r="F5" s="864" t="s">
        <v>2375</v>
      </c>
      <c r="G5" s="864" t="s">
        <v>2376</v>
      </c>
      <c r="H5" s="864" t="s">
        <v>2377</v>
      </c>
      <c r="I5" s="864" t="s">
        <v>2378</v>
      </c>
      <c r="J5" s="864" t="s">
        <v>2379</v>
      </c>
      <c r="K5" s="864" t="s">
        <v>2380</v>
      </c>
      <c r="L5" s="864" t="s">
        <v>2381</v>
      </c>
      <c r="M5" s="864" t="s">
        <v>2382</v>
      </c>
      <c r="N5" s="865" t="s">
        <v>2247</v>
      </c>
      <c r="O5" s="865" t="s">
        <v>2308</v>
      </c>
      <c r="P5" s="865" t="s">
        <v>2309</v>
      </c>
      <c r="Q5" s="866" t="s">
        <v>2186</v>
      </c>
      <c r="R5" s="866" t="s">
        <v>2311</v>
      </c>
      <c r="S5" s="866" t="s">
        <v>2312</v>
      </c>
      <c r="T5" s="866" t="s">
        <v>2313</v>
      </c>
      <c r="U5" s="866" t="s">
        <v>2314</v>
      </c>
      <c r="V5" s="866" t="s">
        <v>2315</v>
      </c>
      <c r="W5" s="866" t="s">
        <v>2316</v>
      </c>
      <c r="X5" s="866" t="s">
        <v>2317</v>
      </c>
      <c r="Y5" s="866" t="s">
        <v>2318</v>
      </c>
      <c r="Z5" s="866" t="s">
        <v>2319</v>
      </c>
      <c r="AA5" s="866" t="s">
        <v>2320</v>
      </c>
      <c r="AB5" s="866" t="s">
        <v>2321</v>
      </c>
      <c r="AC5" s="866" t="s">
        <v>2322</v>
      </c>
      <c r="AD5" s="955" t="s">
        <v>2251</v>
      </c>
      <c r="AE5" s="954" t="s">
        <v>2350</v>
      </c>
      <c r="AF5" s="867" t="s">
        <v>2252</v>
      </c>
      <c r="AG5" s="867" t="s">
        <v>2351</v>
      </c>
      <c r="AH5" s="867" t="s">
        <v>2352</v>
      </c>
      <c r="AI5" s="867" t="s">
        <v>2353</v>
      </c>
      <c r="AJ5" s="945" t="s">
        <v>2253</v>
      </c>
      <c r="AK5" s="842" t="s">
        <v>2280</v>
      </c>
      <c r="AL5" s="842" t="s">
        <v>2281</v>
      </c>
      <c r="AM5" s="842" t="s">
        <v>2282</v>
      </c>
      <c r="AN5" s="842" t="s">
        <v>2283</v>
      </c>
      <c r="AO5" s="842" t="s">
        <v>2284</v>
      </c>
      <c r="AP5" s="842" t="s">
        <v>2285</v>
      </c>
      <c r="AQ5" s="842" t="s">
        <v>2286</v>
      </c>
      <c r="AR5" s="842" t="s">
        <v>2287</v>
      </c>
      <c r="AS5" s="842" t="s">
        <v>2288</v>
      </c>
      <c r="AT5" s="848" t="s">
        <v>2265</v>
      </c>
      <c r="AU5" s="712"/>
      <c r="BC5" s="712"/>
      <c r="BD5" s="712"/>
      <c r="BE5" s="712"/>
      <c r="BF5" s="712"/>
      <c r="BG5" s="712"/>
      <c r="BI5" s="712"/>
    </row>
    <row r="6" spans="1:61" ht="48" thickBot="1">
      <c r="A6" s="863" t="s">
        <v>0</v>
      </c>
      <c r="B6" s="863" t="s">
        <v>2523</v>
      </c>
      <c r="C6" s="863" t="s">
        <v>2522</v>
      </c>
      <c r="D6" s="936" t="s">
        <v>2399</v>
      </c>
      <c r="E6" s="937" t="s">
        <v>2524</v>
      </c>
      <c r="F6" s="937" t="s">
        <v>2525</v>
      </c>
      <c r="G6" s="937" t="s">
        <v>2526</v>
      </c>
      <c r="H6" s="937" t="s">
        <v>2527</v>
      </c>
      <c r="I6" s="937" t="s">
        <v>2528</v>
      </c>
      <c r="J6" s="937" t="s">
        <v>1865</v>
      </c>
      <c r="K6" s="937" t="s">
        <v>2529</v>
      </c>
      <c r="L6" s="937" t="s">
        <v>1866</v>
      </c>
      <c r="M6" s="937" t="s">
        <v>2530</v>
      </c>
      <c r="N6" s="938" t="s">
        <v>27</v>
      </c>
      <c r="O6" s="938" t="s">
        <v>2531</v>
      </c>
      <c r="P6" s="938" t="s">
        <v>2533</v>
      </c>
      <c r="Q6" s="834" t="s">
        <v>1285</v>
      </c>
      <c r="R6" s="866" t="s">
        <v>2534</v>
      </c>
      <c r="S6" s="866" t="s">
        <v>2535</v>
      </c>
      <c r="T6" s="866" t="s">
        <v>2543</v>
      </c>
      <c r="U6" s="866" t="s">
        <v>2544</v>
      </c>
      <c r="V6" s="866" t="s">
        <v>2536</v>
      </c>
      <c r="W6" s="866" t="s">
        <v>2537</v>
      </c>
      <c r="X6" s="866" t="s">
        <v>2538</v>
      </c>
      <c r="Y6" s="866" t="s">
        <v>2545</v>
      </c>
      <c r="Z6" s="866" t="s">
        <v>2546</v>
      </c>
      <c r="AA6" s="866" t="s">
        <v>2540</v>
      </c>
      <c r="AB6" s="866" t="s">
        <v>2541</v>
      </c>
      <c r="AC6" s="866" t="s">
        <v>2542</v>
      </c>
      <c r="AD6" s="832" t="s">
        <v>1283</v>
      </c>
      <c r="AE6" s="832" t="s">
        <v>2548</v>
      </c>
      <c r="AF6" s="832" t="s">
        <v>2230</v>
      </c>
      <c r="AG6" s="832" t="s">
        <v>2547</v>
      </c>
      <c r="AH6" s="832" t="s">
        <v>2549</v>
      </c>
      <c r="AI6" s="946" t="s">
        <v>2235</v>
      </c>
      <c r="AJ6" s="948" t="s">
        <v>1284</v>
      </c>
      <c r="AK6" s="947" t="s">
        <v>2551</v>
      </c>
      <c r="AL6" s="835" t="s">
        <v>2550</v>
      </c>
      <c r="AM6" s="835" t="s">
        <v>2552</v>
      </c>
      <c r="AN6" s="835" t="s">
        <v>2553</v>
      </c>
      <c r="AO6" s="835" t="s">
        <v>2554</v>
      </c>
      <c r="AP6" s="835" t="s">
        <v>1494</v>
      </c>
      <c r="AQ6" s="835" t="s">
        <v>2555</v>
      </c>
      <c r="AR6" s="835" t="s">
        <v>2539</v>
      </c>
      <c r="AS6" s="835" t="s">
        <v>2556</v>
      </c>
      <c r="AT6" s="848"/>
      <c r="AU6" s="712"/>
      <c r="BC6" s="712"/>
      <c r="BD6" s="712"/>
      <c r="BE6" s="712"/>
      <c r="BF6" s="712"/>
      <c r="BG6" s="712"/>
      <c r="BI6" s="712"/>
    </row>
    <row r="7" spans="1:61" ht="16.5" thickBot="1">
      <c r="A7" s="939" t="s">
        <v>1867</v>
      </c>
      <c r="B7" s="940" t="s">
        <v>1868</v>
      </c>
      <c r="C7" s="927" t="s">
        <v>1867</v>
      </c>
      <c r="D7" s="936">
        <v>0</v>
      </c>
      <c r="E7" s="927">
        <v>2</v>
      </c>
      <c r="F7" s="927">
        <v>69.2</v>
      </c>
      <c r="G7" s="927">
        <v>1</v>
      </c>
      <c r="H7" s="927">
        <v>1</v>
      </c>
      <c r="I7" s="927">
        <f>Chiler_Price[[#This Row],[NO. of Cond Coils]]</f>
        <v>2</v>
      </c>
      <c r="J7" s="927">
        <v>80</v>
      </c>
      <c r="K7" s="927">
        <v>1</v>
      </c>
      <c r="L7" s="927"/>
      <c r="M7" s="927"/>
      <c r="N7" s="938">
        <v>0</v>
      </c>
      <c r="O7" s="1526">
        <v>23317</v>
      </c>
      <c r="P7" s="1526">
        <v>20406</v>
      </c>
      <c r="Q7" s="834">
        <v>0</v>
      </c>
      <c r="R7" s="927">
        <f>125*1.35*Chiler_Price[[#This Row],[NO. of Cond Coils]]</f>
        <v>337.5</v>
      </c>
      <c r="S7" s="929">
        <f>Chiler_Price[[#This Row],[Cond. Coils Area (FT)]]*4*Naming!$M$62</f>
        <v>6200.32</v>
      </c>
      <c r="T7" s="929">
        <f>5*Chiler_Price[[#This Row],[Cond. Coils Area (FT)]]</f>
        <v>346</v>
      </c>
      <c r="U7" s="929">
        <f>7*Chiler_Price[[#This Row],[Cond. Coils Area (FT)]]</f>
        <v>484.40000000000003</v>
      </c>
      <c r="V7" s="928">
        <f>Chiler_Price[[#This Row],[Cond. Coils Area (FT)]]*Naming!$I$93</f>
        <v>1314.8</v>
      </c>
      <c r="W7" s="930">
        <f>Chiler_Price[[#This Row],[Cond. Coils Area (FT)]]*Naming!$I$96</f>
        <v>1840.7200000000003</v>
      </c>
      <c r="X7" s="928">
        <f>1.5*Chiler_Price[[#This Row],[Cond. Coils Area (FT)]]</f>
        <v>103.80000000000001</v>
      </c>
      <c r="Y7" s="927">
        <f>1500*1.35*Chiler_Price[[#This Row],[NO. Of Compressors]]</f>
        <v>2025.0000000000002</v>
      </c>
      <c r="Z7" s="927">
        <f>400*1.35*Chiler_Price[[#This Row],[NO. Of Compressors]]</f>
        <v>540</v>
      </c>
      <c r="AA7" s="927">
        <f>650*1.35*Chiler_Price[[#This Row],[NO. Of Evap. Cooler ]]</f>
        <v>877.50000000000011</v>
      </c>
      <c r="AB7" s="927">
        <f>650*4*1.35*Chiler_Price[[#This Row],[NO. Of Evap. Cooler ]]</f>
        <v>3510.0000000000005</v>
      </c>
      <c r="AC7" s="927">
        <f>560*1.35*Chiler_Price[[#This Row],[NO. Of Evap. Cooler ]]</f>
        <v>756</v>
      </c>
      <c r="AD7" s="832">
        <v>0</v>
      </c>
      <c r="AE7" s="927">
        <f>700*1.35*Chiler_Price[[#This Row],[NO. Of Compressors]]</f>
        <v>945.00000000000011</v>
      </c>
      <c r="AF7" s="927">
        <f>100*1.35*Chiler_Price[[#This Row],[NO. Of Compressors]]</f>
        <v>135</v>
      </c>
      <c r="AG7" s="927">
        <f>100*1.35*Chiler_Price[[#This Row],[NO. Of Compressors]]</f>
        <v>135</v>
      </c>
      <c r="AH7" s="927">
        <f>600*1.35*Chiler_Price[[#This Row],[NO. Of Compressors]]</f>
        <v>810</v>
      </c>
      <c r="AI7" s="927">
        <v>405</v>
      </c>
      <c r="AJ7" s="948">
        <v>0</v>
      </c>
      <c r="AK7" s="927">
        <f>Chiler_Price[[#This Row],[NO. of Cond. Fans]]*62*1.1*1.35</f>
        <v>184.14000000000001</v>
      </c>
      <c r="AL7" s="927">
        <f>450*1.35*Chiler_Price[[#This Row],[NO. Of Compressors]]</f>
        <v>607.5</v>
      </c>
      <c r="AM7" s="927">
        <f>Chiler_Price[[#This Row],[NO. of Cond. Fans]]*62*1.1*1.35</f>
        <v>184.14000000000001</v>
      </c>
      <c r="AN7" s="927">
        <f>1.35*950</f>
        <v>1282.5</v>
      </c>
      <c r="AO7" s="927">
        <f>1.3516</f>
        <v>1.3515999999999999</v>
      </c>
      <c r="AP7" s="927">
        <f>1.35*1800</f>
        <v>2430</v>
      </c>
      <c r="AQ7" s="927">
        <f>560*1.35*Chiler_Price[[#This Row],[NO. Of Evap. Cooler ]]</f>
        <v>756</v>
      </c>
      <c r="AR7" s="927">
        <f>100*1.35*Chiler_Price[[#This Row],[NO. Of Evap. Cooler ]]</f>
        <v>135</v>
      </c>
      <c r="AS7" s="944">
        <v>286</v>
      </c>
      <c r="AT7" s="712"/>
      <c r="AU7" s="712"/>
      <c r="BC7" s="712"/>
      <c r="BD7" s="712"/>
      <c r="BE7" s="712"/>
      <c r="BF7" s="712"/>
      <c r="BG7" s="712"/>
      <c r="BI7" s="712"/>
    </row>
    <row r="8" spans="1:61" ht="16.5" thickBot="1">
      <c r="A8" s="939" t="s">
        <v>1869</v>
      </c>
      <c r="B8" s="940" t="s">
        <v>1870</v>
      </c>
      <c r="C8" s="927" t="s">
        <v>1869</v>
      </c>
      <c r="D8" s="936">
        <v>0</v>
      </c>
      <c r="E8" s="927">
        <v>4</v>
      </c>
      <c r="F8" s="927">
        <v>120.3</v>
      </c>
      <c r="G8" s="927">
        <v>1</v>
      </c>
      <c r="H8" s="927">
        <v>1</v>
      </c>
      <c r="I8" s="927">
        <f>Chiler_Price[[#This Row],[NO. of Cond Coils]]</f>
        <v>4</v>
      </c>
      <c r="J8" s="927">
        <v>80</v>
      </c>
      <c r="K8" s="927">
        <v>1</v>
      </c>
      <c r="L8" s="927"/>
      <c r="M8" s="927"/>
      <c r="N8" s="938">
        <v>0</v>
      </c>
      <c r="O8" s="1526">
        <v>28378</v>
      </c>
      <c r="P8" s="1526">
        <v>23837</v>
      </c>
      <c r="Q8" s="834">
        <v>0</v>
      </c>
      <c r="R8" s="927">
        <f>125*1.35*Chiler_Price[[#This Row],[NO. of Cond Coils]]</f>
        <v>675</v>
      </c>
      <c r="S8" s="929">
        <f>Chiler_Price[[#This Row],[Cond. Coils Area (FT)]]*4*Naming!$M$62</f>
        <v>10778.88</v>
      </c>
      <c r="T8" s="929">
        <f>5*Chiler_Price[[#This Row],[Cond. Coils Area (FT)]]</f>
        <v>601.5</v>
      </c>
      <c r="U8" s="929">
        <f>7*Chiler_Price[[#This Row],[Cond. Coils Area (FT)]]</f>
        <v>842.1</v>
      </c>
      <c r="V8" s="928">
        <f>Chiler_Price[[#This Row],[Cond. Coils Area (FT)]]*Naming!$I$93</f>
        <v>2285.6999999999998</v>
      </c>
      <c r="W8" s="930">
        <f>Chiler_Price[[#This Row],[Cond. Coils Area (FT)]]*Naming!$I$96</f>
        <v>3199.98</v>
      </c>
      <c r="X8" s="928">
        <f>1.5*Chiler_Price[[#This Row],[Cond. Coils Area (FT)]]</f>
        <v>180.45</v>
      </c>
      <c r="Y8" s="927">
        <f>1500*1.35*Chiler_Price[[#This Row],[NO. Of Compressors]]</f>
        <v>2025.0000000000002</v>
      </c>
      <c r="Z8" s="927">
        <f>400*1.35*Chiler_Price[[#This Row],[NO. Of Compressors]]</f>
        <v>540</v>
      </c>
      <c r="AA8" s="927">
        <f>650*1.35*Chiler_Price[[#This Row],[NO. Of Evap. Cooler ]]</f>
        <v>877.50000000000011</v>
      </c>
      <c r="AB8" s="927">
        <f>650*4*1.35*Chiler_Price[[#This Row],[NO. Of Evap. Cooler ]]</f>
        <v>3510.0000000000005</v>
      </c>
      <c r="AC8" s="927">
        <f>560*1.35*Chiler_Price[[#This Row],[NO. Of Evap. Cooler ]]</f>
        <v>756</v>
      </c>
      <c r="AD8" s="832">
        <v>0</v>
      </c>
      <c r="AE8" s="927">
        <f>700*1.35*Chiler_Price[[#This Row],[NO. Of Compressors]]</f>
        <v>945.00000000000011</v>
      </c>
      <c r="AF8" s="927">
        <f>100*1.35*Chiler_Price[[#This Row],[NO. Of Compressors]]</f>
        <v>135</v>
      </c>
      <c r="AG8" s="927">
        <f>100*1.35*Chiler_Price[[#This Row],[NO. Of Compressors]]</f>
        <v>135</v>
      </c>
      <c r="AH8" s="927">
        <f>600*1.35*Chiler_Price[[#This Row],[NO. Of Compressors]]</f>
        <v>810</v>
      </c>
      <c r="AI8" s="927">
        <v>405</v>
      </c>
      <c r="AJ8" s="948">
        <v>0</v>
      </c>
      <c r="AK8" s="927">
        <f>Chiler_Price[[#This Row],[NO. of Cond. Fans]]*62*1.1*1.35</f>
        <v>368.28000000000003</v>
      </c>
      <c r="AL8" s="927">
        <f>450*1.35*Chiler_Price[[#This Row],[NO. Of Compressors]]</f>
        <v>607.5</v>
      </c>
      <c r="AM8" s="927">
        <f>Chiler_Price[[#This Row],[NO. of Cond. Fans]]*62*1.1*1.35</f>
        <v>368.28000000000003</v>
      </c>
      <c r="AN8" s="927">
        <f t="shared" ref="AN8:AN72" si="0">1.35*950</f>
        <v>1282.5</v>
      </c>
      <c r="AO8" s="927">
        <f t="shared" ref="AO8:AO72" si="1">1.3516</f>
        <v>1.3515999999999999</v>
      </c>
      <c r="AP8" s="927">
        <f t="shared" ref="AP8:AP72" si="2">1.35*1800</f>
        <v>2430</v>
      </c>
      <c r="AQ8" s="927">
        <f>560*1.35*Chiler_Price[[#This Row],[NO. Of Evap. Cooler ]]</f>
        <v>756</v>
      </c>
      <c r="AR8" s="927">
        <f>100*1.35*Chiler_Price[[#This Row],[NO. Of Evap. Cooler ]]</f>
        <v>135</v>
      </c>
      <c r="AS8" s="944">
        <v>286</v>
      </c>
      <c r="AT8" s="712"/>
      <c r="AU8" s="712"/>
      <c r="BC8" s="712"/>
      <c r="BD8" s="712"/>
      <c r="BE8" s="712"/>
      <c r="BF8" s="712"/>
      <c r="BG8" s="712"/>
      <c r="BI8" s="712"/>
    </row>
    <row r="9" spans="1:61" ht="16.5" thickBot="1">
      <c r="A9" s="939" t="s">
        <v>1871</v>
      </c>
      <c r="B9" s="940" t="s">
        <v>1872</v>
      </c>
      <c r="C9" s="927" t="s">
        <v>1871</v>
      </c>
      <c r="D9" s="936">
        <v>0</v>
      </c>
      <c r="E9" s="927">
        <v>4</v>
      </c>
      <c r="F9" s="927">
        <v>120.3</v>
      </c>
      <c r="G9" s="927">
        <v>1</v>
      </c>
      <c r="H9" s="927">
        <v>1</v>
      </c>
      <c r="I9" s="927">
        <f>Chiler_Price[[#This Row],[NO. of Cond Coils]]</f>
        <v>4</v>
      </c>
      <c r="J9" s="927">
        <v>90</v>
      </c>
      <c r="K9" s="927">
        <v>1</v>
      </c>
      <c r="L9" s="927"/>
      <c r="M9" s="927"/>
      <c r="N9" s="938">
        <v>0</v>
      </c>
      <c r="O9" s="1526">
        <v>29268</v>
      </c>
      <c r="P9" s="1526">
        <v>24715</v>
      </c>
      <c r="Q9" s="834">
        <v>0</v>
      </c>
      <c r="R9" s="927">
        <f>125*1.35*Chiler_Price[[#This Row],[NO. of Cond Coils]]</f>
        <v>675</v>
      </c>
      <c r="S9" s="929">
        <f>Chiler_Price[[#This Row],[Cond. Coils Area (FT)]]*4*Naming!$M$62</f>
        <v>10778.88</v>
      </c>
      <c r="T9" s="929">
        <f>5*Chiler_Price[[#This Row],[Cond. Coils Area (FT)]]</f>
        <v>601.5</v>
      </c>
      <c r="U9" s="929">
        <f>7*Chiler_Price[[#This Row],[Cond. Coils Area (FT)]]</f>
        <v>842.1</v>
      </c>
      <c r="V9" s="928">
        <f>Chiler_Price[[#This Row],[Cond. Coils Area (FT)]]*Naming!$I$93</f>
        <v>2285.6999999999998</v>
      </c>
      <c r="W9" s="930">
        <f>Chiler_Price[[#This Row],[Cond. Coils Area (FT)]]*Naming!$I$96</f>
        <v>3199.98</v>
      </c>
      <c r="X9" s="928">
        <f>1.5*Chiler_Price[[#This Row],[Cond. Coils Area (FT)]]</f>
        <v>180.45</v>
      </c>
      <c r="Y9" s="927">
        <f>1500*1.35*Chiler_Price[[#This Row],[NO. Of Compressors]]</f>
        <v>2025.0000000000002</v>
      </c>
      <c r="Z9" s="927">
        <f>400*1.35*Chiler_Price[[#This Row],[NO. Of Compressors]]</f>
        <v>540</v>
      </c>
      <c r="AA9" s="927">
        <f>650*1.35*Chiler_Price[[#This Row],[NO. Of Evap. Cooler ]]</f>
        <v>877.50000000000011</v>
      </c>
      <c r="AB9" s="927">
        <f>650*4*1.35*Chiler_Price[[#This Row],[NO. Of Evap. Cooler ]]</f>
        <v>3510.0000000000005</v>
      </c>
      <c r="AC9" s="927">
        <f>560*1.35*Chiler_Price[[#This Row],[NO. Of Evap. Cooler ]]</f>
        <v>756</v>
      </c>
      <c r="AD9" s="832">
        <v>0</v>
      </c>
      <c r="AE9" s="927">
        <f>700*1.35*Chiler_Price[[#This Row],[NO. Of Compressors]]</f>
        <v>945.00000000000011</v>
      </c>
      <c r="AF9" s="927">
        <f>100*1.35*Chiler_Price[[#This Row],[NO. Of Compressors]]</f>
        <v>135</v>
      </c>
      <c r="AG9" s="927">
        <f>100*1.35*Chiler_Price[[#This Row],[NO. Of Compressors]]</f>
        <v>135</v>
      </c>
      <c r="AH9" s="927">
        <f>600*1.35*Chiler_Price[[#This Row],[NO. Of Compressors]]</f>
        <v>810</v>
      </c>
      <c r="AI9" s="927">
        <v>405</v>
      </c>
      <c r="AJ9" s="948">
        <v>0</v>
      </c>
      <c r="AK9" s="927">
        <f>Chiler_Price[[#This Row],[NO. of Cond. Fans]]*62*1.1*1.35</f>
        <v>368.28000000000003</v>
      </c>
      <c r="AL9" s="927">
        <f>450*1.35*Chiler_Price[[#This Row],[NO. Of Compressors]]</f>
        <v>607.5</v>
      </c>
      <c r="AM9" s="927">
        <f>Chiler_Price[[#This Row],[NO. of Cond. Fans]]*62*1.1*1.35</f>
        <v>368.28000000000003</v>
      </c>
      <c r="AN9" s="927">
        <f t="shared" si="0"/>
        <v>1282.5</v>
      </c>
      <c r="AO9" s="927">
        <f t="shared" si="1"/>
        <v>1.3515999999999999</v>
      </c>
      <c r="AP9" s="927">
        <f t="shared" si="2"/>
        <v>2430</v>
      </c>
      <c r="AQ9" s="927">
        <f>560*1.35*Chiler_Price[[#This Row],[NO. Of Evap. Cooler ]]</f>
        <v>756</v>
      </c>
      <c r="AR9" s="927">
        <f>100*1.35*Chiler_Price[[#This Row],[NO. Of Evap. Cooler ]]</f>
        <v>135</v>
      </c>
      <c r="AS9" s="944">
        <v>286</v>
      </c>
      <c r="AT9" s="712"/>
      <c r="AU9" s="712"/>
      <c r="BC9" s="712"/>
      <c r="BD9" s="712"/>
      <c r="BE9" s="712"/>
      <c r="BF9" s="712"/>
      <c r="BG9" s="712"/>
      <c r="BI9" s="712"/>
    </row>
    <row r="10" spans="1:61" ht="16.5" thickBot="1">
      <c r="A10" s="939" t="s">
        <v>1873</v>
      </c>
      <c r="B10" s="940">
        <v>0</v>
      </c>
      <c r="C10" s="927" t="s">
        <v>1873</v>
      </c>
      <c r="D10" s="936">
        <v>0</v>
      </c>
      <c r="E10" s="927">
        <v>4</v>
      </c>
      <c r="F10" s="927">
        <v>120.3</v>
      </c>
      <c r="G10" s="927">
        <v>1</v>
      </c>
      <c r="H10" s="927">
        <v>1</v>
      </c>
      <c r="I10" s="927">
        <f>Chiler_Price[[#This Row],[NO. of Cond Coils]]</f>
        <v>4</v>
      </c>
      <c r="J10" s="927">
        <v>100</v>
      </c>
      <c r="K10" s="927">
        <v>1</v>
      </c>
      <c r="L10" s="927"/>
      <c r="M10" s="927"/>
      <c r="N10" s="938">
        <v>0</v>
      </c>
      <c r="O10" s="1526">
        <v>29994</v>
      </c>
      <c r="P10" s="1526">
        <v>25431</v>
      </c>
      <c r="Q10" s="834">
        <v>0</v>
      </c>
      <c r="R10" s="927">
        <f>125*1.35*Chiler_Price[[#This Row],[NO. of Cond Coils]]</f>
        <v>675</v>
      </c>
      <c r="S10" s="929">
        <f>Chiler_Price[[#This Row],[Cond. Coils Area (FT)]]*4*Naming!$M$62</f>
        <v>10778.88</v>
      </c>
      <c r="T10" s="929">
        <f>5*Chiler_Price[[#This Row],[Cond. Coils Area (FT)]]</f>
        <v>601.5</v>
      </c>
      <c r="U10" s="929">
        <f>7*Chiler_Price[[#This Row],[Cond. Coils Area (FT)]]</f>
        <v>842.1</v>
      </c>
      <c r="V10" s="928">
        <f>Chiler_Price[[#This Row],[Cond. Coils Area (FT)]]*Naming!$I$93</f>
        <v>2285.6999999999998</v>
      </c>
      <c r="W10" s="930">
        <f>Chiler_Price[[#This Row],[Cond. Coils Area (FT)]]*Naming!$I$96</f>
        <v>3199.98</v>
      </c>
      <c r="X10" s="928">
        <f>1.5*Chiler_Price[[#This Row],[Cond. Coils Area (FT)]]</f>
        <v>180.45</v>
      </c>
      <c r="Y10" s="927">
        <f>1500*1.35*Chiler_Price[[#This Row],[NO. Of Compressors]]</f>
        <v>2025.0000000000002</v>
      </c>
      <c r="Z10" s="927">
        <f>400*1.35*Chiler_Price[[#This Row],[NO. Of Compressors]]</f>
        <v>540</v>
      </c>
      <c r="AA10" s="927">
        <f>650*1.35*Chiler_Price[[#This Row],[NO. Of Evap. Cooler ]]</f>
        <v>877.50000000000011</v>
      </c>
      <c r="AB10" s="927">
        <f>650*4*1.35*Chiler_Price[[#This Row],[NO. Of Evap. Cooler ]]</f>
        <v>3510.0000000000005</v>
      </c>
      <c r="AC10" s="927">
        <f>560*1.35*Chiler_Price[[#This Row],[NO. Of Evap. Cooler ]]</f>
        <v>756</v>
      </c>
      <c r="AD10" s="832">
        <v>0</v>
      </c>
      <c r="AE10" s="927">
        <f>700*1.35*Chiler_Price[[#This Row],[NO. Of Compressors]]</f>
        <v>945.00000000000011</v>
      </c>
      <c r="AF10" s="927">
        <f>100*1.35*Chiler_Price[[#This Row],[NO. Of Compressors]]</f>
        <v>135</v>
      </c>
      <c r="AG10" s="927">
        <f>100*1.35*Chiler_Price[[#This Row],[NO. Of Compressors]]</f>
        <v>135</v>
      </c>
      <c r="AH10" s="927">
        <f>600*1.35*Chiler_Price[[#This Row],[NO. Of Compressors]]</f>
        <v>810</v>
      </c>
      <c r="AI10" s="927">
        <v>405</v>
      </c>
      <c r="AJ10" s="948">
        <v>0</v>
      </c>
      <c r="AK10" s="927">
        <f>Chiler_Price[[#This Row],[NO. of Cond. Fans]]*62*1.1*1.35</f>
        <v>368.28000000000003</v>
      </c>
      <c r="AL10" s="927">
        <f>450*1.35*Chiler_Price[[#This Row],[NO. Of Compressors]]</f>
        <v>607.5</v>
      </c>
      <c r="AM10" s="927">
        <f>Chiler_Price[[#This Row],[NO. of Cond. Fans]]*62*1.1*1.35</f>
        <v>368.28000000000003</v>
      </c>
      <c r="AN10" s="927">
        <f t="shared" si="0"/>
        <v>1282.5</v>
      </c>
      <c r="AO10" s="927">
        <f t="shared" si="1"/>
        <v>1.3515999999999999</v>
      </c>
      <c r="AP10" s="927">
        <f t="shared" si="2"/>
        <v>2430</v>
      </c>
      <c r="AQ10" s="927">
        <f>560*1.35*Chiler_Price[[#This Row],[NO. Of Evap. Cooler ]]</f>
        <v>756</v>
      </c>
      <c r="AR10" s="927">
        <f>100*1.35*Chiler_Price[[#This Row],[NO. Of Evap. Cooler ]]</f>
        <v>135</v>
      </c>
      <c r="AS10" s="944">
        <v>286</v>
      </c>
      <c r="AT10" s="712"/>
      <c r="AU10" s="712"/>
      <c r="BC10" s="712"/>
      <c r="BD10" s="712"/>
      <c r="BE10" s="712"/>
      <c r="BF10" s="712"/>
      <c r="BG10" s="712"/>
      <c r="BI10" s="712"/>
    </row>
    <row r="11" spans="1:61" ht="16.5" thickBot="1">
      <c r="A11" s="939" t="s">
        <v>1874</v>
      </c>
      <c r="B11" s="940" t="s">
        <v>1875</v>
      </c>
      <c r="C11" s="927" t="s">
        <v>1876</v>
      </c>
      <c r="D11" s="936">
        <v>0</v>
      </c>
      <c r="E11" s="927">
        <v>4</v>
      </c>
      <c r="F11" s="927">
        <v>120.3</v>
      </c>
      <c r="G11" s="927">
        <v>2</v>
      </c>
      <c r="H11" s="927">
        <v>1</v>
      </c>
      <c r="I11" s="927">
        <f>Chiler_Price[[#This Row],[NO. of Cond Coils]]</f>
        <v>4</v>
      </c>
      <c r="J11" s="927">
        <v>55</v>
      </c>
      <c r="K11" s="927">
        <v>2</v>
      </c>
      <c r="L11" s="927"/>
      <c r="M11" s="927"/>
      <c r="N11" s="938">
        <v>0</v>
      </c>
      <c r="O11" s="1526">
        <v>35817</v>
      </c>
      <c r="P11" s="1526">
        <v>31172</v>
      </c>
      <c r="Q11" s="834">
        <v>0</v>
      </c>
      <c r="R11" s="927">
        <f>125*1.35*Chiler_Price[[#This Row],[NO. of Cond Coils]]</f>
        <v>675</v>
      </c>
      <c r="S11" s="929">
        <f>Chiler_Price[[#This Row],[Cond. Coils Area (FT)]]*4*Naming!$M$62</f>
        <v>10778.88</v>
      </c>
      <c r="T11" s="929">
        <f>5*Chiler_Price[[#This Row],[Cond. Coils Area (FT)]]</f>
        <v>601.5</v>
      </c>
      <c r="U11" s="929">
        <f>7*Chiler_Price[[#This Row],[Cond. Coils Area (FT)]]</f>
        <v>842.1</v>
      </c>
      <c r="V11" s="928">
        <f>Chiler_Price[[#This Row],[Cond. Coils Area (FT)]]*Naming!$I$93</f>
        <v>2285.6999999999998</v>
      </c>
      <c r="W11" s="930">
        <f>Chiler_Price[[#This Row],[Cond. Coils Area (FT)]]*Naming!$I$96</f>
        <v>3199.98</v>
      </c>
      <c r="X11" s="928">
        <f>1.5*Chiler_Price[[#This Row],[Cond. Coils Area (FT)]]</f>
        <v>180.45</v>
      </c>
      <c r="Y11" s="927">
        <f>1500*1.35*Chiler_Price[[#This Row],[NO. Of Compressors]]</f>
        <v>4050.0000000000005</v>
      </c>
      <c r="Z11" s="927">
        <f>400*1.35*Chiler_Price[[#This Row],[NO. Of Compressors]]</f>
        <v>1080</v>
      </c>
      <c r="AA11" s="927">
        <f>650*1.35*Chiler_Price[[#This Row],[NO. Of Evap. Cooler ]]</f>
        <v>877.50000000000011</v>
      </c>
      <c r="AB11" s="927">
        <f>650*4*1.35*Chiler_Price[[#This Row],[NO. Of Evap. Cooler ]]</f>
        <v>3510.0000000000005</v>
      </c>
      <c r="AC11" s="927">
        <f>560*1.35*Chiler_Price[[#This Row],[NO. Of Evap. Cooler ]]</f>
        <v>756</v>
      </c>
      <c r="AD11" s="832">
        <v>0</v>
      </c>
      <c r="AE11" s="927">
        <f>700*1.35*Chiler_Price[[#This Row],[NO. Of Compressors]]</f>
        <v>1890.0000000000002</v>
      </c>
      <c r="AF11" s="927">
        <f>100*1.35*Chiler_Price[[#This Row],[NO. Of Compressors]]</f>
        <v>270</v>
      </c>
      <c r="AG11" s="927">
        <f>100*1.35*Chiler_Price[[#This Row],[NO. Of Compressors]]</f>
        <v>270</v>
      </c>
      <c r="AH11" s="927">
        <f>600*1.35*Chiler_Price[[#This Row],[NO. Of Compressors]]</f>
        <v>1620</v>
      </c>
      <c r="AI11" s="927">
        <v>405</v>
      </c>
      <c r="AJ11" s="948">
        <v>0</v>
      </c>
      <c r="AK11" s="927">
        <f>Chiler_Price[[#This Row],[NO. of Cond. Fans]]*62*1.1*1.35</f>
        <v>368.28000000000003</v>
      </c>
      <c r="AL11" s="927">
        <f>450*1.35*Chiler_Price[[#This Row],[NO. Of Compressors]]</f>
        <v>1215</v>
      </c>
      <c r="AM11" s="927">
        <f>Chiler_Price[[#This Row],[NO. of Cond. Fans]]*62*1.1*1.35</f>
        <v>368.28000000000003</v>
      </c>
      <c r="AN11" s="927">
        <f t="shared" si="0"/>
        <v>1282.5</v>
      </c>
      <c r="AO11" s="927">
        <f t="shared" si="1"/>
        <v>1.3515999999999999</v>
      </c>
      <c r="AP11" s="927">
        <f t="shared" si="2"/>
        <v>2430</v>
      </c>
      <c r="AQ11" s="927">
        <f>560*1.35*Chiler_Price[[#This Row],[NO. Of Evap. Cooler ]]</f>
        <v>756</v>
      </c>
      <c r="AR11" s="927">
        <f>100*1.35*Chiler_Price[[#This Row],[NO. Of Evap. Cooler ]]</f>
        <v>135</v>
      </c>
      <c r="AS11" s="944">
        <v>286</v>
      </c>
      <c r="AT11" s="712"/>
      <c r="AU11" s="712"/>
      <c r="BC11" s="712"/>
      <c r="BD11" s="712"/>
      <c r="BE11" s="712"/>
      <c r="BF11" s="712"/>
      <c r="BG11" s="712"/>
      <c r="BI11" s="712"/>
    </row>
    <row r="12" spans="1:61" ht="16.5" thickBot="1">
      <c r="A12" s="939" t="s">
        <v>1877</v>
      </c>
      <c r="B12" s="940" t="s">
        <v>1878</v>
      </c>
      <c r="C12" s="927" t="s">
        <v>1877</v>
      </c>
      <c r="D12" s="936">
        <v>0</v>
      </c>
      <c r="E12" s="927">
        <v>4</v>
      </c>
      <c r="F12" s="927">
        <v>120.3</v>
      </c>
      <c r="G12" s="927">
        <v>1</v>
      </c>
      <c r="H12" s="927">
        <v>1</v>
      </c>
      <c r="I12" s="927">
        <f>Chiler_Price[[#This Row],[NO. of Cond Coils]]</f>
        <v>4</v>
      </c>
      <c r="J12" s="927">
        <v>110</v>
      </c>
      <c r="K12" s="927">
        <v>1</v>
      </c>
      <c r="L12" s="927"/>
      <c r="M12" s="927"/>
      <c r="N12" s="938">
        <v>0</v>
      </c>
      <c r="O12" s="1526">
        <v>33695</v>
      </c>
      <c r="P12" s="1526">
        <v>29080</v>
      </c>
      <c r="Q12" s="834">
        <v>0</v>
      </c>
      <c r="R12" s="927">
        <f>125*1.35*Chiler_Price[[#This Row],[NO. of Cond Coils]]</f>
        <v>675</v>
      </c>
      <c r="S12" s="929">
        <f>Chiler_Price[[#This Row],[Cond. Coils Area (FT)]]*4*Naming!$M$62</f>
        <v>10778.88</v>
      </c>
      <c r="T12" s="929">
        <f>5*Chiler_Price[[#This Row],[Cond. Coils Area (FT)]]</f>
        <v>601.5</v>
      </c>
      <c r="U12" s="929">
        <f>7*Chiler_Price[[#This Row],[Cond. Coils Area (FT)]]</f>
        <v>842.1</v>
      </c>
      <c r="V12" s="928">
        <f>Chiler_Price[[#This Row],[Cond. Coils Area (FT)]]*Naming!$I$93</f>
        <v>2285.6999999999998</v>
      </c>
      <c r="W12" s="930">
        <f>Chiler_Price[[#This Row],[Cond. Coils Area (FT)]]*Naming!$I$96</f>
        <v>3199.98</v>
      </c>
      <c r="X12" s="928">
        <f>1.5*Chiler_Price[[#This Row],[Cond. Coils Area (FT)]]</f>
        <v>180.45</v>
      </c>
      <c r="Y12" s="927">
        <f>1500*1.35*Chiler_Price[[#This Row],[NO. Of Compressors]]</f>
        <v>2025.0000000000002</v>
      </c>
      <c r="Z12" s="927">
        <f>400*1.35*Chiler_Price[[#This Row],[NO. Of Compressors]]</f>
        <v>540</v>
      </c>
      <c r="AA12" s="927">
        <f>650*1.35*Chiler_Price[[#This Row],[NO. Of Evap. Cooler ]]</f>
        <v>877.50000000000011</v>
      </c>
      <c r="AB12" s="927">
        <f>650*4*1.35*Chiler_Price[[#This Row],[NO. Of Evap. Cooler ]]</f>
        <v>3510.0000000000005</v>
      </c>
      <c r="AC12" s="927">
        <f>560*1.35*Chiler_Price[[#This Row],[NO. Of Evap. Cooler ]]</f>
        <v>756</v>
      </c>
      <c r="AD12" s="832">
        <v>0</v>
      </c>
      <c r="AE12" s="927">
        <f>700*1.35*Chiler_Price[[#This Row],[NO. Of Compressors]]</f>
        <v>945.00000000000011</v>
      </c>
      <c r="AF12" s="927">
        <f>100*1.35*Chiler_Price[[#This Row],[NO. Of Compressors]]</f>
        <v>135</v>
      </c>
      <c r="AG12" s="927">
        <f>100*1.35*Chiler_Price[[#This Row],[NO. Of Compressors]]</f>
        <v>135</v>
      </c>
      <c r="AH12" s="927">
        <f>600*1.35*Chiler_Price[[#This Row],[NO. Of Compressors]]</f>
        <v>810</v>
      </c>
      <c r="AI12" s="927">
        <v>405</v>
      </c>
      <c r="AJ12" s="948">
        <v>0</v>
      </c>
      <c r="AK12" s="927">
        <f>Chiler_Price[[#This Row],[NO. of Cond. Fans]]*62*1.1*1.35</f>
        <v>368.28000000000003</v>
      </c>
      <c r="AL12" s="927">
        <f>450*1.35*Chiler_Price[[#This Row],[NO. Of Compressors]]</f>
        <v>607.5</v>
      </c>
      <c r="AM12" s="927">
        <f>Chiler_Price[[#This Row],[NO. of Cond. Fans]]*62*1.1*1.35</f>
        <v>368.28000000000003</v>
      </c>
      <c r="AN12" s="927">
        <f t="shared" si="0"/>
        <v>1282.5</v>
      </c>
      <c r="AO12" s="927">
        <f t="shared" si="1"/>
        <v>1.3515999999999999</v>
      </c>
      <c r="AP12" s="927">
        <f t="shared" si="2"/>
        <v>2430</v>
      </c>
      <c r="AQ12" s="927">
        <f>560*1.35*Chiler_Price[[#This Row],[NO. Of Evap. Cooler ]]</f>
        <v>756</v>
      </c>
      <c r="AR12" s="927">
        <f>100*1.35*Chiler_Price[[#This Row],[NO. Of Evap. Cooler ]]</f>
        <v>135</v>
      </c>
      <c r="AS12" s="944">
        <v>286</v>
      </c>
      <c r="AT12" s="712"/>
      <c r="AU12" s="712"/>
      <c r="BC12" s="712"/>
      <c r="BD12" s="712"/>
      <c r="BE12" s="712"/>
      <c r="BF12" s="712"/>
      <c r="BG12" s="712"/>
      <c r="BI12" s="712"/>
    </row>
    <row r="13" spans="1:61" ht="16.5" thickBot="1">
      <c r="A13" s="939" t="s">
        <v>1879</v>
      </c>
      <c r="B13" s="940" t="s">
        <v>1880</v>
      </c>
      <c r="C13" s="927" t="s">
        <v>1881</v>
      </c>
      <c r="D13" s="936">
        <v>0</v>
      </c>
      <c r="E13" s="927">
        <v>4</v>
      </c>
      <c r="F13" s="927">
        <v>120.3</v>
      </c>
      <c r="G13" s="927">
        <v>1</v>
      </c>
      <c r="H13" s="927">
        <v>1</v>
      </c>
      <c r="I13" s="927">
        <f>Chiler_Price[[#This Row],[NO. of Cond Coils]]</f>
        <v>4</v>
      </c>
      <c r="J13" s="927">
        <v>125</v>
      </c>
      <c r="K13" s="927">
        <v>1</v>
      </c>
      <c r="L13" s="927"/>
      <c r="M13" s="927"/>
      <c r="N13" s="938">
        <v>0</v>
      </c>
      <c r="O13" s="1526">
        <v>34848</v>
      </c>
      <c r="P13" s="1526">
        <v>30217</v>
      </c>
      <c r="Q13" s="834">
        <v>0</v>
      </c>
      <c r="R13" s="927">
        <f>125*1.35*Chiler_Price[[#This Row],[NO. of Cond Coils]]</f>
        <v>675</v>
      </c>
      <c r="S13" s="929">
        <f>Chiler_Price[[#This Row],[Cond. Coils Area (FT)]]*4*Naming!$M$62</f>
        <v>10778.88</v>
      </c>
      <c r="T13" s="929">
        <f>5*Chiler_Price[[#This Row],[Cond. Coils Area (FT)]]</f>
        <v>601.5</v>
      </c>
      <c r="U13" s="929">
        <f>7*Chiler_Price[[#This Row],[Cond. Coils Area (FT)]]</f>
        <v>842.1</v>
      </c>
      <c r="V13" s="928">
        <f>Chiler_Price[[#This Row],[Cond. Coils Area (FT)]]*Naming!$I$93</f>
        <v>2285.6999999999998</v>
      </c>
      <c r="W13" s="930">
        <f>Chiler_Price[[#This Row],[Cond. Coils Area (FT)]]*Naming!$I$96</f>
        <v>3199.98</v>
      </c>
      <c r="X13" s="928">
        <f>1.5*Chiler_Price[[#This Row],[Cond. Coils Area (FT)]]</f>
        <v>180.45</v>
      </c>
      <c r="Y13" s="927">
        <f>1500*1.35*Chiler_Price[[#This Row],[NO. Of Compressors]]</f>
        <v>2025.0000000000002</v>
      </c>
      <c r="Z13" s="927">
        <f>400*1.35*Chiler_Price[[#This Row],[NO. Of Compressors]]</f>
        <v>540</v>
      </c>
      <c r="AA13" s="927">
        <f>650*1.35*Chiler_Price[[#This Row],[NO. Of Evap. Cooler ]]</f>
        <v>877.50000000000011</v>
      </c>
      <c r="AB13" s="927">
        <f>650*4*1.35*Chiler_Price[[#This Row],[NO. Of Evap. Cooler ]]</f>
        <v>3510.0000000000005</v>
      </c>
      <c r="AC13" s="927">
        <f>560*1.35*Chiler_Price[[#This Row],[NO. Of Evap. Cooler ]]</f>
        <v>756</v>
      </c>
      <c r="AD13" s="832">
        <v>0</v>
      </c>
      <c r="AE13" s="927">
        <f>700*1.35*Chiler_Price[[#This Row],[NO. Of Compressors]]</f>
        <v>945.00000000000011</v>
      </c>
      <c r="AF13" s="927">
        <f>100*1.35*Chiler_Price[[#This Row],[NO. Of Compressors]]</f>
        <v>135</v>
      </c>
      <c r="AG13" s="927">
        <f>100*1.35*Chiler_Price[[#This Row],[NO. Of Compressors]]</f>
        <v>135</v>
      </c>
      <c r="AH13" s="927">
        <f>600*1.35*Chiler_Price[[#This Row],[NO. Of Compressors]]</f>
        <v>810</v>
      </c>
      <c r="AI13" s="927">
        <v>405</v>
      </c>
      <c r="AJ13" s="948">
        <v>0</v>
      </c>
      <c r="AK13" s="927">
        <f>Chiler_Price[[#This Row],[NO. of Cond. Fans]]*62*1.1*1.35</f>
        <v>368.28000000000003</v>
      </c>
      <c r="AL13" s="927">
        <f>450*1.35*Chiler_Price[[#This Row],[NO. Of Compressors]]</f>
        <v>607.5</v>
      </c>
      <c r="AM13" s="927">
        <f>Chiler_Price[[#This Row],[NO. of Cond. Fans]]*62*1.1*1.35</f>
        <v>368.28000000000003</v>
      </c>
      <c r="AN13" s="927">
        <f t="shared" si="0"/>
        <v>1282.5</v>
      </c>
      <c r="AO13" s="927">
        <f t="shared" si="1"/>
        <v>1.3515999999999999</v>
      </c>
      <c r="AP13" s="927">
        <f t="shared" si="2"/>
        <v>2430</v>
      </c>
      <c r="AQ13" s="927">
        <f>560*1.35*Chiler_Price[[#This Row],[NO. Of Evap. Cooler ]]</f>
        <v>756</v>
      </c>
      <c r="AR13" s="927">
        <f>100*1.35*Chiler_Price[[#This Row],[NO. Of Evap. Cooler ]]</f>
        <v>135</v>
      </c>
      <c r="AS13" s="944">
        <v>286</v>
      </c>
      <c r="AT13" s="712"/>
      <c r="AU13" s="712"/>
      <c r="BC13" s="712"/>
      <c r="BD13" s="712"/>
      <c r="BE13" s="712"/>
      <c r="BF13" s="712"/>
      <c r="BG13" s="712"/>
      <c r="BI13" s="712"/>
    </row>
    <row r="14" spans="1:61" ht="16.5" thickBot="1">
      <c r="A14" s="939" t="s">
        <v>1882</v>
      </c>
      <c r="B14" s="940">
        <v>0</v>
      </c>
      <c r="C14" s="927" t="s">
        <v>1882</v>
      </c>
      <c r="D14" s="936">
        <v>0</v>
      </c>
      <c r="E14" s="927">
        <v>4</v>
      </c>
      <c r="F14" s="927">
        <v>120.3</v>
      </c>
      <c r="G14" s="927">
        <v>2</v>
      </c>
      <c r="H14" s="927">
        <v>1</v>
      </c>
      <c r="I14" s="927">
        <f>Chiler_Price[[#This Row],[NO. of Cond Coils]]</f>
        <v>4</v>
      </c>
      <c r="J14" s="927">
        <v>70</v>
      </c>
      <c r="K14" s="927">
        <v>2</v>
      </c>
      <c r="L14" s="927"/>
      <c r="M14" s="927"/>
      <c r="N14" s="938">
        <v>0</v>
      </c>
      <c r="O14" s="1526">
        <v>40611</v>
      </c>
      <c r="P14" s="1526">
        <v>35900</v>
      </c>
      <c r="Q14" s="834">
        <v>0</v>
      </c>
      <c r="R14" s="927">
        <f>125*1.35*Chiler_Price[[#This Row],[NO. of Cond Coils]]</f>
        <v>675</v>
      </c>
      <c r="S14" s="929">
        <f>Chiler_Price[[#This Row],[Cond. Coils Area (FT)]]*4*Naming!$M$62</f>
        <v>10778.88</v>
      </c>
      <c r="T14" s="929">
        <f>5*Chiler_Price[[#This Row],[Cond. Coils Area (FT)]]</f>
        <v>601.5</v>
      </c>
      <c r="U14" s="929">
        <f>7*Chiler_Price[[#This Row],[Cond. Coils Area (FT)]]</f>
        <v>842.1</v>
      </c>
      <c r="V14" s="928">
        <f>Chiler_Price[[#This Row],[Cond. Coils Area (FT)]]*Naming!$I$93</f>
        <v>2285.6999999999998</v>
      </c>
      <c r="W14" s="930">
        <f>Chiler_Price[[#This Row],[Cond. Coils Area (FT)]]*Naming!$I$96</f>
        <v>3199.98</v>
      </c>
      <c r="X14" s="928">
        <f>1.5*Chiler_Price[[#This Row],[Cond. Coils Area (FT)]]</f>
        <v>180.45</v>
      </c>
      <c r="Y14" s="927">
        <f>1500*1.35*Chiler_Price[[#This Row],[NO. Of Compressors]]</f>
        <v>4050.0000000000005</v>
      </c>
      <c r="Z14" s="927">
        <f>400*1.35*Chiler_Price[[#This Row],[NO. Of Compressors]]</f>
        <v>1080</v>
      </c>
      <c r="AA14" s="927">
        <f>650*1.35*Chiler_Price[[#This Row],[NO. Of Evap. Cooler ]]</f>
        <v>877.50000000000011</v>
      </c>
      <c r="AB14" s="927">
        <f>650*4*1.35*Chiler_Price[[#This Row],[NO. Of Evap. Cooler ]]</f>
        <v>3510.0000000000005</v>
      </c>
      <c r="AC14" s="927">
        <f>560*1.35*Chiler_Price[[#This Row],[NO. Of Evap. Cooler ]]</f>
        <v>756</v>
      </c>
      <c r="AD14" s="832">
        <v>0</v>
      </c>
      <c r="AE14" s="927">
        <f>700*1.35*Chiler_Price[[#This Row],[NO. Of Compressors]]</f>
        <v>1890.0000000000002</v>
      </c>
      <c r="AF14" s="927">
        <f>100*1.35*Chiler_Price[[#This Row],[NO. Of Compressors]]</f>
        <v>270</v>
      </c>
      <c r="AG14" s="927">
        <f>100*1.35*Chiler_Price[[#This Row],[NO. Of Compressors]]</f>
        <v>270</v>
      </c>
      <c r="AH14" s="927">
        <f>600*1.35*Chiler_Price[[#This Row],[NO. Of Compressors]]</f>
        <v>1620</v>
      </c>
      <c r="AI14" s="927">
        <v>405</v>
      </c>
      <c r="AJ14" s="948">
        <v>0</v>
      </c>
      <c r="AK14" s="927">
        <f>Chiler_Price[[#This Row],[NO. of Cond. Fans]]*62*1.1*1.35</f>
        <v>368.28000000000003</v>
      </c>
      <c r="AL14" s="927">
        <f>450*1.35*Chiler_Price[[#This Row],[NO. Of Compressors]]</f>
        <v>1215</v>
      </c>
      <c r="AM14" s="927">
        <f>Chiler_Price[[#This Row],[NO. of Cond. Fans]]*62*1.1*1.35</f>
        <v>368.28000000000003</v>
      </c>
      <c r="AN14" s="927">
        <f t="shared" si="0"/>
        <v>1282.5</v>
      </c>
      <c r="AO14" s="927">
        <f t="shared" si="1"/>
        <v>1.3515999999999999</v>
      </c>
      <c r="AP14" s="927">
        <f t="shared" si="2"/>
        <v>2430</v>
      </c>
      <c r="AQ14" s="927">
        <f>560*1.35*Chiler_Price[[#This Row],[NO. Of Evap. Cooler ]]</f>
        <v>756</v>
      </c>
      <c r="AR14" s="927">
        <f>100*1.35*Chiler_Price[[#This Row],[NO. Of Evap. Cooler ]]</f>
        <v>135</v>
      </c>
      <c r="AS14" s="944">
        <v>286</v>
      </c>
      <c r="AT14" s="712"/>
      <c r="AU14" s="712"/>
      <c r="BC14" s="712"/>
      <c r="BD14" s="712"/>
      <c r="BE14" s="712"/>
      <c r="BF14" s="712"/>
      <c r="BG14" s="712"/>
      <c r="BI14" s="712"/>
    </row>
    <row r="15" spans="1:61" ht="16.5" thickBot="1">
      <c r="A15" s="939" t="s">
        <v>1883</v>
      </c>
      <c r="B15" s="940" t="s">
        <v>1884</v>
      </c>
      <c r="C15" s="927" t="s">
        <v>1885</v>
      </c>
      <c r="D15" s="936">
        <v>0</v>
      </c>
      <c r="E15" s="927">
        <v>4</v>
      </c>
      <c r="F15" s="927">
        <v>120.3</v>
      </c>
      <c r="G15" s="927">
        <v>1</v>
      </c>
      <c r="H15" s="927">
        <v>1</v>
      </c>
      <c r="I15" s="927">
        <f>Chiler_Price[[#This Row],[NO. of Cond Coils]]</f>
        <v>4</v>
      </c>
      <c r="J15" s="927">
        <v>135</v>
      </c>
      <c r="K15" s="927">
        <v>1</v>
      </c>
      <c r="L15" s="927"/>
      <c r="M15" s="927"/>
      <c r="N15" s="938">
        <v>0</v>
      </c>
      <c r="O15" s="1526">
        <v>36394</v>
      </c>
      <c r="P15" s="1526">
        <v>31741</v>
      </c>
      <c r="Q15" s="834">
        <v>0</v>
      </c>
      <c r="R15" s="927">
        <f>125*1.35*Chiler_Price[[#This Row],[NO. of Cond Coils]]</f>
        <v>675</v>
      </c>
      <c r="S15" s="929">
        <f>Chiler_Price[[#This Row],[Cond. Coils Area (FT)]]*4*Naming!$M$62</f>
        <v>10778.88</v>
      </c>
      <c r="T15" s="929">
        <f>5*Chiler_Price[[#This Row],[Cond. Coils Area (FT)]]</f>
        <v>601.5</v>
      </c>
      <c r="U15" s="929">
        <f>7*Chiler_Price[[#This Row],[Cond. Coils Area (FT)]]</f>
        <v>842.1</v>
      </c>
      <c r="V15" s="928">
        <f>Chiler_Price[[#This Row],[Cond. Coils Area (FT)]]*Naming!$I$93</f>
        <v>2285.6999999999998</v>
      </c>
      <c r="W15" s="930">
        <f>Chiler_Price[[#This Row],[Cond. Coils Area (FT)]]*Naming!$I$96</f>
        <v>3199.98</v>
      </c>
      <c r="X15" s="928">
        <f>1.5*Chiler_Price[[#This Row],[Cond. Coils Area (FT)]]</f>
        <v>180.45</v>
      </c>
      <c r="Y15" s="927">
        <f>1500*1.35*Chiler_Price[[#This Row],[NO. Of Compressors]]</f>
        <v>2025.0000000000002</v>
      </c>
      <c r="Z15" s="927">
        <f>400*1.35*Chiler_Price[[#This Row],[NO. Of Compressors]]</f>
        <v>540</v>
      </c>
      <c r="AA15" s="927">
        <f>650*1.35*Chiler_Price[[#This Row],[NO. Of Evap. Cooler ]]</f>
        <v>877.50000000000011</v>
      </c>
      <c r="AB15" s="927">
        <f>650*4*1.35*Chiler_Price[[#This Row],[NO. Of Evap. Cooler ]]</f>
        <v>3510.0000000000005</v>
      </c>
      <c r="AC15" s="927">
        <f>560*1.35*Chiler_Price[[#This Row],[NO. Of Evap. Cooler ]]</f>
        <v>756</v>
      </c>
      <c r="AD15" s="832">
        <v>0</v>
      </c>
      <c r="AE15" s="927">
        <f>700*1.35*Chiler_Price[[#This Row],[NO. Of Compressors]]</f>
        <v>945.00000000000011</v>
      </c>
      <c r="AF15" s="927">
        <f>100*1.35*Chiler_Price[[#This Row],[NO. Of Compressors]]</f>
        <v>135</v>
      </c>
      <c r="AG15" s="927">
        <f>100*1.35*Chiler_Price[[#This Row],[NO. Of Compressors]]</f>
        <v>135</v>
      </c>
      <c r="AH15" s="927">
        <f>600*1.35*Chiler_Price[[#This Row],[NO. Of Compressors]]</f>
        <v>810</v>
      </c>
      <c r="AI15" s="927">
        <v>405</v>
      </c>
      <c r="AJ15" s="948">
        <v>0</v>
      </c>
      <c r="AK15" s="927">
        <f>Chiler_Price[[#This Row],[NO. of Cond. Fans]]*62*1.1*1.35</f>
        <v>368.28000000000003</v>
      </c>
      <c r="AL15" s="927">
        <f>450*1.35*Chiler_Price[[#This Row],[NO. Of Compressors]]</f>
        <v>607.5</v>
      </c>
      <c r="AM15" s="927">
        <f>Chiler_Price[[#This Row],[NO. of Cond. Fans]]*62*1.1*1.35</f>
        <v>368.28000000000003</v>
      </c>
      <c r="AN15" s="927">
        <f t="shared" si="0"/>
        <v>1282.5</v>
      </c>
      <c r="AO15" s="927">
        <f t="shared" si="1"/>
        <v>1.3515999999999999</v>
      </c>
      <c r="AP15" s="927">
        <f t="shared" si="2"/>
        <v>2430</v>
      </c>
      <c r="AQ15" s="927">
        <f>560*1.35*Chiler_Price[[#This Row],[NO. Of Evap. Cooler ]]</f>
        <v>756</v>
      </c>
      <c r="AR15" s="927">
        <f>100*1.35*Chiler_Price[[#This Row],[NO. Of Evap. Cooler ]]</f>
        <v>135</v>
      </c>
      <c r="AS15" s="944">
        <v>286</v>
      </c>
      <c r="AT15" s="712"/>
      <c r="AU15" s="712"/>
      <c r="BC15" s="712"/>
      <c r="BD15" s="712"/>
      <c r="BE15" s="712"/>
      <c r="BF15" s="712"/>
      <c r="BG15" s="712"/>
      <c r="BI15" s="712"/>
    </row>
    <row r="16" spans="1:61" ht="16.5" thickBot="1">
      <c r="A16" s="939" t="s">
        <v>1886</v>
      </c>
      <c r="B16" s="940">
        <v>0</v>
      </c>
      <c r="C16" s="927" t="s">
        <v>1886</v>
      </c>
      <c r="D16" s="936">
        <v>0</v>
      </c>
      <c r="E16" s="927">
        <v>4</v>
      </c>
      <c r="F16" s="927">
        <v>120.3</v>
      </c>
      <c r="G16" s="927">
        <v>2</v>
      </c>
      <c r="H16" s="927">
        <v>1</v>
      </c>
      <c r="I16" s="927">
        <f>Chiler_Price[[#This Row],[NO. of Cond Coils]]</f>
        <v>4</v>
      </c>
      <c r="J16" s="927">
        <v>80</v>
      </c>
      <c r="K16" s="927">
        <v>2</v>
      </c>
      <c r="L16" s="927"/>
      <c r="M16" s="927"/>
      <c r="N16" s="938">
        <v>0</v>
      </c>
      <c r="O16" s="1526">
        <v>42161</v>
      </c>
      <c r="P16" s="1526">
        <v>37249</v>
      </c>
      <c r="Q16" s="834">
        <v>0</v>
      </c>
      <c r="R16" s="927">
        <f>125*1.35*Chiler_Price[[#This Row],[NO. of Cond Coils]]</f>
        <v>675</v>
      </c>
      <c r="S16" s="929">
        <f>Chiler_Price[[#This Row],[Cond. Coils Area (FT)]]*4*Naming!$M$62</f>
        <v>10778.88</v>
      </c>
      <c r="T16" s="929">
        <f>5*Chiler_Price[[#This Row],[Cond. Coils Area (FT)]]</f>
        <v>601.5</v>
      </c>
      <c r="U16" s="929">
        <f>7*Chiler_Price[[#This Row],[Cond. Coils Area (FT)]]</f>
        <v>842.1</v>
      </c>
      <c r="V16" s="928">
        <f>Chiler_Price[[#This Row],[Cond. Coils Area (FT)]]*Naming!$I$93</f>
        <v>2285.6999999999998</v>
      </c>
      <c r="W16" s="930">
        <f>Chiler_Price[[#This Row],[Cond. Coils Area (FT)]]*Naming!$I$96</f>
        <v>3199.98</v>
      </c>
      <c r="X16" s="928">
        <f>1.5*Chiler_Price[[#This Row],[Cond. Coils Area (FT)]]</f>
        <v>180.45</v>
      </c>
      <c r="Y16" s="927">
        <f>1500*1.35*Chiler_Price[[#This Row],[NO. Of Compressors]]</f>
        <v>4050.0000000000005</v>
      </c>
      <c r="Z16" s="927">
        <f>400*1.35*Chiler_Price[[#This Row],[NO. Of Compressors]]</f>
        <v>1080</v>
      </c>
      <c r="AA16" s="927">
        <f>650*1.35*Chiler_Price[[#This Row],[NO. Of Evap. Cooler ]]</f>
        <v>877.50000000000011</v>
      </c>
      <c r="AB16" s="927">
        <f>650*4*1.35*Chiler_Price[[#This Row],[NO. Of Evap. Cooler ]]</f>
        <v>3510.0000000000005</v>
      </c>
      <c r="AC16" s="927">
        <f>560*1.35*Chiler_Price[[#This Row],[NO. Of Evap. Cooler ]]</f>
        <v>756</v>
      </c>
      <c r="AD16" s="832">
        <v>0</v>
      </c>
      <c r="AE16" s="927">
        <f>700*1.35*Chiler_Price[[#This Row],[NO. Of Compressors]]</f>
        <v>1890.0000000000002</v>
      </c>
      <c r="AF16" s="927">
        <f>100*1.35*Chiler_Price[[#This Row],[NO. Of Compressors]]</f>
        <v>270</v>
      </c>
      <c r="AG16" s="927">
        <f>100*1.35*Chiler_Price[[#This Row],[NO. Of Compressors]]</f>
        <v>270</v>
      </c>
      <c r="AH16" s="927">
        <f>600*1.35*Chiler_Price[[#This Row],[NO. Of Compressors]]</f>
        <v>1620</v>
      </c>
      <c r="AI16" s="927">
        <v>405</v>
      </c>
      <c r="AJ16" s="948">
        <v>0</v>
      </c>
      <c r="AK16" s="927">
        <f>Chiler_Price[[#This Row],[NO. of Cond. Fans]]*62*1.1*1.35</f>
        <v>368.28000000000003</v>
      </c>
      <c r="AL16" s="927">
        <f>450*1.35*Chiler_Price[[#This Row],[NO. Of Compressors]]</f>
        <v>1215</v>
      </c>
      <c r="AM16" s="927">
        <f>Chiler_Price[[#This Row],[NO. of Cond. Fans]]*62*1.1*1.35</f>
        <v>368.28000000000003</v>
      </c>
      <c r="AN16" s="927">
        <f t="shared" si="0"/>
        <v>1282.5</v>
      </c>
      <c r="AO16" s="927">
        <f t="shared" si="1"/>
        <v>1.3515999999999999</v>
      </c>
      <c r="AP16" s="927">
        <f t="shared" si="2"/>
        <v>2430</v>
      </c>
      <c r="AQ16" s="927">
        <f>560*1.35*Chiler_Price[[#This Row],[NO. Of Evap. Cooler ]]</f>
        <v>756</v>
      </c>
      <c r="AR16" s="927">
        <f>100*1.35*Chiler_Price[[#This Row],[NO. Of Evap. Cooler ]]</f>
        <v>135</v>
      </c>
      <c r="AS16" s="944">
        <v>286</v>
      </c>
      <c r="AT16" s="712"/>
      <c r="AU16" s="712"/>
      <c r="BC16" s="712"/>
      <c r="BD16" s="712"/>
      <c r="BE16" s="712"/>
      <c r="BF16" s="712"/>
      <c r="BG16" s="712"/>
      <c r="BI16" s="712"/>
    </row>
    <row r="17" spans="1:61" ht="16.5" thickBot="1">
      <c r="A17" s="939" t="s">
        <v>1887</v>
      </c>
      <c r="B17" s="940" t="s">
        <v>1888</v>
      </c>
      <c r="C17" s="927" t="s">
        <v>1889</v>
      </c>
      <c r="D17" s="936">
        <v>0</v>
      </c>
      <c r="E17" s="927">
        <v>4</v>
      </c>
      <c r="F17" s="927">
        <v>120.3</v>
      </c>
      <c r="G17" s="927">
        <v>1</v>
      </c>
      <c r="H17" s="927">
        <v>1</v>
      </c>
      <c r="I17" s="927">
        <f>Chiler_Price[[#This Row],[NO. of Cond Coils]]</f>
        <v>4</v>
      </c>
      <c r="J17" s="927">
        <v>160</v>
      </c>
      <c r="K17" s="927">
        <v>1</v>
      </c>
      <c r="L17" s="927"/>
      <c r="M17" s="927"/>
      <c r="N17" s="938">
        <v>0</v>
      </c>
      <c r="O17" s="1526">
        <v>37865</v>
      </c>
      <c r="P17" s="1526">
        <v>33192</v>
      </c>
      <c r="Q17" s="834">
        <v>0</v>
      </c>
      <c r="R17" s="927">
        <f>125*1.35*Chiler_Price[[#This Row],[NO. of Cond Coils]]</f>
        <v>675</v>
      </c>
      <c r="S17" s="929">
        <f>Chiler_Price[[#This Row],[Cond. Coils Area (FT)]]*4*Naming!$M$62</f>
        <v>10778.88</v>
      </c>
      <c r="T17" s="929">
        <f>5*Chiler_Price[[#This Row],[Cond. Coils Area (FT)]]</f>
        <v>601.5</v>
      </c>
      <c r="U17" s="929">
        <f>7*Chiler_Price[[#This Row],[Cond. Coils Area (FT)]]</f>
        <v>842.1</v>
      </c>
      <c r="V17" s="928">
        <f>Chiler_Price[[#This Row],[Cond. Coils Area (FT)]]*Naming!$I$93</f>
        <v>2285.6999999999998</v>
      </c>
      <c r="W17" s="930">
        <f>Chiler_Price[[#This Row],[Cond. Coils Area (FT)]]*Naming!$I$96</f>
        <v>3199.98</v>
      </c>
      <c r="X17" s="928">
        <f>1.5*Chiler_Price[[#This Row],[Cond. Coils Area (FT)]]</f>
        <v>180.45</v>
      </c>
      <c r="Y17" s="927">
        <f>1500*1.35*Chiler_Price[[#This Row],[NO. Of Compressors]]</f>
        <v>2025.0000000000002</v>
      </c>
      <c r="Z17" s="927">
        <f>400*1.35*Chiler_Price[[#This Row],[NO. Of Compressors]]</f>
        <v>540</v>
      </c>
      <c r="AA17" s="927">
        <f>650*1.35*Chiler_Price[[#This Row],[NO. Of Evap. Cooler ]]</f>
        <v>877.50000000000011</v>
      </c>
      <c r="AB17" s="927">
        <f>650*4*1.35*Chiler_Price[[#This Row],[NO. Of Evap. Cooler ]]</f>
        <v>3510.0000000000005</v>
      </c>
      <c r="AC17" s="927">
        <f>560*1.35*Chiler_Price[[#This Row],[NO. Of Evap. Cooler ]]</f>
        <v>756</v>
      </c>
      <c r="AD17" s="832">
        <v>0</v>
      </c>
      <c r="AE17" s="927">
        <f>700*1.35*Chiler_Price[[#This Row],[NO. Of Compressors]]</f>
        <v>945.00000000000011</v>
      </c>
      <c r="AF17" s="927">
        <f>100*1.35*Chiler_Price[[#This Row],[NO. Of Compressors]]</f>
        <v>135</v>
      </c>
      <c r="AG17" s="927">
        <f>100*1.35*Chiler_Price[[#This Row],[NO. Of Compressors]]</f>
        <v>135</v>
      </c>
      <c r="AH17" s="927">
        <f>600*1.35*Chiler_Price[[#This Row],[NO. Of Compressors]]</f>
        <v>810</v>
      </c>
      <c r="AI17" s="927">
        <v>405</v>
      </c>
      <c r="AJ17" s="948">
        <v>0</v>
      </c>
      <c r="AK17" s="927">
        <f>Chiler_Price[[#This Row],[NO. of Cond. Fans]]*62*1.1*1.35</f>
        <v>368.28000000000003</v>
      </c>
      <c r="AL17" s="927">
        <f>450*1.35*Chiler_Price[[#This Row],[NO. Of Compressors]]</f>
        <v>607.5</v>
      </c>
      <c r="AM17" s="927">
        <f>Chiler_Price[[#This Row],[NO. of Cond. Fans]]*62*1.1*1.35</f>
        <v>368.28000000000003</v>
      </c>
      <c r="AN17" s="927">
        <f t="shared" si="0"/>
        <v>1282.5</v>
      </c>
      <c r="AO17" s="927">
        <f t="shared" si="1"/>
        <v>1.3515999999999999</v>
      </c>
      <c r="AP17" s="927">
        <f t="shared" si="2"/>
        <v>2430</v>
      </c>
      <c r="AQ17" s="927">
        <f>560*1.35*Chiler_Price[[#This Row],[NO. Of Evap. Cooler ]]</f>
        <v>756</v>
      </c>
      <c r="AR17" s="927">
        <f>100*1.35*Chiler_Price[[#This Row],[NO. Of Evap. Cooler ]]</f>
        <v>135</v>
      </c>
      <c r="AS17" s="944">
        <v>286</v>
      </c>
      <c r="AT17" s="712"/>
      <c r="AU17" s="712"/>
      <c r="BC17" s="712"/>
      <c r="BD17" s="712"/>
      <c r="BE17" s="712"/>
      <c r="BF17" s="712"/>
      <c r="BG17" s="712"/>
      <c r="BI17" s="712"/>
    </row>
    <row r="18" spans="1:61" ht="16.5" thickBot="1">
      <c r="A18" s="939" t="s">
        <v>1890</v>
      </c>
      <c r="B18" s="940" t="s">
        <v>1891</v>
      </c>
      <c r="C18" s="927" t="s">
        <v>1892</v>
      </c>
      <c r="D18" s="936">
        <v>0</v>
      </c>
      <c r="E18" s="927">
        <v>6</v>
      </c>
      <c r="F18" s="927">
        <v>180.5</v>
      </c>
      <c r="G18" s="927">
        <v>2</v>
      </c>
      <c r="H18" s="927">
        <v>1</v>
      </c>
      <c r="I18" s="927">
        <f>Chiler_Price[[#This Row],[NO. of Cond Coils]]</f>
        <v>6</v>
      </c>
      <c r="J18" s="927">
        <v>80</v>
      </c>
      <c r="K18" s="927">
        <v>2</v>
      </c>
      <c r="L18" s="927"/>
      <c r="M18" s="927"/>
      <c r="N18" s="938">
        <v>0</v>
      </c>
      <c r="O18" s="1526">
        <v>47834</v>
      </c>
      <c r="P18" s="1526">
        <v>40949</v>
      </c>
      <c r="Q18" s="834">
        <v>0</v>
      </c>
      <c r="R18" s="927">
        <f>125*1.35*Chiler_Price[[#This Row],[NO. of Cond Coils]]</f>
        <v>1012.5</v>
      </c>
      <c r="S18" s="929">
        <f>Chiler_Price[[#This Row],[Cond. Coils Area (FT)]]*4*Naming!$M$62</f>
        <v>16172.8</v>
      </c>
      <c r="T18" s="929">
        <f>5*Chiler_Price[[#This Row],[Cond. Coils Area (FT)]]</f>
        <v>902.5</v>
      </c>
      <c r="U18" s="929">
        <f>7*Chiler_Price[[#This Row],[Cond. Coils Area (FT)]]</f>
        <v>1263.5</v>
      </c>
      <c r="V18" s="928">
        <f>Chiler_Price[[#This Row],[Cond. Coils Area (FT)]]*Naming!$I$93</f>
        <v>3429.5</v>
      </c>
      <c r="W18" s="930">
        <f>Chiler_Price[[#This Row],[Cond. Coils Area (FT)]]*Naming!$I$96</f>
        <v>4801.3</v>
      </c>
      <c r="X18" s="928">
        <f>1.5*Chiler_Price[[#This Row],[Cond. Coils Area (FT)]]</f>
        <v>270.75</v>
      </c>
      <c r="Y18" s="927">
        <f>1500*1.35*Chiler_Price[[#This Row],[NO. Of Compressors]]</f>
        <v>4050.0000000000005</v>
      </c>
      <c r="Z18" s="927">
        <f>400*1.35*Chiler_Price[[#This Row],[NO. Of Compressors]]</f>
        <v>1080</v>
      </c>
      <c r="AA18" s="927">
        <f>650*1.35*Chiler_Price[[#This Row],[NO. Of Evap. Cooler ]]</f>
        <v>877.50000000000011</v>
      </c>
      <c r="AB18" s="927">
        <f>650*4*1.35*Chiler_Price[[#This Row],[NO. Of Evap. Cooler ]]</f>
        <v>3510.0000000000005</v>
      </c>
      <c r="AC18" s="927">
        <f>560*1.35*Chiler_Price[[#This Row],[NO. Of Evap. Cooler ]]</f>
        <v>756</v>
      </c>
      <c r="AD18" s="832">
        <v>0</v>
      </c>
      <c r="AE18" s="927">
        <f>700*1.35*Chiler_Price[[#This Row],[NO. Of Compressors]]</f>
        <v>1890.0000000000002</v>
      </c>
      <c r="AF18" s="927">
        <f>100*1.35*Chiler_Price[[#This Row],[NO. Of Compressors]]</f>
        <v>270</v>
      </c>
      <c r="AG18" s="927">
        <f>100*1.35*Chiler_Price[[#This Row],[NO. Of Compressors]]</f>
        <v>270</v>
      </c>
      <c r="AH18" s="927">
        <f>600*1.35*Chiler_Price[[#This Row],[NO. Of Compressors]]</f>
        <v>1620</v>
      </c>
      <c r="AI18" s="927">
        <v>405</v>
      </c>
      <c r="AJ18" s="948">
        <v>0</v>
      </c>
      <c r="AK18" s="927">
        <f>Chiler_Price[[#This Row],[NO. of Cond. Fans]]*62*1.1*1.35</f>
        <v>552.42000000000007</v>
      </c>
      <c r="AL18" s="927">
        <f>450*1.35*Chiler_Price[[#This Row],[NO. Of Compressors]]</f>
        <v>1215</v>
      </c>
      <c r="AM18" s="927">
        <f>Chiler_Price[[#This Row],[NO. of Cond. Fans]]*62*1.1*1.35</f>
        <v>552.42000000000007</v>
      </c>
      <c r="AN18" s="927">
        <f t="shared" si="0"/>
        <v>1282.5</v>
      </c>
      <c r="AO18" s="927">
        <f t="shared" si="1"/>
        <v>1.3515999999999999</v>
      </c>
      <c r="AP18" s="927">
        <f t="shared" si="2"/>
        <v>2430</v>
      </c>
      <c r="AQ18" s="927">
        <f>560*1.35*Chiler_Price[[#This Row],[NO. Of Evap. Cooler ]]</f>
        <v>756</v>
      </c>
      <c r="AR18" s="927">
        <f>100*1.35*Chiler_Price[[#This Row],[NO. Of Evap. Cooler ]]</f>
        <v>135</v>
      </c>
      <c r="AS18" s="944">
        <v>286</v>
      </c>
      <c r="AT18" s="712"/>
      <c r="AU18" s="712"/>
      <c r="BC18" s="712"/>
      <c r="BD18" s="712"/>
      <c r="BE18" s="712"/>
      <c r="BF18" s="712"/>
      <c r="BG18" s="712"/>
      <c r="BI18" s="712"/>
    </row>
    <row r="19" spans="1:61" ht="16.5" thickBot="1">
      <c r="A19" s="939" t="s">
        <v>1893</v>
      </c>
      <c r="B19" s="940" t="s">
        <v>1894</v>
      </c>
      <c r="C19" s="927" t="s">
        <v>1893</v>
      </c>
      <c r="D19" s="936">
        <v>0</v>
      </c>
      <c r="E19" s="927">
        <v>6</v>
      </c>
      <c r="F19" s="927">
        <v>180.5</v>
      </c>
      <c r="G19" s="927">
        <v>2</v>
      </c>
      <c r="H19" s="927">
        <v>1</v>
      </c>
      <c r="I19" s="927">
        <f>Chiler_Price[[#This Row],[NO. of Cond Coils]]</f>
        <v>6</v>
      </c>
      <c r="J19" s="927">
        <v>80</v>
      </c>
      <c r="K19" s="927">
        <v>1</v>
      </c>
      <c r="L19" s="927">
        <v>90</v>
      </c>
      <c r="M19" s="927">
        <v>1</v>
      </c>
      <c r="N19" s="938">
        <v>0</v>
      </c>
      <c r="O19" s="1526">
        <v>48762</v>
      </c>
      <c r="P19" s="1526">
        <v>41864</v>
      </c>
      <c r="Q19" s="834">
        <v>0</v>
      </c>
      <c r="R19" s="927">
        <f>125*1.35*Chiler_Price[[#This Row],[NO. of Cond Coils]]</f>
        <v>1012.5</v>
      </c>
      <c r="S19" s="929">
        <f>Chiler_Price[[#This Row],[Cond. Coils Area (FT)]]*4*Naming!$M$62</f>
        <v>16172.8</v>
      </c>
      <c r="T19" s="929">
        <f>5*Chiler_Price[[#This Row],[Cond. Coils Area (FT)]]</f>
        <v>902.5</v>
      </c>
      <c r="U19" s="929">
        <f>7*Chiler_Price[[#This Row],[Cond. Coils Area (FT)]]</f>
        <v>1263.5</v>
      </c>
      <c r="V19" s="928">
        <f>Chiler_Price[[#This Row],[Cond. Coils Area (FT)]]*Naming!$I$93</f>
        <v>3429.5</v>
      </c>
      <c r="W19" s="930">
        <f>Chiler_Price[[#This Row],[Cond. Coils Area (FT)]]*Naming!$I$96</f>
        <v>4801.3</v>
      </c>
      <c r="X19" s="928">
        <f>1.5*Chiler_Price[[#This Row],[Cond. Coils Area (FT)]]</f>
        <v>270.75</v>
      </c>
      <c r="Y19" s="927">
        <f>1500*1.35*Chiler_Price[[#This Row],[NO. Of Compressors]]</f>
        <v>4050.0000000000005</v>
      </c>
      <c r="Z19" s="927">
        <f>400*1.35*Chiler_Price[[#This Row],[NO. Of Compressors]]</f>
        <v>1080</v>
      </c>
      <c r="AA19" s="927">
        <f>650*1.35*Chiler_Price[[#This Row],[NO. Of Evap. Cooler ]]</f>
        <v>877.50000000000011</v>
      </c>
      <c r="AB19" s="927">
        <f>650*4*1.35*Chiler_Price[[#This Row],[NO. Of Evap. Cooler ]]</f>
        <v>3510.0000000000005</v>
      </c>
      <c r="AC19" s="927">
        <f>560*1.35*Chiler_Price[[#This Row],[NO. Of Evap. Cooler ]]</f>
        <v>756</v>
      </c>
      <c r="AD19" s="832">
        <v>0</v>
      </c>
      <c r="AE19" s="927">
        <f>700*1.35*Chiler_Price[[#This Row],[NO. Of Compressors]]</f>
        <v>1890.0000000000002</v>
      </c>
      <c r="AF19" s="927">
        <f>100*1.35*Chiler_Price[[#This Row],[NO. Of Compressors]]</f>
        <v>270</v>
      </c>
      <c r="AG19" s="927">
        <f>100*1.35*Chiler_Price[[#This Row],[NO. Of Compressors]]</f>
        <v>270</v>
      </c>
      <c r="AH19" s="927">
        <f>600*1.35*Chiler_Price[[#This Row],[NO. Of Compressors]]</f>
        <v>1620</v>
      </c>
      <c r="AI19" s="927">
        <v>405</v>
      </c>
      <c r="AJ19" s="948">
        <v>0</v>
      </c>
      <c r="AK19" s="927">
        <f>Chiler_Price[[#This Row],[NO. of Cond. Fans]]*62*1.1*1.35</f>
        <v>552.42000000000007</v>
      </c>
      <c r="AL19" s="927">
        <f>450*1.35*Chiler_Price[[#This Row],[NO. Of Compressors]]</f>
        <v>1215</v>
      </c>
      <c r="AM19" s="927">
        <f>Chiler_Price[[#This Row],[NO. of Cond. Fans]]*62*1.1*1.35</f>
        <v>552.42000000000007</v>
      </c>
      <c r="AN19" s="927">
        <f t="shared" si="0"/>
        <v>1282.5</v>
      </c>
      <c r="AO19" s="927">
        <f t="shared" si="1"/>
        <v>1.3515999999999999</v>
      </c>
      <c r="AP19" s="927">
        <f t="shared" si="2"/>
        <v>2430</v>
      </c>
      <c r="AQ19" s="927">
        <f>560*1.35*Chiler_Price[[#This Row],[NO. Of Evap. Cooler ]]</f>
        <v>756</v>
      </c>
      <c r="AR19" s="927">
        <f>100*1.35*Chiler_Price[[#This Row],[NO. Of Evap. Cooler ]]</f>
        <v>135</v>
      </c>
      <c r="AS19" s="944">
        <v>286</v>
      </c>
      <c r="AT19" s="712"/>
      <c r="AU19" s="712"/>
      <c r="BC19" s="712"/>
      <c r="BD19" s="712"/>
      <c r="BE19" s="712"/>
      <c r="BF19" s="712"/>
      <c r="BG19" s="712"/>
      <c r="BI19" s="712"/>
    </row>
    <row r="20" spans="1:61" ht="16.5" thickBot="1">
      <c r="A20" s="939" t="s">
        <v>1895</v>
      </c>
      <c r="B20" s="940" t="s">
        <v>1896</v>
      </c>
      <c r="C20" s="927" t="s">
        <v>1895</v>
      </c>
      <c r="D20" s="936">
        <v>0</v>
      </c>
      <c r="E20" s="927">
        <v>6</v>
      </c>
      <c r="F20" s="927">
        <v>180.5</v>
      </c>
      <c r="G20" s="927">
        <v>2</v>
      </c>
      <c r="H20" s="927">
        <v>1</v>
      </c>
      <c r="I20" s="927">
        <f>Chiler_Price[[#This Row],[NO. of Cond Coils]]</f>
        <v>6</v>
      </c>
      <c r="J20" s="927">
        <v>90</v>
      </c>
      <c r="K20" s="927">
        <v>2</v>
      </c>
      <c r="L20" s="927"/>
      <c r="M20" s="927"/>
      <c r="N20" s="938">
        <v>0</v>
      </c>
      <c r="O20" s="1526">
        <v>49487</v>
      </c>
      <c r="P20" s="1526">
        <v>42579</v>
      </c>
      <c r="Q20" s="834">
        <v>0</v>
      </c>
      <c r="R20" s="927">
        <f>125*1.35*Chiler_Price[[#This Row],[NO. of Cond Coils]]</f>
        <v>1012.5</v>
      </c>
      <c r="S20" s="929">
        <f>Chiler_Price[[#This Row],[Cond. Coils Area (FT)]]*4*Naming!$M$62</f>
        <v>16172.8</v>
      </c>
      <c r="T20" s="929">
        <f>5*Chiler_Price[[#This Row],[Cond. Coils Area (FT)]]</f>
        <v>902.5</v>
      </c>
      <c r="U20" s="929">
        <f>7*Chiler_Price[[#This Row],[Cond. Coils Area (FT)]]</f>
        <v>1263.5</v>
      </c>
      <c r="V20" s="928">
        <f>Chiler_Price[[#This Row],[Cond. Coils Area (FT)]]*Naming!$I$93</f>
        <v>3429.5</v>
      </c>
      <c r="W20" s="930">
        <f>Chiler_Price[[#This Row],[Cond. Coils Area (FT)]]*Naming!$I$96</f>
        <v>4801.3</v>
      </c>
      <c r="X20" s="928">
        <f>1.5*Chiler_Price[[#This Row],[Cond. Coils Area (FT)]]</f>
        <v>270.75</v>
      </c>
      <c r="Y20" s="927">
        <f>1500*1.35*Chiler_Price[[#This Row],[NO. Of Compressors]]</f>
        <v>4050.0000000000005</v>
      </c>
      <c r="Z20" s="927">
        <f>400*1.35*Chiler_Price[[#This Row],[NO. Of Compressors]]</f>
        <v>1080</v>
      </c>
      <c r="AA20" s="927">
        <f>650*1.35*Chiler_Price[[#This Row],[NO. Of Evap. Cooler ]]</f>
        <v>877.50000000000011</v>
      </c>
      <c r="AB20" s="927">
        <f>650*4*1.35*Chiler_Price[[#This Row],[NO. Of Evap. Cooler ]]</f>
        <v>3510.0000000000005</v>
      </c>
      <c r="AC20" s="927">
        <f>560*1.35*Chiler_Price[[#This Row],[NO. Of Evap. Cooler ]]</f>
        <v>756</v>
      </c>
      <c r="AD20" s="832">
        <v>0</v>
      </c>
      <c r="AE20" s="927">
        <f>700*1.35*Chiler_Price[[#This Row],[NO. Of Compressors]]</f>
        <v>1890.0000000000002</v>
      </c>
      <c r="AF20" s="927">
        <f>100*1.35*Chiler_Price[[#This Row],[NO. Of Compressors]]</f>
        <v>270</v>
      </c>
      <c r="AG20" s="927">
        <f>100*1.35*Chiler_Price[[#This Row],[NO. Of Compressors]]</f>
        <v>270</v>
      </c>
      <c r="AH20" s="927">
        <f>600*1.35*Chiler_Price[[#This Row],[NO. Of Compressors]]</f>
        <v>1620</v>
      </c>
      <c r="AI20" s="927">
        <v>405</v>
      </c>
      <c r="AJ20" s="948">
        <v>0</v>
      </c>
      <c r="AK20" s="927">
        <f>Chiler_Price[[#This Row],[NO. of Cond. Fans]]*62*1.1*1.35</f>
        <v>552.42000000000007</v>
      </c>
      <c r="AL20" s="927">
        <f>450*1.35*Chiler_Price[[#This Row],[NO. Of Compressors]]</f>
        <v>1215</v>
      </c>
      <c r="AM20" s="927">
        <f>Chiler_Price[[#This Row],[NO. of Cond. Fans]]*62*1.1*1.35</f>
        <v>552.42000000000007</v>
      </c>
      <c r="AN20" s="927">
        <f t="shared" si="0"/>
        <v>1282.5</v>
      </c>
      <c r="AO20" s="927">
        <f t="shared" si="1"/>
        <v>1.3515999999999999</v>
      </c>
      <c r="AP20" s="927">
        <f t="shared" si="2"/>
        <v>2430</v>
      </c>
      <c r="AQ20" s="927">
        <f>560*1.35*Chiler_Price[[#This Row],[NO. Of Evap. Cooler ]]</f>
        <v>756</v>
      </c>
      <c r="AR20" s="927">
        <f>100*1.35*Chiler_Price[[#This Row],[NO. Of Evap. Cooler ]]</f>
        <v>135</v>
      </c>
      <c r="AS20" s="944">
        <v>286</v>
      </c>
      <c r="AT20" s="712"/>
      <c r="AU20" s="712"/>
      <c r="BC20" s="712"/>
      <c r="BD20" s="712"/>
      <c r="BE20" s="712"/>
      <c r="BF20" s="712"/>
      <c r="BG20" s="712"/>
      <c r="BI20" s="712"/>
    </row>
    <row r="21" spans="1:61" ht="16.5" thickBot="1">
      <c r="A21" s="939" t="s">
        <v>1897</v>
      </c>
      <c r="B21" s="940">
        <v>0</v>
      </c>
      <c r="C21" s="927" t="s">
        <v>1897</v>
      </c>
      <c r="D21" s="936">
        <v>0</v>
      </c>
      <c r="E21" s="927">
        <v>6</v>
      </c>
      <c r="F21" s="927">
        <v>180.5</v>
      </c>
      <c r="G21" s="927">
        <v>2</v>
      </c>
      <c r="H21" s="927">
        <v>1</v>
      </c>
      <c r="I21" s="927">
        <f>Chiler_Price[[#This Row],[NO. of Cond Coils]]</f>
        <v>6</v>
      </c>
      <c r="J21" s="927">
        <v>100</v>
      </c>
      <c r="K21" s="927">
        <v>2</v>
      </c>
      <c r="L21" s="927"/>
      <c r="M21" s="927"/>
      <c r="N21" s="938">
        <v>0</v>
      </c>
      <c r="O21" s="1526">
        <v>54034</v>
      </c>
      <c r="P21" s="1526">
        <v>47063</v>
      </c>
      <c r="Q21" s="834">
        <v>0</v>
      </c>
      <c r="R21" s="927">
        <f>125*1.35*Chiler_Price[[#This Row],[NO. of Cond Coils]]</f>
        <v>1012.5</v>
      </c>
      <c r="S21" s="929">
        <f>Chiler_Price[[#This Row],[Cond. Coils Area (FT)]]*4*Naming!$M$62</f>
        <v>16172.8</v>
      </c>
      <c r="T21" s="929">
        <f>5*Chiler_Price[[#This Row],[Cond. Coils Area (FT)]]</f>
        <v>902.5</v>
      </c>
      <c r="U21" s="929">
        <f>7*Chiler_Price[[#This Row],[Cond. Coils Area (FT)]]</f>
        <v>1263.5</v>
      </c>
      <c r="V21" s="928">
        <f>Chiler_Price[[#This Row],[Cond. Coils Area (FT)]]*Naming!$I$93</f>
        <v>3429.5</v>
      </c>
      <c r="W21" s="930">
        <f>Chiler_Price[[#This Row],[Cond. Coils Area (FT)]]*Naming!$I$96</f>
        <v>4801.3</v>
      </c>
      <c r="X21" s="928">
        <f>1.5*Chiler_Price[[#This Row],[Cond. Coils Area (FT)]]</f>
        <v>270.75</v>
      </c>
      <c r="Y21" s="927">
        <f>1500*1.35*Chiler_Price[[#This Row],[NO. Of Compressors]]</f>
        <v>4050.0000000000005</v>
      </c>
      <c r="Z21" s="927">
        <f>400*1.35*Chiler_Price[[#This Row],[NO. Of Compressors]]</f>
        <v>1080</v>
      </c>
      <c r="AA21" s="927">
        <f>650*1.35*Chiler_Price[[#This Row],[NO. Of Evap. Cooler ]]</f>
        <v>877.50000000000011</v>
      </c>
      <c r="AB21" s="927">
        <f>650*4*1.35*Chiler_Price[[#This Row],[NO. Of Evap. Cooler ]]</f>
        <v>3510.0000000000005</v>
      </c>
      <c r="AC21" s="927">
        <f>560*1.35*Chiler_Price[[#This Row],[NO. Of Evap. Cooler ]]</f>
        <v>756</v>
      </c>
      <c r="AD21" s="832">
        <v>0</v>
      </c>
      <c r="AE21" s="927">
        <f>700*1.35*Chiler_Price[[#This Row],[NO. Of Compressors]]</f>
        <v>1890.0000000000002</v>
      </c>
      <c r="AF21" s="927">
        <f>100*1.35*Chiler_Price[[#This Row],[NO. Of Compressors]]</f>
        <v>270</v>
      </c>
      <c r="AG21" s="927">
        <f>100*1.35*Chiler_Price[[#This Row],[NO. Of Compressors]]</f>
        <v>270</v>
      </c>
      <c r="AH21" s="927">
        <f>600*1.35*Chiler_Price[[#This Row],[NO. Of Compressors]]</f>
        <v>1620</v>
      </c>
      <c r="AI21" s="927">
        <v>405</v>
      </c>
      <c r="AJ21" s="948">
        <v>0</v>
      </c>
      <c r="AK21" s="927">
        <f>Chiler_Price[[#This Row],[NO. of Cond. Fans]]*62*1.1*1.35</f>
        <v>552.42000000000007</v>
      </c>
      <c r="AL21" s="927">
        <f>450*1.35*Chiler_Price[[#This Row],[NO. Of Compressors]]</f>
        <v>1215</v>
      </c>
      <c r="AM21" s="927">
        <f>Chiler_Price[[#This Row],[NO. of Cond. Fans]]*62*1.1*1.35</f>
        <v>552.42000000000007</v>
      </c>
      <c r="AN21" s="927">
        <f t="shared" si="0"/>
        <v>1282.5</v>
      </c>
      <c r="AO21" s="927">
        <f t="shared" si="1"/>
        <v>1.3515999999999999</v>
      </c>
      <c r="AP21" s="927">
        <f t="shared" si="2"/>
        <v>2430</v>
      </c>
      <c r="AQ21" s="927">
        <f>560*1.35*Chiler_Price[[#This Row],[NO. Of Evap. Cooler ]]</f>
        <v>756</v>
      </c>
      <c r="AR21" s="927">
        <f>100*1.35*Chiler_Price[[#This Row],[NO. Of Evap. Cooler ]]</f>
        <v>135</v>
      </c>
      <c r="AS21" s="944">
        <v>286</v>
      </c>
      <c r="AT21" s="712"/>
      <c r="AU21" s="712"/>
      <c r="BC21" s="712"/>
      <c r="BD21" s="712"/>
      <c r="BE21" s="712"/>
      <c r="BF21" s="712"/>
      <c r="BG21" s="712"/>
      <c r="BI21" s="712"/>
    </row>
    <row r="22" spans="1:61" ht="16.5" thickBot="1">
      <c r="A22" s="939" t="s">
        <v>1898</v>
      </c>
      <c r="B22" s="940" t="s">
        <v>1899</v>
      </c>
      <c r="C22" s="927" t="s">
        <v>1898</v>
      </c>
      <c r="D22" s="936">
        <v>0</v>
      </c>
      <c r="E22" s="927">
        <v>6</v>
      </c>
      <c r="F22" s="927">
        <v>180.5</v>
      </c>
      <c r="G22" s="927">
        <v>2</v>
      </c>
      <c r="H22" s="927">
        <v>1</v>
      </c>
      <c r="I22" s="927">
        <f>Chiler_Price[[#This Row],[NO. of Cond Coils]]</f>
        <v>6</v>
      </c>
      <c r="J22" s="927">
        <v>110</v>
      </c>
      <c r="K22" s="927">
        <v>2</v>
      </c>
      <c r="L22" s="927"/>
      <c r="M22" s="927"/>
      <c r="N22" s="938">
        <v>0</v>
      </c>
      <c r="O22" s="1526">
        <v>57226</v>
      </c>
      <c r="P22" s="1526">
        <v>49943</v>
      </c>
      <c r="Q22" s="834">
        <v>0</v>
      </c>
      <c r="R22" s="927">
        <f>125*1.35*Chiler_Price[[#This Row],[NO. of Cond Coils]]</f>
        <v>1012.5</v>
      </c>
      <c r="S22" s="929">
        <f>Chiler_Price[[#This Row],[Cond. Coils Area (FT)]]*4*Naming!$M$62</f>
        <v>16172.8</v>
      </c>
      <c r="T22" s="929">
        <f>5*Chiler_Price[[#This Row],[Cond. Coils Area (FT)]]</f>
        <v>902.5</v>
      </c>
      <c r="U22" s="929">
        <f>7*Chiler_Price[[#This Row],[Cond. Coils Area (FT)]]</f>
        <v>1263.5</v>
      </c>
      <c r="V22" s="928">
        <f>Chiler_Price[[#This Row],[Cond. Coils Area (FT)]]*Naming!$I$93</f>
        <v>3429.5</v>
      </c>
      <c r="W22" s="930">
        <f>Chiler_Price[[#This Row],[Cond. Coils Area (FT)]]*Naming!$I$96</f>
        <v>4801.3</v>
      </c>
      <c r="X22" s="928">
        <f>1.5*Chiler_Price[[#This Row],[Cond. Coils Area (FT)]]</f>
        <v>270.75</v>
      </c>
      <c r="Y22" s="927">
        <f>1500*1.35*Chiler_Price[[#This Row],[NO. Of Compressors]]</f>
        <v>4050.0000000000005</v>
      </c>
      <c r="Z22" s="927">
        <f>400*1.35*Chiler_Price[[#This Row],[NO. Of Compressors]]</f>
        <v>1080</v>
      </c>
      <c r="AA22" s="927">
        <f>650*1.35*Chiler_Price[[#This Row],[NO. Of Evap. Cooler ]]</f>
        <v>877.50000000000011</v>
      </c>
      <c r="AB22" s="927">
        <f>650*4*1.35*Chiler_Price[[#This Row],[NO. Of Evap. Cooler ]]</f>
        <v>3510.0000000000005</v>
      </c>
      <c r="AC22" s="927">
        <f>560*1.35*Chiler_Price[[#This Row],[NO. Of Evap. Cooler ]]</f>
        <v>756</v>
      </c>
      <c r="AD22" s="832">
        <v>0</v>
      </c>
      <c r="AE22" s="927">
        <f>700*1.35*Chiler_Price[[#This Row],[NO. Of Compressors]]</f>
        <v>1890.0000000000002</v>
      </c>
      <c r="AF22" s="927">
        <f>100*1.35*Chiler_Price[[#This Row],[NO. Of Compressors]]</f>
        <v>270</v>
      </c>
      <c r="AG22" s="927">
        <f>100*1.35*Chiler_Price[[#This Row],[NO. Of Compressors]]</f>
        <v>270</v>
      </c>
      <c r="AH22" s="927">
        <f>600*1.35*Chiler_Price[[#This Row],[NO. Of Compressors]]</f>
        <v>1620</v>
      </c>
      <c r="AI22" s="927">
        <v>405</v>
      </c>
      <c r="AJ22" s="948">
        <v>0</v>
      </c>
      <c r="AK22" s="927">
        <f>Chiler_Price[[#This Row],[NO. of Cond. Fans]]*62*1.1*1.35</f>
        <v>552.42000000000007</v>
      </c>
      <c r="AL22" s="927">
        <f>450*1.35*Chiler_Price[[#This Row],[NO. Of Compressors]]</f>
        <v>1215</v>
      </c>
      <c r="AM22" s="927">
        <f>Chiler_Price[[#This Row],[NO. of Cond. Fans]]*62*1.1*1.35</f>
        <v>552.42000000000007</v>
      </c>
      <c r="AN22" s="927">
        <f t="shared" si="0"/>
        <v>1282.5</v>
      </c>
      <c r="AO22" s="927">
        <f t="shared" si="1"/>
        <v>1.3515999999999999</v>
      </c>
      <c r="AP22" s="927">
        <f t="shared" si="2"/>
        <v>2430</v>
      </c>
      <c r="AQ22" s="927">
        <f>560*1.35*Chiler_Price[[#This Row],[NO. Of Evap. Cooler ]]</f>
        <v>756</v>
      </c>
      <c r="AR22" s="927">
        <f>100*1.35*Chiler_Price[[#This Row],[NO. Of Evap. Cooler ]]</f>
        <v>135</v>
      </c>
      <c r="AS22" s="944">
        <v>286</v>
      </c>
      <c r="AT22" s="712"/>
      <c r="AU22" s="712"/>
      <c r="BC22" s="712"/>
      <c r="BD22" s="712"/>
      <c r="BE22" s="712"/>
      <c r="BF22" s="712"/>
      <c r="BG22" s="712"/>
      <c r="BI22" s="712"/>
    </row>
    <row r="23" spans="1:61" ht="16.5" thickBot="1">
      <c r="A23" s="939" t="s">
        <v>1900</v>
      </c>
      <c r="B23" s="940" t="s">
        <v>1901</v>
      </c>
      <c r="C23" s="927" t="s">
        <v>1900</v>
      </c>
      <c r="D23" s="936">
        <v>0</v>
      </c>
      <c r="E23" s="927">
        <v>8</v>
      </c>
      <c r="F23" s="927">
        <v>240.7</v>
      </c>
      <c r="G23" s="927">
        <v>2</v>
      </c>
      <c r="H23" s="927">
        <v>1</v>
      </c>
      <c r="I23" s="927">
        <f>Chiler_Price[[#This Row],[NO. of Cond Coils]]</f>
        <v>8</v>
      </c>
      <c r="J23" s="927">
        <v>110</v>
      </c>
      <c r="K23" s="927">
        <v>2</v>
      </c>
      <c r="L23" s="927"/>
      <c r="M23" s="927"/>
      <c r="N23" s="938">
        <v>0</v>
      </c>
      <c r="O23" s="1526">
        <v>62090</v>
      </c>
      <c r="P23" s="1526">
        <v>52935</v>
      </c>
      <c r="Q23" s="834">
        <v>0</v>
      </c>
      <c r="R23" s="927">
        <f>125*1.35*Chiler_Price[[#This Row],[NO. of Cond Coils]]</f>
        <v>1350</v>
      </c>
      <c r="S23" s="929">
        <f>Chiler_Price[[#This Row],[Cond. Coils Area (FT)]]*4*Naming!$M$62</f>
        <v>21566.719999999998</v>
      </c>
      <c r="T23" s="929">
        <f>5*Chiler_Price[[#This Row],[Cond. Coils Area (FT)]]</f>
        <v>1203.5</v>
      </c>
      <c r="U23" s="929">
        <f>7*Chiler_Price[[#This Row],[Cond. Coils Area (FT)]]</f>
        <v>1684.8999999999999</v>
      </c>
      <c r="V23" s="928">
        <f>Chiler_Price[[#This Row],[Cond. Coils Area (FT)]]*Naming!$I$93</f>
        <v>4573.3</v>
      </c>
      <c r="W23" s="930">
        <f>Chiler_Price[[#This Row],[Cond. Coils Area (FT)]]*Naming!$I$96</f>
        <v>6402.62</v>
      </c>
      <c r="X23" s="928">
        <f>1.5*Chiler_Price[[#This Row],[Cond. Coils Area (FT)]]</f>
        <v>361.04999999999995</v>
      </c>
      <c r="Y23" s="927">
        <f>1500*1.35*Chiler_Price[[#This Row],[NO. Of Compressors]]</f>
        <v>4050.0000000000005</v>
      </c>
      <c r="Z23" s="927">
        <f>400*1.35*Chiler_Price[[#This Row],[NO. Of Compressors]]</f>
        <v>1080</v>
      </c>
      <c r="AA23" s="927">
        <f>650*1.35*Chiler_Price[[#This Row],[NO. Of Evap. Cooler ]]</f>
        <v>877.50000000000011</v>
      </c>
      <c r="AB23" s="927">
        <f>650*4*1.35*Chiler_Price[[#This Row],[NO. Of Evap. Cooler ]]</f>
        <v>3510.0000000000005</v>
      </c>
      <c r="AC23" s="927">
        <f>560*1.35*Chiler_Price[[#This Row],[NO. Of Evap. Cooler ]]</f>
        <v>756</v>
      </c>
      <c r="AD23" s="832">
        <v>0</v>
      </c>
      <c r="AE23" s="927">
        <f>700*1.35*Chiler_Price[[#This Row],[NO. Of Compressors]]</f>
        <v>1890.0000000000002</v>
      </c>
      <c r="AF23" s="927">
        <f>100*1.35*Chiler_Price[[#This Row],[NO. Of Compressors]]</f>
        <v>270</v>
      </c>
      <c r="AG23" s="927">
        <f>100*1.35*Chiler_Price[[#This Row],[NO. Of Compressors]]</f>
        <v>270</v>
      </c>
      <c r="AH23" s="927">
        <f>600*1.35*Chiler_Price[[#This Row],[NO. Of Compressors]]</f>
        <v>1620</v>
      </c>
      <c r="AI23" s="927">
        <v>405</v>
      </c>
      <c r="AJ23" s="948">
        <v>0</v>
      </c>
      <c r="AK23" s="927">
        <f>Chiler_Price[[#This Row],[NO. of Cond. Fans]]*62*1.1*1.35</f>
        <v>736.56000000000006</v>
      </c>
      <c r="AL23" s="927">
        <f>450*1.35*Chiler_Price[[#This Row],[NO. Of Compressors]]</f>
        <v>1215</v>
      </c>
      <c r="AM23" s="927">
        <f>Chiler_Price[[#This Row],[NO. of Cond. Fans]]*62*1.1*1.35</f>
        <v>736.56000000000006</v>
      </c>
      <c r="AN23" s="927">
        <f t="shared" si="0"/>
        <v>1282.5</v>
      </c>
      <c r="AO23" s="927">
        <f t="shared" si="1"/>
        <v>1.3515999999999999</v>
      </c>
      <c r="AP23" s="927">
        <f t="shared" si="2"/>
        <v>2430</v>
      </c>
      <c r="AQ23" s="927">
        <f>560*1.35*Chiler_Price[[#This Row],[NO. Of Evap. Cooler ]]</f>
        <v>756</v>
      </c>
      <c r="AR23" s="927">
        <f>100*1.35*Chiler_Price[[#This Row],[NO. Of Evap. Cooler ]]</f>
        <v>135</v>
      </c>
      <c r="AS23" s="944">
        <v>286</v>
      </c>
      <c r="AT23" s="712"/>
      <c r="AU23" s="712"/>
      <c r="BC23" s="712"/>
      <c r="BD23" s="712"/>
      <c r="BE23" s="712"/>
      <c r="BF23" s="712"/>
      <c r="BG23" s="712"/>
      <c r="BI23" s="712"/>
    </row>
    <row r="24" spans="1:61" ht="16.5" thickBot="1">
      <c r="A24" s="939" t="s">
        <v>1902</v>
      </c>
      <c r="B24" s="940" t="s">
        <v>1903</v>
      </c>
      <c r="C24" s="927" t="s">
        <v>1902</v>
      </c>
      <c r="D24" s="936">
        <v>0</v>
      </c>
      <c r="E24" s="927">
        <v>8</v>
      </c>
      <c r="F24" s="927">
        <v>240.7</v>
      </c>
      <c r="G24" s="927">
        <v>2</v>
      </c>
      <c r="H24" s="927">
        <v>1</v>
      </c>
      <c r="I24" s="927">
        <f>Chiler_Price[[#This Row],[NO. of Cond Coils]]</f>
        <v>8</v>
      </c>
      <c r="J24" s="927">
        <v>110</v>
      </c>
      <c r="K24" s="927">
        <v>1</v>
      </c>
      <c r="L24" s="927">
        <v>125</v>
      </c>
      <c r="M24" s="927">
        <v>1</v>
      </c>
      <c r="N24" s="938">
        <v>0</v>
      </c>
      <c r="O24" s="1526">
        <v>64628</v>
      </c>
      <c r="P24" s="1526">
        <v>55437</v>
      </c>
      <c r="Q24" s="834">
        <v>0</v>
      </c>
      <c r="R24" s="927">
        <f>125*1.35*Chiler_Price[[#This Row],[NO. of Cond Coils]]</f>
        <v>1350</v>
      </c>
      <c r="S24" s="929">
        <f>Chiler_Price[[#This Row],[Cond. Coils Area (FT)]]*4*Naming!$M$62</f>
        <v>21566.719999999998</v>
      </c>
      <c r="T24" s="929">
        <f>5*Chiler_Price[[#This Row],[Cond. Coils Area (FT)]]</f>
        <v>1203.5</v>
      </c>
      <c r="U24" s="929">
        <f>7*Chiler_Price[[#This Row],[Cond. Coils Area (FT)]]</f>
        <v>1684.8999999999999</v>
      </c>
      <c r="V24" s="928">
        <f>Chiler_Price[[#This Row],[Cond. Coils Area (FT)]]*Naming!$I$93</f>
        <v>4573.3</v>
      </c>
      <c r="W24" s="930">
        <f>Chiler_Price[[#This Row],[Cond. Coils Area (FT)]]*Naming!$I$96</f>
        <v>6402.62</v>
      </c>
      <c r="X24" s="928">
        <f>1.5*Chiler_Price[[#This Row],[Cond. Coils Area (FT)]]</f>
        <v>361.04999999999995</v>
      </c>
      <c r="Y24" s="927">
        <f>1500*1.35*Chiler_Price[[#This Row],[NO. Of Compressors]]</f>
        <v>4050.0000000000005</v>
      </c>
      <c r="Z24" s="927">
        <f>400*1.35*Chiler_Price[[#This Row],[NO. Of Compressors]]</f>
        <v>1080</v>
      </c>
      <c r="AA24" s="927">
        <f>650*1.35*Chiler_Price[[#This Row],[NO. Of Evap. Cooler ]]</f>
        <v>877.50000000000011</v>
      </c>
      <c r="AB24" s="927">
        <f>650*4*1.35*Chiler_Price[[#This Row],[NO. Of Evap. Cooler ]]</f>
        <v>3510.0000000000005</v>
      </c>
      <c r="AC24" s="927">
        <f>560*1.35*Chiler_Price[[#This Row],[NO. Of Evap. Cooler ]]</f>
        <v>756</v>
      </c>
      <c r="AD24" s="832">
        <v>0</v>
      </c>
      <c r="AE24" s="927">
        <f>700*1.35*Chiler_Price[[#This Row],[NO. Of Compressors]]</f>
        <v>1890.0000000000002</v>
      </c>
      <c r="AF24" s="927">
        <f>100*1.35*Chiler_Price[[#This Row],[NO. Of Compressors]]</f>
        <v>270</v>
      </c>
      <c r="AG24" s="927">
        <f>100*1.35*Chiler_Price[[#This Row],[NO. Of Compressors]]</f>
        <v>270</v>
      </c>
      <c r="AH24" s="927">
        <f>600*1.35*Chiler_Price[[#This Row],[NO. Of Compressors]]</f>
        <v>1620</v>
      </c>
      <c r="AI24" s="927">
        <v>405</v>
      </c>
      <c r="AJ24" s="948">
        <v>0</v>
      </c>
      <c r="AK24" s="927">
        <f>Chiler_Price[[#This Row],[NO. of Cond. Fans]]*62*1.1*1.35</f>
        <v>736.56000000000006</v>
      </c>
      <c r="AL24" s="927">
        <f>450*1.35*Chiler_Price[[#This Row],[NO. Of Compressors]]</f>
        <v>1215</v>
      </c>
      <c r="AM24" s="927">
        <f>Chiler_Price[[#This Row],[NO. of Cond. Fans]]*62*1.1*1.35</f>
        <v>736.56000000000006</v>
      </c>
      <c r="AN24" s="927">
        <f t="shared" si="0"/>
        <v>1282.5</v>
      </c>
      <c r="AO24" s="927">
        <f t="shared" si="1"/>
        <v>1.3515999999999999</v>
      </c>
      <c r="AP24" s="927">
        <f t="shared" si="2"/>
        <v>2430</v>
      </c>
      <c r="AQ24" s="927">
        <f>560*1.35*Chiler_Price[[#This Row],[NO. Of Evap. Cooler ]]</f>
        <v>756</v>
      </c>
      <c r="AR24" s="927">
        <f>100*1.35*Chiler_Price[[#This Row],[NO. Of Evap. Cooler ]]</f>
        <v>135</v>
      </c>
      <c r="AS24" s="944">
        <v>286</v>
      </c>
      <c r="AT24" s="712"/>
      <c r="AU24" s="712"/>
      <c r="BC24" s="712"/>
      <c r="BD24" s="712"/>
      <c r="BE24" s="712"/>
      <c r="BF24" s="712"/>
      <c r="BG24" s="712"/>
      <c r="BI24" s="712"/>
    </row>
    <row r="25" spans="1:61" ht="16.5" thickBot="1">
      <c r="A25" s="939" t="s">
        <v>1904</v>
      </c>
      <c r="B25" s="940">
        <v>0</v>
      </c>
      <c r="C25" s="927" t="s">
        <v>1904</v>
      </c>
      <c r="D25" s="936">
        <v>0</v>
      </c>
      <c r="E25" s="927">
        <v>8</v>
      </c>
      <c r="F25" s="927">
        <v>240.7</v>
      </c>
      <c r="G25" s="927">
        <v>2</v>
      </c>
      <c r="H25" s="927">
        <v>1</v>
      </c>
      <c r="I25" s="927">
        <f>Chiler_Price[[#This Row],[NO. of Cond Coils]]</f>
        <v>8</v>
      </c>
      <c r="J25" s="927">
        <v>125</v>
      </c>
      <c r="K25" s="927">
        <v>2</v>
      </c>
      <c r="L25" s="927"/>
      <c r="M25" s="927"/>
      <c r="N25" s="938">
        <v>0</v>
      </c>
      <c r="O25" s="1526">
        <v>66097</v>
      </c>
      <c r="P25" s="1526">
        <v>56886</v>
      </c>
      <c r="Q25" s="834">
        <v>0</v>
      </c>
      <c r="R25" s="927">
        <f>125*1.35*Chiler_Price[[#This Row],[NO. of Cond Coils]]</f>
        <v>1350</v>
      </c>
      <c r="S25" s="929">
        <f>Chiler_Price[[#This Row],[Cond. Coils Area (FT)]]*4*Naming!$M$62</f>
        <v>21566.719999999998</v>
      </c>
      <c r="T25" s="929">
        <f>5*Chiler_Price[[#This Row],[Cond. Coils Area (FT)]]</f>
        <v>1203.5</v>
      </c>
      <c r="U25" s="929">
        <f>7*Chiler_Price[[#This Row],[Cond. Coils Area (FT)]]</f>
        <v>1684.8999999999999</v>
      </c>
      <c r="V25" s="928">
        <f>Chiler_Price[[#This Row],[Cond. Coils Area (FT)]]*Naming!$I$93</f>
        <v>4573.3</v>
      </c>
      <c r="W25" s="930">
        <f>Chiler_Price[[#This Row],[Cond. Coils Area (FT)]]*Naming!$I$96</f>
        <v>6402.62</v>
      </c>
      <c r="X25" s="928">
        <f>1.5*Chiler_Price[[#This Row],[Cond. Coils Area (FT)]]</f>
        <v>361.04999999999995</v>
      </c>
      <c r="Y25" s="927">
        <f>1500*1.35*Chiler_Price[[#This Row],[NO. Of Compressors]]</f>
        <v>4050.0000000000005</v>
      </c>
      <c r="Z25" s="927">
        <f>400*1.35*Chiler_Price[[#This Row],[NO. Of Compressors]]</f>
        <v>1080</v>
      </c>
      <c r="AA25" s="927">
        <f>650*1.35*Chiler_Price[[#This Row],[NO. Of Evap. Cooler ]]</f>
        <v>877.50000000000011</v>
      </c>
      <c r="AB25" s="927">
        <f>650*4*1.35*Chiler_Price[[#This Row],[NO. Of Evap. Cooler ]]</f>
        <v>3510.0000000000005</v>
      </c>
      <c r="AC25" s="927">
        <f>560*1.35*Chiler_Price[[#This Row],[NO. Of Evap. Cooler ]]</f>
        <v>756</v>
      </c>
      <c r="AD25" s="832">
        <v>0</v>
      </c>
      <c r="AE25" s="927">
        <f>700*1.35*Chiler_Price[[#This Row],[NO. Of Compressors]]</f>
        <v>1890.0000000000002</v>
      </c>
      <c r="AF25" s="927">
        <f>100*1.35*Chiler_Price[[#This Row],[NO. Of Compressors]]</f>
        <v>270</v>
      </c>
      <c r="AG25" s="927">
        <f>100*1.35*Chiler_Price[[#This Row],[NO. Of Compressors]]</f>
        <v>270</v>
      </c>
      <c r="AH25" s="927">
        <f>600*1.35*Chiler_Price[[#This Row],[NO. Of Compressors]]</f>
        <v>1620</v>
      </c>
      <c r="AI25" s="927">
        <v>405</v>
      </c>
      <c r="AJ25" s="948">
        <v>0</v>
      </c>
      <c r="AK25" s="927">
        <f>Chiler_Price[[#This Row],[NO. of Cond. Fans]]*62*1.1*1.35</f>
        <v>736.56000000000006</v>
      </c>
      <c r="AL25" s="927">
        <f>450*1.35*Chiler_Price[[#This Row],[NO. Of Compressors]]</f>
        <v>1215</v>
      </c>
      <c r="AM25" s="927">
        <f>Chiler_Price[[#This Row],[NO. of Cond. Fans]]*62*1.1*1.35</f>
        <v>736.56000000000006</v>
      </c>
      <c r="AN25" s="927">
        <f t="shared" si="0"/>
        <v>1282.5</v>
      </c>
      <c r="AO25" s="927">
        <f t="shared" si="1"/>
        <v>1.3515999999999999</v>
      </c>
      <c r="AP25" s="927">
        <f t="shared" si="2"/>
        <v>2430</v>
      </c>
      <c r="AQ25" s="927">
        <f>560*1.35*Chiler_Price[[#This Row],[NO. Of Evap. Cooler ]]</f>
        <v>756</v>
      </c>
      <c r="AR25" s="927">
        <f>100*1.35*Chiler_Price[[#This Row],[NO. Of Evap. Cooler ]]</f>
        <v>135</v>
      </c>
      <c r="AS25" s="944">
        <v>286</v>
      </c>
      <c r="AT25" s="712"/>
      <c r="AU25" s="712"/>
      <c r="BC25" s="712"/>
      <c r="BD25" s="712"/>
      <c r="BE25" s="712"/>
      <c r="BF25" s="712"/>
      <c r="BG25" s="712"/>
      <c r="BI25" s="712"/>
    </row>
    <row r="26" spans="1:61" ht="16.5" thickBot="1">
      <c r="A26" s="939" t="s">
        <v>1905</v>
      </c>
      <c r="B26" s="940" t="s">
        <v>1906</v>
      </c>
      <c r="C26" s="927" t="s">
        <v>1905</v>
      </c>
      <c r="D26" s="936">
        <v>0</v>
      </c>
      <c r="E26" s="927">
        <v>8</v>
      </c>
      <c r="F26" s="927">
        <v>240.7</v>
      </c>
      <c r="G26" s="927">
        <v>2</v>
      </c>
      <c r="H26" s="927">
        <v>1</v>
      </c>
      <c r="I26" s="927">
        <f>Chiler_Price[[#This Row],[NO. of Cond Coils]]</f>
        <v>8</v>
      </c>
      <c r="J26" s="927">
        <v>135</v>
      </c>
      <c r="K26" s="927">
        <v>2</v>
      </c>
      <c r="L26" s="927"/>
      <c r="M26" s="927"/>
      <c r="N26" s="938">
        <v>0</v>
      </c>
      <c r="O26" s="1526">
        <v>66553</v>
      </c>
      <c r="P26" s="1526">
        <v>57335</v>
      </c>
      <c r="Q26" s="834">
        <v>0</v>
      </c>
      <c r="R26" s="927">
        <f>125*1.35*Chiler_Price[[#This Row],[NO. of Cond Coils]]</f>
        <v>1350</v>
      </c>
      <c r="S26" s="929">
        <f>Chiler_Price[[#This Row],[Cond. Coils Area (FT)]]*4*Naming!$M$62</f>
        <v>21566.719999999998</v>
      </c>
      <c r="T26" s="929">
        <f>5*Chiler_Price[[#This Row],[Cond. Coils Area (FT)]]</f>
        <v>1203.5</v>
      </c>
      <c r="U26" s="929">
        <f>7*Chiler_Price[[#This Row],[Cond. Coils Area (FT)]]</f>
        <v>1684.8999999999999</v>
      </c>
      <c r="V26" s="928">
        <f>Chiler_Price[[#This Row],[Cond. Coils Area (FT)]]*Naming!$I$93</f>
        <v>4573.3</v>
      </c>
      <c r="W26" s="930">
        <f>Chiler_Price[[#This Row],[Cond. Coils Area (FT)]]*Naming!$I$96</f>
        <v>6402.62</v>
      </c>
      <c r="X26" s="928">
        <f>1.5*Chiler_Price[[#This Row],[Cond. Coils Area (FT)]]</f>
        <v>361.04999999999995</v>
      </c>
      <c r="Y26" s="927">
        <f>1500*1.35*Chiler_Price[[#This Row],[NO. Of Compressors]]</f>
        <v>4050.0000000000005</v>
      </c>
      <c r="Z26" s="927">
        <f>400*1.35*Chiler_Price[[#This Row],[NO. Of Compressors]]</f>
        <v>1080</v>
      </c>
      <c r="AA26" s="927">
        <f>650*1.35*Chiler_Price[[#This Row],[NO. Of Evap. Cooler ]]</f>
        <v>877.50000000000011</v>
      </c>
      <c r="AB26" s="927">
        <f>650*4*1.35*Chiler_Price[[#This Row],[NO. Of Evap. Cooler ]]</f>
        <v>3510.0000000000005</v>
      </c>
      <c r="AC26" s="927">
        <f>560*1.35*Chiler_Price[[#This Row],[NO. Of Evap. Cooler ]]</f>
        <v>756</v>
      </c>
      <c r="AD26" s="832">
        <v>0</v>
      </c>
      <c r="AE26" s="927">
        <f>700*1.35*Chiler_Price[[#This Row],[NO. Of Compressors]]</f>
        <v>1890.0000000000002</v>
      </c>
      <c r="AF26" s="927">
        <f>100*1.35*Chiler_Price[[#This Row],[NO. Of Compressors]]</f>
        <v>270</v>
      </c>
      <c r="AG26" s="927">
        <f>100*1.35*Chiler_Price[[#This Row],[NO. Of Compressors]]</f>
        <v>270</v>
      </c>
      <c r="AH26" s="927">
        <f>600*1.35*Chiler_Price[[#This Row],[NO. Of Compressors]]</f>
        <v>1620</v>
      </c>
      <c r="AI26" s="927">
        <v>405</v>
      </c>
      <c r="AJ26" s="948">
        <v>0</v>
      </c>
      <c r="AK26" s="927">
        <f>Chiler_Price[[#This Row],[NO. of Cond. Fans]]*62*1.1*1.35</f>
        <v>736.56000000000006</v>
      </c>
      <c r="AL26" s="927">
        <f>450*1.35*Chiler_Price[[#This Row],[NO. Of Compressors]]</f>
        <v>1215</v>
      </c>
      <c r="AM26" s="927">
        <f>Chiler_Price[[#This Row],[NO. of Cond. Fans]]*62*1.1*1.35</f>
        <v>736.56000000000006</v>
      </c>
      <c r="AN26" s="927">
        <f t="shared" si="0"/>
        <v>1282.5</v>
      </c>
      <c r="AO26" s="927">
        <f t="shared" si="1"/>
        <v>1.3515999999999999</v>
      </c>
      <c r="AP26" s="927">
        <f t="shared" si="2"/>
        <v>2430</v>
      </c>
      <c r="AQ26" s="931">
        <f>560*1.35*Chiler_Price[[#This Row],[NO. Of Evap. Cooler ]]</f>
        <v>756</v>
      </c>
      <c r="AR26" s="927">
        <f>100*1.35*Chiler_Price[[#This Row],[NO. Of Evap. Cooler ]]</f>
        <v>135</v>
      </c>
      <c r="AS26" s="944">
        <v>286</v>
      </c>
      <c r="AT26" s="712"/>
      <c r="AU26" s="712"/>
      <c r="BC26" s="712"/>
      <c r="BD26" s="712"/>
      <c r="BE26" s="712"/>
      <c r="BF26" s="712"/>
      <c r="BG26" s="712"/>
      <c r="BI26" s="712"/>
    </row>
    <row r="27" spans="1:61" ht="16.5" thickBot="1">
      <c r="A27" s="939" t="s">
        <v>1907</v>
      </c>
      <c r="B27" s="940" t="s">
        <v>1908</v>
      </c>
      <c r="C27" s="927" t="s">
        <v>1907</v>
      </c>
      <c r="D27" s="936">
        <v>0</v>
      </c>
      <c r="E27" s="927">
        <v>10</v>
      </c>
      <c r="F27" s="927">
        <v>300.8</v>
      </c>
      <c r="G27" s="927">
        <v>2</v>
      </c>
      <c r="H27" s="927">
        <v>1</v>
      </c>
      <c r="I27" s="927">
        <f>Chiler_Price[[#This Row],[NO. of Cond Coils]]</f>
        <v>10</v>
      </c>
      <c r="J27" s="927">
        <v>135</v>
      </c>
      <c r="K27" s="927">
        <v>2</v>
      </c>
      <c r="L27" s="927"/>
      <c r="M27" s="927"/>
      <c r="N27" s="938">
        <v>0</v>
      </c>
      <c r="O27" s="1526">
        <v>71790</v>
      </c>
      <c r="P27" s="1526">
        <v>60427</v>
      </c>
      <c r="Q27" s="834">
        <v>0</v>
      </c>
      <c r="R27" s="927">
        <f>125*1.35*Chiler_Price[[#This Row],[NO. of Cond Coils]]</f>
        <v>1687.5</v>
      </c>
      <c r="S27" s="929">
        <f>Chiler_Price[[#This Row],[Cond. Coils Area (FT)]]*4*Naming!$M$62</f>
        <v>26951.68</v>
      </c>
      <c r="T27" s="929">
        <f>5*Chiler_Price[[#This Row],[Cond. Coils Area (FT)]]</f>
        <v>1504</v>
      </c>
      <c r="U27" s="929">
        <f>7*Chiler_Price[[#This Row],[Cond. Coils Area (FT)]]</f>
        <v>2105.6</v>
      </c>
      <c r="V27" s="928">
        <f>Chiler_Price[[#This Row],[Cond. Coils Area (FT)]]*Naming!$I$93</f>
        <v>5715.2</v>
      </c>
      <c r="W27" s="930">
        <f>Chiler_Price[[#This Row],[Cond. Coils Area (FT)]]*Naming!$I$96</f>
        <v>8001.2800000000007</v>
      </c>
      <c r="X27" s="928">
        <f>1.5*Chiler_Price[[#This Row],[Cond. Coils Area (FT)]]</f>
        <v>451.20000000000005</v>
      </c>
      <c r="Y27" s="927">
        <f>1500*1.35*Chiler_Price[[#This Row],[NO. Of Compressors]]</f>
        <v>4050.0000000000005</v>
      </c>
      <c r="Z27" s="927">
        <f>400*1.35*Chiler_Price[[#This Row],[NO. Of Compressors]]</f>
        <v>1080</v>
      </c>
      <c r="AA27" s="927">
        <f>650*1.35*Chiler_Price[[#This Row],[NO. Of Evap. Cooler ]]</f>
        <v>877.50000000000011</v>
      </c>
      <c r="AB27" s="927">
        <f>650*4*1.35*Chiler_Price[[#This Row],[NO. Of Evap. Cooler ]]</f>
        <v>3510.0000000000005</v>
      </c>
      <c r="AC27" s="927">
        <f>560*1.35*Chiler_Price[[#This Row],[NO. Of Evap. Cooler ]]</f>
        <v>756</v>
      </c>
      <c r="AD27" s="832">
        <v>0</v>
      </c>
      <c r="AE27" s="927">
        <f>700*1.35*Chiler_Price[[#This Row],[NO. Of Compressors]]</f>
        <v>1890.0000000000002</v>
      </c>
      <c r="AF27" s="927">
        <f>100*1.35*Chiler_Price[[#This Row],[NO. Of Compressors]]</f>
        <v>270</v>
      </c>
      <c r="AG27" s="927">
        <f>100*1.35*Chiler_Price[[#This Row],[NO. Of Compressors]]</f>
        <v>270</v>
      </c>
      <c r="AH27" s="927">
        <f>600*1.35*Chiler_Price[[#This Row],[NO. Of Compressors]]</f>
        <v>1620</v>
      </c>
      <c r="AI27" s="927">
        <v>405</v>
      </c>
      <c r="AJ27" s="948">
        <v>0</v>
      </c>
      <c r="AK27" s="927">
        <f>Chiler_Price[[#This Row],[NO. of Cond. Fans]]*62*1.1*1.35</f>
        <v>920.7</v>
      </c>
      <c r="AL27" s="927">
        <f>450*1.35*Chiler_Price[[#This Row],[NO. Of Compressors]]</f>
        <v>1215</v>
      </c>
      <c r="AM27" s="927">
        <f>Chiler_Price[[#This Row],[NO. of Cond. Fans]]*62*1.1*1.35</f>
        <v>920.7</v>
      </c>
      <c r="AN27" s="927">
        <f t="shared" si="0"/>
        <v>1282.5</v>
      </c>
      <c r="AO27" s="927">
        <f t="shared" si="1"/>
        <v>1.3515999999999999</v>
      </c>
      <c r="AP27" s="927">
        <f t="shared" si="2"/>
        <v>2430</v>
      </c>
      <c r="AQ27" s="927">
        <f>560*1.35*Chiler_Price[[#This Row],[NO. Of Evap. Cooler ]]</f>
        <v>756</v>
      </c>
      <c r="AR27" s="927">
        <f>100*1.35*Chiler_Price[[#This Row],[NO. Of Evap. Cooler ]]</f>
        <v>135</v>
      </c>
      <c r="AS27" s="944">
        <v>286</v>
      </c>
      <c r="AT27" s="712"/>
      <c r="AU27" s="712"/>
      <c r="BC27" s="712"/>
      <c r="BD27" s="712"/>
      <c r="BE27" s="712"/>
      <c r="BF27" s="712"/>
      <c r="BG27" s="712"/>
      <c r="BI27" s="712"/>
    </row>
    <row r="28" spans="1:61" ht="16.5" thickBot="1">
      <c r="A28" s="939" t="s">
        <v>1909</v>
      </c>
      <c r="B28" s="940">
        <v>0</v>
      </c>
      <c r="C28" s="927" t="s">
        <v>1909</v>
      </c>
      <c r="D28" s="936">
        <v>0</v>
      </c>
      <c r="E28" s="927">
        <v>8</v>
      </c>
      <c r="F28" s="927">
        <v>240.7</v>
      </c>
      <c r="G28" s="927">
        <v>2</v>
      </c>
      <c r="H28" s="927">
        <v>1</v>
      </c>
      <c r="I28" s="927">
        <f>Chiler_Price[[#This Row],[NO. of Cond Coils]]</f>
        <v>8</v>
      </c>
      <c r="J28" s="927">
        <v>140</v>
      </c>
      <c r="K28" s="927">
        <v>2</v>
      </c>
      <c r="L28" s="927"/>
      <c r="M28" s="927"/>
      <c r="N28" s="938">
        <v>0</v>
      </c>
      <c r="O28" s="1526">
        <v>70326</v>
      </c>
      <c r="P28" s="1526">
        <v>60699</v>
      </c>
      <c r="Q28" s="834">
        <v>0</v>
      </c>
      <c r="R28" s="927">
        <f>125*1.35*Chiler_Price[[#This Row],[NO. of Cond Coils]]</f>
        <v>1350</v>
      </c>
      <c r="S28" s="929">
        <f>Chiler_Price[[#This Row],[Cond. Coils Area (FT)]]*4*Naming!$M$62</f>
        <v>21566.719999999998</v>
      </c>
      <c r="T28" s="929">
        <f>5*Chiler_Price[[#This Row],[Cond. Coils Area (FT)]]</f>
        <v>1203.5</v>
      </c>
      <c r="U28" s="929">
        <f>7*Chiler_Price[[#This Row],[Cond. Coils Area (FT)]]</f>
        <v>1684.8999999999999</v>
      </c>
      <c r="V28" s="928">
        <f>Chiler_Price[[#This Row],[Cond. Coils Area (FT)]]*Naming!$I$93</f>
        <v>4573.3</v>
      </c>
      <c r="W28" s="930">
        <f>Chiler_Price[[#This Row],[Cond. Coils Area (FT)]]*Naming!$I$96</f>
        <v>6402.62</v>
      </c>
      <c r="X28" s="928">
        <f>1.5*Chiler_Price[[#This Row],[Cond. Coils Area (FT)]]</f>
        <v>361.04999999999995</v>
      </c>
      <c r="Y28" s="927">
        <f>1500*1.35*Chiler_Price[[#This Row],[NO. Of Compressors]]</f>
        <v>4050.0000000000005</v>
      </c>
      <c r="Z28" s="927">
        <f>400*1.35*Chiler_Price[[#This Row],[NO. Of Compressors]]</f>
        <v>1080</v>
      </c>
      <c r="AA28" s="927">
        <f>650*1.35*Chiler_Price[[#This Row],[NO. Of Evap. Cooler ]]</f>
        <v>877.50000000000011</v>
      </c>
      <c r="AB28" s="927">
        <f>650*4*1.35*Chiler_Price[[#This Row],[NO. Of Evap. Cooler ]]</f>
        <v>3510.0000000000005</v>
      </c>
      <c r="AC28" s="927">
        <f>560*1.35*Chiler_Price[[#This Row],[NO. Of Evap. Cooler ]]</f>
        <v>756</v>
      </c>
      <c r="AD28" s="832">
        <v>0</v>
      </c>
      <c r="AE28" s="927">
        <f>700*1.35*Chiler_Price[[#This Row],[NO. Of Compressors]]</f>
        <v>1890.0000000000002</v>
      </c>
      <c r="AF28" s="927">
        <f>100*1.35*Chiler_Price[[#This Row],[NO. Of Compressors]]</f>
        <v>270</v>
      </c>
      <c r="AG28" s="927">
        <f>100*1.35*Chiler_Price[[#This Row],[NO. Of Compressors]]</f>
        <v>270</v>
      </c>
      <c r="AH28" s="927">
        <f>600*1.35*Chiler_Price[[#This Row],[NO. Of Compressors]]</f>
        <v>1620</v>
      </c>
      <c r="AI28" s="927">
        <v>405</v>
      </c>
      <c r="AJ28" s="948">
        <v>0</v>
      </c>
      <c r="AK28" s="927">
        <f>Chiler_Price[[#This Row],[NO. of Cond. Fans]]*62*1.1*1.35</f>
        <v>736.56000000000006</v>
      </c>
      <c r="AL28" s="927">
        <f>450*1.35*Chiler_Price[[#This Row],[NO. Of Compressors]]</f>
        <v>1215</v>
      </c>
      <c r="AM28" s="927">
        <f>Chiler_Price[[#This Row],[NO. of Cond. Fans]]*62*1.1*1.35</f>
        <v>736.56000000000006</v>
      </c>
      <c r="AN28" s="927">
        <f t="shared" si="0"/>
        <v>1282.5</v>
      </c>
      <c r="AO28" s="927">
        <f t="shared" si="1"/>
        <v>1.3515999999999999</v>
      </c>
      <c r="AP28" s="927">
        <f t="shared" si="2"/>
        <v>2430</v>
      </c>
      <c r="AQ28" s="927">
        <f>560*1.35*Chiler_Price[[#This Row],[NO. Of Evap. Cooler ]]</f>
        <v>756</v>
      </c>
      <c r="AR28" s="927">
        <f>100*1.35*Chiler_Price[[#This Row],[NO. Of Evap. Cooler ]]</f>
        <v>135</v>
      </c>
      <c r="AS28" s="944">
        <v>286</v>
      </c>
      <c r="AT28" s="712"/>
      <c r="AU28" s="712"/>
      <c r="BC28" s="712"/>
      <c r="BD28" s="712"/>
      <c r="BE28" s="712"/>
      <c r="BF28" s="712"/>
      <c r="BG28" s="712"/>
      <c r="BI28" s="712"/>
    </row>
    <row r="29" spans="1:61" ht="16.5" thickBot="1">
      <c r="A29" s="939" t="s">
        <v>1910</v>
      </c>
      <c r="B29" s="940" t="s">
        <v>1911</v>
      </c>
      <c r="C29" s="927" t="s">
        <v>1910</v>
      </c>
      <c r="D29" s="936">
        <v>0</v>
      </c>
      <c r="E29" s="927">
        <v>10</v>
      </c>
      <c r="F29" s="927">
        <v>300.8</v>
      </c>
      <c r="G29" s="927">
        <v>2</v>
      </c>
      <c r="H29" s="927">
        <v>1</v>
      </c>
      <c r="I29" s="927">
        <f>Chiler_Price[[#This Row],[NO. of Cond Coils]]</f>
        <v>10</v>
      </c>
      <c r="J29" s="927">
        <v>140</v>
      </c>
      <c r="K29" s="927">
        <v>2</v>
      </c>
      <c r="L29" s="927"/>
      <c r="M29" s="927"/>
      <c r="N29" s="938">
        <v>0</v>
      </c>
      <c r="O29" s="1526">
        <v>75241</v>
      </c>
      <c r="P29" s="1526">
        <v>63830</v>
      </c>
      <c r="Q29" s="834">
        <v>0</v>
      </c>
      <c r="R29" s="927">
        <f>125*1.35*Chiler_Price[[#This Row],[NO. of Cond Coils]]</f>
        <v>1687.5</v>
      </c>
      <c r="S29" s="929">
        <f>Chiler_Price[[#This Row],[Cond. Coils Area (FT)]]*4*Naming!$M$62</f>
        <v>26951.68</v>
      </c>
      <c r="T29" s="929">
        <f>5*Chiler_Price[[#This Row],[Cond. Coils Area (FT)]]</f>
        <v>1504</v>
      </c>
      <c r="U29" s="929">
        <f>7*Chiler_Price[[#This Row],[Cond. Coils Area (FT)]]</f>
        <v>2105.6</v>
      </c>
      <c r="V29" s="928">
        <f>Chiler_Price[[#This Row],[Cond. Coils Area (FT)]]*Naming!$I$93</f>
        <v>5715.2</v>
      </c>
      <c r="W29" s="930">
        <f>Chiler_Price[[#This Row],[Cond. Coils Area (FT)]]*Naming!$I$96</f>
        <v>8001.2800000000007</v>
      </c>
      <c r="X29" s="928">
        <f>1.5*Chiler_Price[[#This Row],[Cond. Coils Area (FT)]]</f>
        <v>451.20000000000005</v>
      </c>
      <c r="Y29" s="927">
        <f>1500*1.35*Chiler_Price[[#This Row],[NO. Of Compressors]]</f>
        <v>4050.0000000000005</v>
      </c>
      <c r="Z29" s="927">
        <f>400*1.35*Chiler_Price[[#This Row],[NO. Of Compressors]]</f>
        <v>1080</v>
      </c>
      <c r="AA29" s="927">
        <f>650*1.35*Chiler_Price[[#This Row],[NO. Of Evap. Cooler ]]</f>
        <v>877.50000000000011</v>
      </c>
      <c r="AB29" s="927">
        <f>650*4*1.35*Chiler_Price[[#This Row],[NO. Of Evap. Cooler ]]</f>
        <v>3510.0000000000005</v>
      </c>
      <c r="AC29" s="927">
        <f>560*1.35*Chiler_Price[[#This Row],[NO. Of Evap. Cooler ]]</f>
        <v>756</v>
      </c>
      <c r="AD29" s="832">
        <v>0</v>
      </c>
      <c r="AE29" s="927">
        <f>700*1.35*Chiler_Price[[#This Row],[NO. Of Compressors]]</f>
        <v>1890.0000000000002</v>
      </c>
      <c r="AF29" s="927">
        <f>100*1.35*Chiler_Price[[#This Row],[NO. Of Compressors]]</f>
        <v>270</v>
      </c>
      <c r="AG29" s="927">
        <f>100*1.35*Chiler_Price[[#This Row],[NO. Of Compressors]]</f>
        <v>270</v>
      </c>
      <c r="AH29" s="927">
        <f>600*1.35*Chiler_Price[[#This Row],[NO. Of Compressors]]</f>
        <v>1620</v>
      </c>
      <c r="AI29" s="927">
        <v>405</v>
      </c>
      <c r="AJ29" s="948">
        <v>0</v>
      </c>
      <c r="AK29" s="927">
        <f>Chiler_Price[[#This Row],[NO. of Cond. Fans]]*62*1.1*1.35</f>
        <v>920.7</v>
      </c>
      <c r="AL29" s="927">
        <f>450*1.35*Chiler_Price[[#This Row],[NO. Of Compressors]]</f>
        <v>1215</v>
      </c>
      <c r="AM29" s="927">
        <f>Chiler_Price[[#This Row],[NO. of Cond. Fans]]*62*1.1*1.35</f>
        <v>920.7</v>
      </c>
      <c r="AN29" s="927">
        <f t="shared" si="0"/>
        <v>1282.5</v>
      </c>
      <c r="AO29" s="927">
        <f t="shared" si="1"/>
        <v>1.3515999999999999</v>
      </c>
      <c r="AP29" s="927">
        <f t="shared" si="2"/>
        <v>2430</v>
      </c>
      <c r="AQ29" s="927">
        <f>560*1.35*Chiler_Price[[#This Row],[NO. Of Evap. Cooler ]]</f>
        <v>756</v>
      </c>
      <c r="AR29" s="927">
        <f>100*1.35*Chiler_Price[[#This Row],[NO. Of Evap. Cooler ]]</f>
        <v>135</v>
      </c>
      <c r="AS29" s="944">
        <v>286</v>
      </c>
      <c r="AT29" s="712"/>
      <c r="AU29" s="712"/>
      <c r="BC29" s="712"/>
      <c r="BD29" s="712"/>
      <c r="BE29" s="712"/>
      <c r="BF29" s="712"/>
      <c r="BG29" s="712"/>
      <c r="BI29" s="712"/>
    </row>
    <row r="30" spans="1:61" ht="16.5" thickBot="1">
      <c r="A30" s="939" t="s">
        <v>1912</v>
      </c>
      <c r="B30" s="940">
        <v>0</v>
      </c>
      <c r="C30" s="927" t="s">
        <v>2560</v>
      </c>
      <c r="D30" s="936">
        <v>0</v>
      </c>
      <c r="E30" s="927">
        <v>10</v>
      </c>
      <c r="F30" s="927">
        <v>300.8</v>
      </c>
      <c r="G30" s="927">
        <v>2</v>
      </c>
      <c r="H30" s="927">
        <v>1</v>
      </c>
      <c r="I30" s="927">
        <f>Chiler_Price[[#This Row],[NO. of Cond Coils]]</f>
        <v>10</v>
      </c>
      <c r="J30" s="927">
        <v>140</v>
      </c>
      <c r="K30" s="927">
        <v>2</v>
      </c>
      <c r="L30" s="927"/>
      <c r="M30" s="927"/>
      <c r="N30" s="938">
        <v>0</v>
      </c>
      <c r="O30" s="1526">
        <v>76325</v>
      </c>
      <c r="P30" s="1526">
        <v>64899</v>
      </c>
      <c r="Q30" s="834">
        <v>0</v>
      </c>
      <c r="R30" s="927">
        <f>125*1.35*Chiler_Price[[#This Row],[NO. of Cond Coils]]</f>
        <v>1687.5</v>
      </c>
      <c r="S30" s="929">
        <f>Chiler_Price[[#This Row],[Cond. Coils Area (FT)]]*4*Naming!$M$62</f>
        <v>26951.68</v>
      </c>
      <c r="T30" s="929">
        <f>5*Chiler_Price[[#This Row],[Cond. Coils Area (FT)]]</f>
        <v>1504</v>
      </c>
      <c r="U30" s="929">
        <f>7*Chiler_Price[[#This Row],[Cond. Coils Area (FT)]]</f>
        <v>2105.6</v>
      </c>
      <c r="V30" s="928">
        <f>Chiler_Price[[#This Row],[Cond. Coils Area (FT)]]*Naming!$I$93</f>
        <v>5715.2</v>
      </c>
      <c r="W30" s="930">
        <f>Chiler_Price[[#This Row],[Cond. Coils Area (FT)]]*Naming!$I$96</f>
        <v>8001.2800000000007</v>
      </c>
      <c r="X30" s="928">
        <f>1.5*Chiler_Price[[#This Row],[Cond. Coils Area (FT)]]</f>
        <v>451.20000000000005</v>
      </c>
      <c r="Y30" s="927">
        <f>1500*1.35*Chiler_Price[[#This Row],[NO. Of Compressors]]</f>
        <v>4050.0000000000005</v>
      </c>
      <c r="Z30" s="927">
        <f>400*1.35*Chiler_Price[[#This Row],[NO. Of Compressors]]</f>
        <v>1080</v>
      </c>
      <c r="AA30" s="927">
        <f>650*1.35*Chiler_Price[[#This Row],[NO. Of Evap. Cooler ]]</f>
        <v>877.50000000000011</v>
      </c>
      <c r="AB30" s="927">
        <f>650*4*1.35*Chiler_Price[[#This Row],[NO. Of Evap. Cooler ]]</f>
        <v>3510.0000000000005</v>
      </c>
      <c r="AC30" s="927">
        <f>560*1.35*Chiler_Price[[#This Row],[NO. Of Evap. Cooler ]]</f>
        <v>756</v>
      </c>
      <c r="AD30" s="832">
        <v>0</v>
      </c>
      <c r="AE30" s="927">
        <f>700*1.35*Chiler_Price[[#This Row],[NO. Of Compressors]]</f>
        <v>1890.0000000000002</v>
      </c>
      <c r="AF30" s="927">
        <f>100*1.35*Chiler_Price[[#This Row],[NO. Of Compressors]]</f>
        <v>270</v>
      </c>
      <c r="AG30" s="927">
        <f>100*1.35*Chiler_Price[[#This Row],[NO. Of Compressors]]</f>
        <v>270</v>
      </c>
      <c r="AH30" s="927">
        <f>600*1.35*Chiler_Price[[#This Row],[NO. Of Compressors]]</f>
        <v>1620</v>
      </c>
      <c r="AI30" s="927">
        <v>405</v>
      </c>
      <c r="AJ30" s="948">
        <v>0</v>
      </c>
      <c r="AK30" s="927">
        <f>Chiler_Price[[#This Row],[NO. of Cond. Fans]]*62*1.1*1.35</f>
        <v>920.7</v>
      </c>
      <c r="AL30" s="927">
        <f>450*1.35*Chiler_Price[[#This Row],[NO. Of Compressors]]</f>
        <v>1215</v>
      </c>
      <c r="AM30" s="927">
        <f>Chiler_Price[[#This Row],[NO. of Cond. Fans]]*62*1.1*1.35</f>
        <v>920.7</v>
      </c>
      <c r="AN30" s="927">
        <f t="shared" si="0"/>
        <v>1282.5</v>
      </c>
      <c r="AO30" s="927">
        <f t="shared" si="1"/>
        <v>1.3515999999999999</v>
      </c>
      <c r="AP30" s="927">
        <f t="shared" si="2"/>
        <v>2430</v>
      </c>
      <c r="AQ30" s="927">
        <f>560*1.35*Chiler_Price[[#This Row],[NO. Of Evap. Cooler ]]</f>
        <v>756</v>
      </c>
      <c r="AR30" s="927">
        <f>100*1.35*Chiler_Price[[#This Row],[NO. Of Evap. Cooler ]]</f>
        <v>135</v>
      </c>
      <c r="AS30" s="944">
        <v>286</v>
      </c>
      <c r="AT30" s="712"/>
      <c r="AU30" s="712"/>
      <c r="BC30" s="712"/>
      <c r="BD30" s="712"/>
      <c r="BE30" s="712"/>
      <c r="BF30" s="712"/>
      <c r="BG30" s="712"/>
      <c r="BI30" s="712"/>
    </row>
    <row r="31" spans="1:61" ht="16.5" thickBot="1">
      <c r="A31" s="939" t="s">
        <v>1913</v>
      </c>
      <c r="B31" s="940" t="s">
        <v>1914</v>
      </c>
      <c r="C31" s="927" t="s">
        <v>1913</v>
      </c>
      <c r="D31" s="936">
        <v>0</v>
      </c>
      <c r="E31" s="927">
        <v>8</v>
      </c>
      <c r="F31" s="927">
        <v>240.7</v>
      </c>
      <c r="G31" s="927">
        <v>2</v>
      </c>
      <c r="H31" s="927">
        <v>1</v>
      </c>
      <c r="I31" s="927">
        <f>Chiler_Price[[#This Row],[NO. of Cond Coils]]</f>
        <v>8</v>
      </c>
      <c r="J31" s="927">
        <v>160</v>
      </c>
      <c r="K31" s="927">
        <v>2</v>
      </c>
      <c r="L31" s="927"/>
      <c r="M31" s="927"/>
      <c r="N31" s="938">
        <v>0</v>
      </c>
      <c r="O31" s="1526">
        <v>71998</v>
      </c>
      <c r="P31" s="1526">
        <v>62704</v>
      </c>
      <c r="Q31" s="834">
        <v>0</v>
      </c>
      <c r="R31" s="927">
        <f>125*1.35*Chiler_Price[[#This Row],[NO. of Cond Coils]]</f>
        <v>1350</v>
      </c>
      <c r="S31" s="929">
        <f>Chiler_Price[[#This Row],[Cond. Coils Area (FT)]]*4*Naming!$M$62</f>
        <v>21566.719999999998</v>
      </c>
      <c r="T31" s="929">
        <f>5*Chiler_Price[[#This Row],[Cond. Coils Area (FT)]]</f>
        <v>1203.5</v>
      </c>
      <c r="U31" s="929">
        <f>7*Chiler_Price[[#This Row],[Cond. Coils Area (FT)]]</f>
        <v>1684.8999999999999</v>
      </c>
      <c r="V31" s="928">
        <f>Chiler_Price[[#This Row],[Cond. Coils Area (FT)]]*Naming!$I$93</f>
        <v>4573.3</v>
      </c>
      <c r="W31" s="930">
        <f>Chiler_Price[[#This Row],[Cond. Coils Area (FT)]]*Naming!$I$96</f>
        <v>6402.62</v>
      </c>
      <c r="X31" s="928">
        <f>1.5*Chiler_Price[[#This Row],[Cond. Coils Area (FT)]]</f>
        <v>361.04999999999995</v>
      </c>
      <c r="Y31" s="927">
        <f>1500*1.35*Chiler_Price[[#This Row],[NO. Of Compressors]]</f>
        <v>4050.0000000000005</v>
      </c>
      <c r="Z31" s="927">
        <f>400*1.35*Chiler_Price[[#This Row],[NO. Of Compressors]]</f>
        <v>1080</v>
      </c>
      <c r="AA31" s="927">
        <f>650*1.35*Chiler_Price[[#This Row],[NO. Of Evap. Cooler ]]</f>
        <v>877.50000000000011</v>
      </c>
      <c r="AB31" s="927">
        <f>650*4*1.35*Chiler_Price[[#This Row],[NO. Of Evap. Cooler ]]</f>
        <v>3510.0000000000005</v>
      </c>
      <c r="AC31" s="927">
        <f>560*1.35*Chiler_Price[[#This Row],[NO. Of Evap. Cooler ]]</f>
        <v>756</v>
      </c>
      <c r="AD31" s="832">
        <v>0</v>
      </c>
      <c r="AE31" s="927">
        <f>700*1.35*Chiler_Price[[#This Row],[NO. Of Compressors]]</f>
        <v>1890.0000000000002</v>
      </c>
      <c r="AF31" s="927">
        <f>100*1.35*Chiler_Price[[#This Row],[NO. Of Compressors]]</f>
        <v>270</v>
      </c>
      <c r="AG31" s="927">
        <f>100*1.35*Chiler_Price[[#This Row],[NO. Of Compressors]]</f>
        <v>270</v>
      </c>
      <c r="AH31" s="927">
        <f>600*1.35*Chiler_Price[[#This Row],[NO. Of Compressors]]</f>
        <v>1620</v>
      </c>
      <c r="AI31" s="927">
        <v>405</v>
      </c>
      <c r="AJ31" s="948">
        <v>0</v>
      </c>
      <c r="AK31" s="927">
        <f>Chiler_Price[[#This Row],[NO. of Cond. Fans]]*62*1.1*1.35</f>
        <v>736.56000000000006</v>
      </c>
      <c r="AL31" s="927">
        <f>450*1.35*Chiler_Price[[#This Row],[NO. Of Compressors]]</f>
        <v>1215</v>
      </c>
      <c r="AM31" s="927">
        <f>Chiler_Price[[#This Row],[NO. of Cond. Fans]]*62*1.1*1.35</f>
        <v>736.56000000000006</v>
      </c>
      <c r="AN31" s="927">
        <f t="shared" si="0"/>
        <v>1282.5</v>
      </c>
      <c r="AO31" s="927">
        <f t="shared" si="1"/>
        <v>1.3515999999999999</v>
      </c>
      <c r="AP31" s="927">
        <f t="shared" si="2"/>
        <v>2430</v>
      </c>
      <c r="AQ31" s="927">
        <f>560*1.35*Chiler_Price[[#This Row],[NO. Of Evap. Cooler ]]</f>
        <v>756</v>
      </c>
      <c r="AR31" s="927">
        <f>100*1.35*Chiler_Price[[#This Row],[NO. Of Evap. Cooler ]]</f>
        <v>135</v>
      </c>
      <c r="AS31" s="944">
        <v>286</v>
      </c>
      <c r="AT31" s="712"/>
      <c r="AU31" s="712"/>
      <c r="BC31" s="712"/>
      <c r="BD31" s="712"/>
      <c r="BE31" s="712"/>
      <c r="BF31" s="712"/>
      <c r="BG31" s="712"/>
      <c r="BI31" s="712"/>
    </row>
    <row r="32" spans="1:61" ht="16.5" thickBot="1">
      <c r="A32" s="939" t="s">
        <v>1915</v>
      </c>
      <c r="B32" s="940" t="s">
        <v>1916</v>
      </c>
      <c r="C32" s="927" t="s">
        <v>1915</v>
      </c>
      <c r="D32" s="936">
        <v>0</v>
      </c>
      <c r="E32" s="927">
        <v>10</v>
      </c>
      <c r="F32" s="927">
        <v>300.8</v>
      </c>
      <c r="G32" s="927">
        <v>2</v>
      </c>
      <c r="H32" s="927">
        <v>1</v>
      </c>
      <c r="I32" s="927">
        <f>Chiler_Price[[#This Row],[NO. of Cond Coils]]</f>
        <v>10</v>
      </c>
      <c r="J32" s="927">
        <v>160</v>
      </c>
      <c r="K32" s="927">
        <v>2</v>
      </c>
      <c r="L32" s="927"/>
      <c r="M32" s="927"/>
      <c r="N32" s="938">
        <v>0</v>
      </c>
      <c r="O32" s="1526">
        <v>77630</v>
      </c>
      <c r="P32" s="1526">
        <v>66185</v>
      </c>
      <c r="Q32" s="834">
        <v>0</v>
      </c>
      <c r="R32" s="927">
        <f>125*1.35*Chiler_Price[[#This Row],[NO. of Cond Coils]]</f>
        <v>1687.5</v>
      </c>
      <c r="S32" s="929">
        <f>Chiler_Price[[#This Row],[Cond. Coils Area (FT)]]*4*Naming!$M$62</f>
        <v>26951.68</v>
      </c>
      <c r="T32" s="929">
        <f>5*Chiler_Price[[#This Row],[Cond. Coils Area (FT)]]</f>
        <v>1504</v>
      </c>
      <c r="U32" s="929">
        <f>7*Chiler_Price[[#This Row],[Cond. Coils Area (FT)]]</f>
        <v>2105.6</v>
      </c>
      <c r="V32" s="928">
        <f>Chiler_Price[[#This Row],[Cond. Coils Area (FT)]]*Naming!$I$93</f>
        <v>5715.2</v>
      </c>
      <c r="W32" s="930">
        <f>Chiler_Price[[#This Row],[Cond. Coils Area (FT)]]*Naming!$I$96</f>
        <v>8001.2800000000007</v>
      </c>
      <c r="X32" s="928">
        <f>1.5*Chiler_Price[[#This Row],[Cond. Coils Area (FT)]]</f>
        <v>451.20000000000005</v>
      </c>
      <c r="Y32" s="927">
        <f>1500*1.35*Chiler_Price[[#This Row],[NO. Of Compressors]]</f>
        <v>4050.0000000000005</v>
      </c>
      <c r="Z32" s="927">
        <f>400*1.35*Chiler_Price[[#This Row],[NO. Of Compressors]]</f>
        <v>1080</v>
      </c>
      <c r="AA32" s="927">
        <f>650*1.35*Chiler_Price[[#This Row],[NO. Of Evap. Cooler ]]</f>
        <v>877.50000000000011</v>
      </c>
      <c r="AB32" s="927">
        <f>650*4*1.35*Chiler_Price[[#This Row],[NO. Of Evap. Cooler ]]</f>
        <v>3510.0000000000005</v>
      </c>
      <c r="AC32" s="927">
        <f>560*1.35*Chiler_Price[[#This Row],[NO. Of Evap. Cooler ]]</f>
        <v>756</v>
      </c>
      <c r="AD32" s="832">
        <v>0</v>
      </c>
      <c r="AE32" s="927">
        <f>700*1.35*Chiler_Price[[#This Row],[NO. Of Compressors]]</f>
        <v>1890.0000000000002</v>
      </c>
      <c r="AF32" s="927">
        <f>100*1.35*Chiler_Price[[#This Row],[NO. Of Compressors]]</f>
        <v>270</v>
      </c>
      <c r="AG32" s="927">
        <f>100*1.35*Chiler_Price[[#This Row],[NO. Of Compressors]]</f>
        <v>270</v>
      </c>
      <c r="AH32" s="927">
        <f>600*1.35*Chiler_Price[[#This Row],[NO. Of Compressors]]</f>
        <v>1620</v>
      </c>
      <c r="AI32" s="927">
        <v>405</v>
      </c>
      <c r="AJ32" s="948">
        <v>0</v>
      </c>
      <c r="AK32" s="927">
        <f>Chiler_Price[[#This Row],[NO. of Cond. Fans]]*62*1.1*1.35</f>
        <v>920.7</v>
      </c>
      <c r="AL32" s="927">
        <f>450*1.35*Chiler_Price[[#This Row],[NO. Of Compressors]]</f>
        <v>1215</v>
      </c>
      <c r="AM32" s="927">
        <f>Chiler_Price[[#This Row],[NO. of Cond. Fans]]*62*1.1*1.35</f>
        <v>920.7</v>
      </c>
      <c r="AN32" s="927">
        <f t="shared" si="0"/>
        <v>1282.5</v>
      </c>
      <c r="AO32" s="927">
        <f t="shared" si="1"/>
        <v>1.3515999999999999</v>
      </c>
      <c r="AP32" s="927">
        <f t="shared" si="2"/>
        <v>2430</v>
      </c>
      <c r="AQ32" s="927">
        <f>560*1.35*Chiler_Price[[#This Row],[NO. Of Evap. Cooler ]]</f>
        <v>756</v>
      </c>
      <c r="AR32" s="927">
        <f>100*1.35*Chiler_Price[[#This Row],[NO. Of Evap. Cooler ]]</f>
        <v>135</v>
      </c>
      <c r="AS32" s="944">
        <v>286</v>
      </c>
      <c r="AT32" s="712"/>
      <c r="AU32" s="712"/>
      <c r="BC32" s="712"/>
      <c r="BD32" s="712"/>
      <c r="BE32" s="712"/>
      <c r="BF32" s="712"/>
      <c r="BG32" s="712"/>
      <c r="BI32" s="712"/>
    </row>
    <row r="33" spans="1:61" ht="16.5" thickBot="1">
      <c r="A33" s="939" t="s">
        <v>1917</v>
      </c>
      <c r="B33" s="940" t="s">
        <v>1918</v>
      </c>
      <c r="C33" s="927" t="s">
        <v>1917</v>
      </c>
      <c r="D33" s="936">
        <v>0</v>
      </c>
      <c r="E33" s="927">
        <v>10</v>
      </c>
      <c r="F33" s="927">
        <v>300.8</v>
      </c>
      <c r="G33" s="927">
        <v>2</v>
      </c>
      <c r="H33" s="927">
        <v>1</v>
      </c>
      <c r="I33" s="927">
        <f>Chiler_Price[[#This Row],[NO. of Cond Coils]]</f>
        <v>10</v>
      </c>
      <c r="J33" s="927">
        <v>160</v>
      </c>
      <c r="K33" s="927">
        <v>1</v>
      </c>
      <c r="L33" s="927">
        <v>190</v>
      </c>
      <c r="M33" s="927">
        <v>1</v>
      </c>
      <c r="N33" s="938">
        <v>0</v>
      </c>
      <c r="O33" s="1526">
        <v>82489</v>
      </c>
      <c r="P33" s="1526">
        <v>70976</v>
      </c>
      <c r="Q33" s="834">
        <v>0</v>
      </c>
      <c r="R33" s="927">
        <f>125*1.35*Chiler_Price[[#This Row],[NO. of Cond Coils]]</f>
        <v>1687.5</v>
      </c>
      <c r="S33" s="929">
        <f>Chiler_Price[[#This Row],[Cond. Coils Area (FT)]]*4*Naming!$M$62</f>
        <v>26951.68</v>
      </c>
      <c r="T33" s="929">
        <f>5*Chiler_Price[[#This Row],[Cond. Coils Area (FT)]]</f>
        <v>1504</v>
      </c>
      <c r="U33" s="929">
        <f>7*Chiler_Price[[#This Row],[Cond. Coils Area (FT)]]</f>
        <v>2105.6</v>
      </c>
      <c r="V33" s="928">
        <f>Chiler_Price[[#This Row],[Cond. Coils Area (FT)]]*Naming!$I$93</f>
        <v>5715.2</v>
      </c>
      <c r="W33" s="930">
        <f>Chiler_Price[[#This Row],[Cond. Coils Area (FT)]]*Naming!$I$96</f>
        <v>8001.2800000000007</v>
      </c>
      <c r="X33" s="928">
        <f>1.5*Chiler_Price[[#This Row],[Cond. Coils Area (FT)]]</f>
        <v>451.20000000000005</v>
      </c>
      <c r="Y33" s="927">
        <f>1500*1.35*Chiler_Price[[#This Row],[NO. Of Compressors]]</f>
        <v>4050.0000000000005</v>
      </c>
      <c r="Z33" s="927">
        <f>400*1.35*Chiler_Price[[#This Row],[NO. Of Compressors]]</f>
        <v>1080</v>
      </c>
      <c r="AA33" s="927">
        <f>650*1.35*Chiler_Price[[#This Row],[NO. Of Evap. Cooler ]]</f>
        <v>877.50000000000011</v>
      </c>
      <c r="AB33" s="927">
        <f>650*4*1.35*Chiler_Price[[#This Row],[NO. Of Evap. Cooler ]]</f>
        <v>3510.0000000000005</v>
      </c>
      <c r="AC33" s="927">
        <f>560*1.35*Chiler_Price[[#This Row],[NO. Of Evap. Cooler ]]</f>
        <v>756</v>
      </c>
      <c r="AD33" s="832">
        <v>0</v>
      </c>
      <c r="AE33" s="927">
        <f>700*1.35*Chiler_Price[[#This Row],[NO. Of Compressors]]</f>
        <v>1890.0000000000002</v>
      </c>
      <c r="AF33" s="927">
        <f>100*1.35*Chiler_Price[[#This Row],[NO. Of Compressors]]</f>
        <v>270</v>
      </c>
      <c r="AG33" s="927">
        <f>100*1.35*Chiler_Price[[#This Row],[NO. Of Compressors]]</f>
        <v>270</v>
      </c>
      <c r="AH33" s="927">
        <f>600*1.35*Chiler_Price[[#This Row],[NO. Of Compressors]]</f>
        <v>1620</v>
      </c>
      <c r="AI33" s="927">
        <v>405</v>
      </c>
      <c r="AJ33" s="948">
        <v>0</v>
      </c>
      <c r="AK33" s="927">
        <f>Chiler_Price[[#This Row],[NO. of Cond. Fans]]*62*1.1*1.35</f>
        <v>920.7</v>
      </c>
      <c r="AL33" s="927">
        <f>450*1.35*Chiler_Price[[#This Row],[NO. Of Compressors]]</f>
        <v>1215</v>
      </c>
      <c r="AM33" s="927">
        <f>Chiler_Price[[#This Row],[NO. of Cond. Fans]]*62*1.1*1.35</f>
        <v>920.7</v>
      </c>
      <c r="AN33" s="927">
        <f t="shared" si="0"/>
        <v>1282.5</v>
      </c>
      <c r="AO33" s="927">
        <f t="shared" si="1"/>
        <v>1.3515999999999999</v>
      </c>
      <c r="AP33" s="927">
        <f t="shared" si="2"/>
        <v>2430</v>
      </c>
      <c r="AQ33" s="927">
        <f>560*1.35*Chiler_Price[[#This Row],[NO. Of Evap. Cooler ]]</f>
        <v>756</v>
      </c>
      <c r="AR33" s="927">
        <f>100*1.35*Chiler_Price[[#This Row],[NO. Of Evap. Cooler ]]</f>
        <v>135</v>
      </c>
      <c r="AS33" s="944">
        <v>286</v>
      </c>
      <c r="AT33" s="712"/>
      <c r="AU33" s="712"/>
      <c r="BC33" s="712"/>
      <c r="BD33" s="712"/>
      <c r="BE33" s="712"/>
      <c r="BF33" s="712"/>
      <c r="BG33" s="712"/>
      <c r="BI33" s="712"/>
    </row>
    <row r="34" spans="1:61" ht="16.5" thickBot="1">
      <c r="A34" s="939" t="s">
        <v>1919</v>
      </c>
      <c r="B34" s="940" t="s">
        <v>1920</v>
      </c>
      <c r="C34" s="927" t="s">
        <v>1919</v>
      </c>
      <c r="D34" s="936">
        <v>0</v>
      </c>
      <c r="E34" s="927">
        <v>10</v>
      </c>
      <c r="F34" s="927">
        <v>300.8</v>
      </c>
      <c r="G34" s="927">
        <v>2</v>
      </c>
      <c r="H34" s="927">
        <v>1</v>
      </c>
      <c r="I34" s="927">
        <f>Chiler_Price[[#This Row],[NO. of Cond Coils]]</f>
        <v>10</v>
      </c>
      <c r="J34" s="927">
        <v>190</v>
      </c>
      <c r="K34" s="927">
        <v>2</v>
      </c>
      <c r="L34" s="927"/>
      <c r="M34" s="927"/>
      <c r="N34" s="938">
        <v>0</v>
      </c>
      <c r="O34" s="1526">
        <v>84962</v>
      </c>
      <c r="P34" s="1526">
        <v>73415</v>
      </c>
      <c r="Q34" s="834">
        <v>0</v>
      </c>
      <c r="R34" s="927">
        <f>125*1.35*Chiler_Price[[#This Row],[NO. of Cond Coils]]</f>
        <v>1687.5</v>
      </c>
      <c r="S34" s="929">
        <f>Chiler_Price[[#This Row],[Cond. Coils Area (FT)]]*4*Naming!$M$62</f>
        <v>26951.68</v>
      </c>
      <c r="T34" s="929">
        <f>5*Chiler_Price[[#This Row],[Cond. Coils Area (FT)]]</f>
        <v>1504</v>
      </c>
      <c r="U34" s="929">
        <f>7*Chiler_Price[[#This Row],[Cond. Coils Area (FT)]]</f>
        <v>2105.6</v>
      </c>
      <c r="V34" s="928">
        <f>Chiler_Price[[#This Row],[Cond. Coils Area (FT)]]*Naming!$I$93</f>
        <v>5715.2</v>
      </c>
      <c r="W34" s="930">
        <f>Chiler_Price[[#This Row],[Cond. Coils Area (FT)]]*Naming!$I$96</f>
        <v>8001.2800000000007</v>
      </c>
      <c r="X34" s="928">
        <f>1.5*Chiler_Price[[#This Row],[Cond. Coils Area (FT)]]</f>
        <v>451.20000000000005</v>
      </c>
      <c r="Y34" s="927">
        <f>1500*1.35*Chiler_Price[[#This Row],[NO. Of Compressors]]</f>
        <v>4050.0000000000005</v>
      </c>
      <c r="Z34" s="927">
        <f>400*1.35*Chiler_Price[[#This Row],[NO. Of Compressors]]</f>
        <v>1080</v>
      </c>
      <c r="AA34" s="927">
        <f>650*1.35*Chiler_Price[[#This Row],[NO. Of Evap. Cooler ]]</f>
        <v>877.50000000000011</v>
      </c>
      <c r="AB34" s="927">
        <f>650*4*1.35*Chiler_Price[[#This Row],[NO. Of Evap. Cooler ]]</f>
        <v>3510.0000000000005</v>
      </c>
      <c r="AC34" s="927">
        <f>560*1.35*Chiler_Price[[#This Row],[NO. Of Evap. Cooler ]]</f>
        <v>756</v>
      </c>
      <c r="AD34" s="832">
        <v>0</v>
      </c>
      <c r="AE34" s="927">
        <f>700*1.35*Chiler_Price[[#This Row],[NO. Of Compressors]]</f>
        <v>1890.0000000000002</v>
      </c>
      <c r="AF34" s="927">
        <f>100*1.35*Chiler_Price[[#This Row],[NO. Of Compressors]]</f>
        <v>270</v>
      </c>
      <c r="AG34" s="927">
        <f>100*1.35*Chiler_Price[[#This Row],[NO. Of Compressors]]</f>
        <v>270</v>
      </c>
      <c r="AH34" s="927">
        <f>600*1.35*Chiler_Price[[#This Row],[NO. Of Compressors]]</f>
        <v>1620</v>
      </c>
      <c r="AI34" s="927">
        <v>405</v>
      </c>
      <c r="AJ34" s="948">
        <v>0</v>
      </c>
      <c r="AK34" s="927">
        <f>Chiler_Price[[#This Row],[NO. of Cond. Fans]]*62*1.1*1.35</f>
        <v>920.7</v>
      </c>
      <c r="AL34" s="927">
        <f>450*1.35*Chiler_Price[[#This Row],[NO. Of Compressors]]</f>
        <v>1215</v>
      </c>
      <c r="AM34" s="927">
        <f>Chiler_Price[[#This Row],[NO. of Cond. Fans]]*62*1.1*1.35</f>
        <v>920.7</v>
      </c>
      <c r="AN34" s="927">
        <f t="shared" si="0"/>
        <v>1282.5</v>
      </c>
      <c r="AO34" s="927">
        <f t="shared" si="1"/>
        <v>1.3515999999999999</v>
      </c>
      <c r="AP34" s="927">
        <f t="shared" si="2"/>
        <v>2430</v>
      </c>
      <c r="AQ34" s="927">
        <f>560*1.35*Chiler_Price[[#This Row],[NO. Of Evap. Cooler ]]</f>
        <v>756</v>
      </c>
      <c r="AR34" s="927">
        <f>100*1.35*Chiler_Price[[#This Row],[NO. Of Evap. Cooler ]]</f>
        <v>135</v>
      </c>
      <c r="AS34" s="944">
        <v>286</v>
      </c>
      <c r="AT34" s="712"/>
      <c r="AU34" s="712"/>
      <c r="BC34" s="712"/>
      <c r="BD34" s="712"/>
      <c r="BE34" s="712"/>
      <c r="BF34" s="712"/>
      <c r="BG34" s="712"/>
      <c r="BI34" s="712"/>
    </row>
    <row r="35" spans="1:61" ht="16.5" thickBot="1">
      <c r="A35" s="939" t="s">
        <v>1921</v>
      </c>
      <c r="B35" s="940" t="s">
        <v>1922</v>
      </c>
      <c r="C35" s="927" t="s">
        <v>1921</v>
      </c>
      <c r="D35" s="936">
        <v>0</v>
      </c>
      <c r="E35" s="927">
        <v>10</v>
      </c>
      <c r="F35" s="927">
        <v>300.8</v>
      </c>
      <c r="G35" s="927">
        <v>2</v>
      </c>
      <c r="H35" s="927">
        <v>1</v>
      </c>
      <c r="I35" s="927">
        <f>Chiler_Price[[#This Row],[NO. of Cond Coils]]</f>
        <v>10</v>
      </c>
      <c r="J35" s="927">
        <v>190</v>
      </c>
      <c r="K35" s="927">
        <v>1</v>
      </c>
      <c r="L35" s="927">
        <v>210</v>
      </c>
      <c r="M35" s="927">
        <v>1</v>
      </c>
      <c r="N35" s="938">
        <v>0</v>
      </c>
      <c r="O35" s="1526">
        <v>89434</v>
      </c>
      <c r="P35" s="1526">
        <v>77824</v>
      </c>
      <c r="Q35" s="834">
        <v>0</v>
      </c>
      <c r="R35" s="927">
        <f>125*1.35*Chiler_Price[[#This Row],[NO. of Cond Coils]]</f>
        <v>1687.5</v>
      </c>
      <c r="S35" s="929">
        <f>Chiler_Price[[#This Row],[Cond. Coils Area (FT)]]*4*Naming!$M$62</f>
        <v>26951.68</v>
      </c>
      <c r="T35" s="929">
        <f>5*Chiler_Price[[#This Row],[Cond. Coils Area (FT)]]</f>
        <v>1504</v>
      </c>
      <c r="U35" s="929">
        <f>7*Chiler_Price[[#This Row],[Cond. Coils Area (FT)]]</f>
        <v>2105.6</v>
      </c>
      <c r="V35" s="928">
        <f>Chiler_Price[[#This Row],[Cond. Coils Area (FT)]]*Naming!$I$93</f>
        <v>5715.2</v>
      </c>
      <c r="W35" s="930">
        <f>Chiler_Price[[#This Row],[Cond. Coils Area (FT)]]*Naming!$I$96</f>
        <v>8001.2800000000007</v>
      </c>
      <c r="X35" s="928">
        <f>1.5*Chiler_Price[[#This Row],[Cond. Coils Area (FT)]]</f>
        <v>451.20000000000005</v>
      </c>
      <c r="Y35" s="927">
        <f>1500*1.35*Chiler_Price[[#This Row],[NO. Of Compressors]]</f>
        <v>4050.0000000000005</v>
      </c>
      <c r="Z35" s="927">
        <f>400*1.35*Chiler_Price[[#This Row],[NO. Of Compressors]]</f>
        <v>1080</v>
      </c>
      <c r="AA35" s="927">
        <f>650*1.35*Chiler_Price[[#This Row],[NO. Of Evap. Cooler ]]</f>
        <v>877.50000000000011</v>
      </c>
      <c r="AB35" s="927">
        <f>650*4*1.35*Chiler_Price[[#This Row],[NO. Of Evap. Cooler ]]</f>
        <v>3510.0000000000005</v>
      </c>
      <c r="AC35" s="927">
        <f>560*1.35*Chiler_Price[[#This Row],[NO. Of Evap. Cooler ]]</f>
        <v>756</v>
      </c>
      <c r="AD35" s="832">
        <v>0</v>
      </c>
      <c r="AE35" s="927">
        <f>700*1.35*Chiler_Price[[#This Row],[NO. Of Compressors]]</f>
        <v>1890.0000000000002</v>
      </c>
      <c r="AF35" s="927">
        <f>100*1.35*Chiler_Price[[#This Row],[NO. Of Compressors]]</f>
        <v>270</v>
      </c>
      <c r="AG35" s="927">
        <f>100*1.35*Chiler_Price[[#This Row],[NO. Of Compressors]]</f>
        <v>270</v>
      </c>
      <c r="AH35" s="927">
        <f>600*1.35*Chiler_Price[[#This Row],[NO. Of Compressors]]</f>
        <v>1620</v>
      </c>
      <c r="AI35" s="927">
        <v>405</v>
      </c>
      <c r="AJ35" s="948">
        <v>0</v>
      </c>
      <c r="AK35" s="927">
        <f>Chiler_Price[[#This Row],[NO. of Cond. Fans]]*62*1.1*1.35</f>
        <v>920.7</v>
      </c>
      <c r="AL35" s="927">
        <f>450*1.35*Chiler_Price[[#This Row],[NO. Of Compressors]]</f>
        <v>1215</v>
      </c>
      <c r="AM35" s="927">
        <f>Chiler_Price[[#This Row],[NO. of Cond. Fans]]*62*1.1*1.35</f>
        <v>920.7</v>
      </c>
      <c r="AN35" s="927">
        <f t="shared" si="0"/>
        <v>1282.5</v>
      </c>
      <c r="AO35" s="927">
        <f t="shared" si="1"/>
        <v>1.3515999999999999</v>
      </c>
      <c r="AP35" s="927">
        <f t="shared" si="2"/>
        <v>2430</v>
      </c>
      <c r="AQ35" s="927">
        <f>560*1.35*Chiler_Price[[#This Row],[NO. Of Evap. Cooler ]]</f>
        <v>756</v>
      </c>
      <c r="AR35" s="927">
        <f>100*1.35*Chiler_Price[[#This Row],[NO. Of Evap. Cooler ]]</f>
        <v>135</v>
      </c>
      <c r="AS35" s="944">
        <v>286</v>
      </c>
      <c r="AT35" s="712"/>
      <c r="AU35" s="712"/>
      <c r="BC35" s="712"/>
      <c r="BD35" s="712"/>
      <c r="BE35" s="712"/>
      <c r="BF35" s="712"/>
      <c r="BG35" s="712"/>
      <c r="BI35" s="712"/>
    </row>
    <row r="36" spans="1:61" ht="16.5" thickBot="1">
      <c r="A36" s="939" t="s">
        <v>1923</v>
      </c>
      <c r="B36" s="940">
        <v>0</v>
      </c>
      <c r="C36" s="927" t="s">
        <v>1923</v>
      </c>
      <c r="D36" s="936">
        <v>0</v>
      </c>
      <c r="E36" s="927">
        <v>12</v>
      </c>
      <c r="F36" s="927">
        <v>361</v>
      </c>
      <c r="G36" s="927">
        <v>2</v>
      </c>
      <c r="H36" s="927">
        <v>1</v>
      </c>
      <c r="I36" s="927">
        <f>Chiler_Price[[#This Row],[NO. of Cond Coils]]</f>
        <v>12</v>
      </c>
      <c r="J36" s="927">
        <v>190</v>
      </c>
      <c r="K36" s="927">
        <v>2</v>
      </c>
      <c r="L36" s="927"/>
      <c r="M36" s="927"/>
      <c r="N36" s="938">
        <v>0</v>
      </c>
      <c r="O36" s="1526">
        <v>93894</v>
      </c>
      <c r="P36" s="1526">
        <v>80150</v>
      </c>
      <c r="Q36" s="834">
        <v>0</v>
      </c>
      <c r="R36" s="927">
        <f>125*1.35*Chiler_Price[[#This Row],[NO. of Cond Coils]]</f>
        <v>2025</v>
      </c>
      <c r="S36" s="929">
        <f>Chiler_Price[[#This Row],[Cond. Coils Area (FT)]]*4*Naming!$M$62</f>
        <v>32345.599999999999</v>
      </c>
      <c r="T36" s="929">
        <f>5*Chiler_Price[[#This Row],[Cond. Coils Area (FT)]]</f>
        <v>1805</v>
      </c>
      <c r="U36" s="929">
        <f>7*Chiler_Price[[#This Row],[Cond. Coils Area (FT)]]</f>
        <v>2527</v>
      </c>
      <c r="V36" s="928">
        <f>Chiler_Price[[#This Row],[Cond. Coils Area (FT)]]*Naming!$I$93</f>
        <v>6859</v>
      </c>
      <c r="W36" s="930">
        <f>Chiler_Price[[#This Row],[Cond. Coils Area (FT)]]*Naming!$I$96</f>
        <v>9602.6</v>
      </c>
      <c r="X36" s="928">
        <f>1.5*Chiler_Price[[#This Row],[Cond. Coils Area (FT)]]</f>
        <v>541.5</v>
      </c>
      <c r="Y36" s="927">
        <f>1500*1.35*Chiler_Price[[#This Row],[NO. Of Compressors]]</f>
        <v>4050.0000000000005</v>
      </c>
      <c r="Z36" s="927">
        <f>400*1.35*Chiler_Price[[#This Row],[NO. Of Compressors]]</f>
        <v>1080</v>
      </c>
      <c r="AA36" s="927">
        <f>650*1.35*Chiler_Price[[#This Row],[NO. Of Evap. Cooler ]]</f>
        <v>877.50000000000011</v>
      </c>
      <c r="AB36" s="927">
        <f>650*4*1.35*Chiler_Price[[#This Row],[NO. Of Evap. Cooler ]]</f>
        <v>3510.0000000000005</v>
      </c>
      <c r="AC36" s="927">
        <f>560*1.35*Chiler_Price[[#This Row],[NO. Of Evap. Cooler ]]</f>
        <v>756</v>
      </c>
      <c r="AD36" s="832">
        <v>0</v>
      </c>
      <c r="AE36" s="927">
        <f>700*1.35*Chiler_Price[[#This Row],[NO. Of Compressors]]</f>
        <v>1890.0000000000002</v>
      </c>
      <c r="AF36" s="927">
        <f>100*1.35*Chiler_Price[[#This Row],[NO. Of Compressors]]</f>
        <v>270</v>
      </c>
      <c r="AG36" s="927">
        <f>100*1.35*Chiler_Price[[#This Row],[NO. Of Compressors]]</f>
        <v>270</v>
      </c>
      <c r="AH36" s="927">
        <f>600*1.35*Chiler_Price[[#This Row],[NO. Of Compressors]]</f>
        <v>1620</v>
      </c>
      <c r="AI36" s="927">
        <v>405</v>
      </c>
      <c r="AJ36" s="948">
        <v>0</v>
      </c>
      <c r="AK36" s="927">
        <f>Chiler_Price[[#This Row],[NO. of Cond. Fans]]*62*1.1*1.35</f>
        <v>1104.8400000000001</v>
      </c>
      <c r="AL36" s="927">
        <f>450*1.35*Chiler_Price[[#This Row],[NO. Of Compressors]]</f>
        <v>1215</v>
      </c>
      <c r="AM36" s="927">
        <f>Chiler_Price[[#This Row],[NO. of Cond. Fans]]*62*1.1*1.35</f>
        <v>1104.8400000000001</v>
      </c>
      <c r="AN36" s="927">
        <f t="shared" si="0"/>
        <v>1282.5</v>
      </c>
      <c r="AO36" s="927">
        <f t="shared" si="1"/>
        <v>1.3515999999999999</v>
      </c>
      <c r="AP36" s="927">
        <f t="shared" si="2"/>
        <v>2430</v>
      </c>
      <c r="AQ36" s="927">
        <f>560*1.35*Chiler_Price[[#This Row],[NO. Of Evap. Cooler ]]</f>
        <v>756</v>
      </c>
      <c r="AR36" s="927">
        <f>100*1.35*Chiler_Price[[#This Row],[NO. Of Evap. Cooler ]]</f>
        <v>135</v>
      </c>
      <c r="AS36" s="944">
        <v>286</v>
      </c>
      <c r="AT36" s="712"/>
      <c r="AU36" s="712"/>
      <c r="BC36" s="712"/>
      <c r="BD36" s="712"/>
      <c r="BE36" s="712"/>
      <c r="BF36" s="712"/>
      <c r="BG36" s="712"/>
      <c r="BI36" s="712"/>
    </row>
    <row r="37" spans="1:61" ht="16.5" thickBot="1">
      <c r="A37" s="939" t="s">
        <v>1924</v>
      </c>
      <c r="B37" s="940" t="s">
        <v>1925</v>
      </c>
      <c r="C37" s="927" t="s">
        <v>1924</v>
      </c>
      <c r="D37" s="936">
        <v>0</v>
      </c>
      <c r="E37" s="927">
        <v>10</v>
      </c>
      <c r="F37" s="927">
        <v>300.8</v>
      </c>
      <c r="G37" s="927">
        <v>2</v>
      </c>
      <c r="H37" s="927">
        <v>1</v>
      </c>
      <c r="I37" s="927">
        <f>Chiler_Price[[#This Row],[NO. of Cond Coils]]</f>
        <v>10</v>
      </c>
      <c r="J37" s="927">
        <v>210</v>
      </c>
      <c r="K37" s="927">
        <v>2</v>
      </c>
      <c r="L37" s="927"/>
      <c r="M37" s="927"/>
      <c r="N37" s="938">
        <v>0</v>
      </c>
      <c r="O37" s="1526">
        <v>90349</v>
      </c>
      <c r="P37" s="1526">
        <v>78727</v>
      </c>
      <c r="Q37" s="834">
        <v>0</v>
      </c>
      <c r="R37" s="927">
        <f>125*1.35*Chiler_Price[[#This Row],[NO. of Cond Coils]]</f>
        <v>1687.5</v>
      </c>
      <c r="S37" s="929">
        <f>Chiler_Price[[#This Row],[Cond. Coils Area (FT)]]*4*Naming!$M$62</f>
        <v>26951.68</v>
      </c>
      <c r="T37" s="929">
        <f>5*Chiler_Price[[#This Row],[Cond. Coils Area (FT)]]</f>
        <v>1504</v>
      </c>
      <c r="U37" s="929">
        <f>7*Chiler_Price[[#This Row],[Cond. Coils Area (FT)]]</f>
        <v>2105.6</v>
      </c>
      <c r="V37" s="928">
        <f>Chiler_Price[[#This Row],[Cond. Coils Area (FT)]]*Naming!$I$93</f>
        <v>5715.2</v>
      </c>
      <c r="W37" s="930">
        <f>Chiler_Price[[#This Row],[Cond. Coils Area (FT)]]*Naming!$I$96</f>
        <v>8001.2800000000007</v>
      </c>
      <c r="X37" s="928">
        <f>1.5*Chiler_Price[[#This Row],[Cond. Coils Area (FT)]]</f>
        <v>451.20000000000005</v>
      </c>
      <c r="Y37" s="927">
        <f>1500*1.35*Chiler_Price[[#This Row],[NO. Of Compressors]]</f>
        <v>4050.0000000000005</v>
      </c>
      <c r="Z37" s="927">
        <f>400*1.35*Chiler_Price[[#This Row],[NO. Of Compressors]]</f>
        <v>1080</v>
      </c>
      <c r="AA37" s="927">
        <f>650*1.35*Chiler_Price[[#This Row],[NO. Of Evap. Cooler ]]</f>
        <v>877.50000000000011</v>
      </c>
      <c r="AB37" s="927">
        <f>650*4*1.35*Chiler_Price[[#This Row],[NO. Of Evap. Cooler ]]</f>
        <v>3510.0000000000005</v>
      </c>
      <c r="AC37" s="927">
        <f>560*1.35*Chiler_Price[[#This Row],[NO. Of Evap. Cooler ]]</f>
        <v>756</v>
      </c>
      <c r="AD37" s="832">
        <v>0</v>
      </c>
      <c r="AE37" s="927">
        <f>700*1.35*Chiler_Price[[#This Row],[NO. Of Compressors]]</f>
        <v>1890.0000000000002</v>
      </c>
      <c r="AF37" s="927">
        <f>100*1.35*Chiler_Price[[#This Row],[NO. Of Compressors]]</f>
        <v>270</v>
      </c>
      <c r="AG37" s="927">
        <f>100*1.35*Chiler_Price[[#This Row],[NO. Of Compressors]]</f>
        <v>270</v>
      </c>
      <c r="AH37" s="927">
        <f>600*1.35*Chiler_Price[[#This Row],[NO. Of Compressors]]</f>
        <v>1620</v>
      </c>
      <c r="AI37" s="927">
        <v>405</v>
      </c>
      <c r="AJ37" s="948">
        <v>0</v>
      </c>
      <c r="AK37" s="927">
        <f>Chiler_Price[[#This Row],[NO. of Cond. Fans]]*62*1.1*1.35</f>
        <v>920.7</v>
      </c>
      <c r="AL37" s="927">
        <f>450*1.35*Chiler_Price[[#This Row],[NO. Of Compressors]]</f>
        <v>1215</v>
      </c>
      <c r="AM37" s="927">
        <f>Chiler_Price[[#This Row],[NO. of Cond. Fans]]*62*1.1*1.35</f>
        <v>920.7</v>
      </c>
      <c r="AN37" s="927">
        <f t="shared" si="0"/>
        <v>1282.5</v>
      </c>
      <c r="AO37" s="927">
        <f t="shared" si="1"/>
        <v>1.3515999999999999</v>
      </c>
      <c r="AP37" s="927">
        <f t="shared" si="2"/>
        <v>2430</v>
      </c>
      <c r="AQ37" s="927">
        <f>560*1.35*Chiler_Price[[#This Row],[NO. Of Evap. Cooler ]]</f>
        <v>756</v>
      </c>
      <c r="AR37" s="927">
        <f>100*1.35*Chiler_Price[[#This Row],[NO. Of Evap. Cooler ]]</f>
        <v>135</v>
      </c>
      <c r="AS37" s="944">
        <v>286</v>
      </c>
      <c r="AT37" s="712"/>
      <c r="AU37" s="712"/>
      <c r="BC37" s="712"/>
      <c r="BD37" s="712"/>
      <c r="BE37" s="712"/>
      <c r="BF37" s="712"/>
      <c r="BG37" s="712"/>
      <c r="BI37" s="712"/>
    </row>
    <row r="38" spans="1:61" ht="16.5" thickBot="1">
      <c r="A38" s="939" t="s">
        <v>1926</v>
      </c>
      <c r="B38" s="940" t="s">
        <v>1927</v>
      </c>
      <c r="C38" s="927" t="s">
        <v>1926</v>
      </c>
      <c r="D38" s="936">
        <v>0</v>
      </c>
      <c r="E38" s="927">
        <v>12</v>
      </c>
      <c r="F38" s="927">
        <v>361</v>
      </c>
      <c r="G38" s="927">
        <v>2</v>
      </c>
      <c r="H38" s="927">
        <v>1</v>
      </c>
      <c r="I38" s="927">
        <f>Chiler_Price[[#This Row],[NO. of Cond Coils]]</f>
        <v>12</v>
      </c>
      <c r="J38" s="927">
        <v>210</v>
      </c>
      <c r="K38" s="927">
        <v>2</v>
      </c>
      <c r="L38" s="927"/>
      <c r="M38" s="927"/>
      <c r="N38" s="938">
        <v>0</v>
      </c>
      <c r="O38" s="1526">
        <v>95506</v>
      </c>
      <c r="P38" s="1526">
        <v>81739</v>
      </c>
      <c r="Q38" s="834">
        <v>0</v>
      </c>
      <c r="R38" s="927">
        <f>125*1.35*Chiler_Price[[#This Row],[NO. of Cond Coils]]</f>
        <v>2025</v>
      </c>
      <c r="S38" s="929">
        <f>Chiler_Price[[#This Row],[Cond. Coils Area (FT)]]*4*Naming!$M$62</f>
        <v>32345.599999999999</v>
      </c>
      <c r="T38" s="929">
        <f>5*Chiler_Price[[#This Row],[Cond. Coils Area (FT)]]</f>
        <v>1805</v>
      </c>
      <c r="U38" s="929">
        <f>7*Chiler_Price[[#This Row],[Cond. Coils Area (FT)]]</f>
        <v>2527</v>
      </c>
      <c r="V38" s="928">
        <f>Chiler_Price[[#This Row],[Cond. Coils Area (FT)]]*Naming!$I$93</f>
        <v>6859</v>
      </c>
      <c r="W38" s="930">
        <f>Chiler_Price[[#This Row],[Cond. Coils Area (FT)]]*Naming!$I$96</f>
        <v>9602.6</v>
      </c>
      <c r="X38" s="928">
        <f>1.5*Chiler_Price[[#This Row],[Cond. Coils Area (FT)]]</f>
        <v>541.5</v>
      </c>
      <c r="Y38" s="927">
        <f>1500*1.35*Chiler_Price[[#This Row],[NO. Of Compressors]]</f>
        <v>4050.0000000000005</v>
      </c>
      <c r="Z38" s="927">
        <f>400*1.35*Chiler_Price[[#This Row],[NO. Of Compressors]]</f>
        <v>1080</v>
      </c>
      <c r="AA38" s="927">
        <f>650*1.35*Chiler_Price[[#This Row],[NO. Of Evap. Cooler ]]</f>
        <v>877.50000000000011</v>
      </c>
      <c r="AB38" s="927">
        <f>650*4*1.35*Chiler_Price[[#This Row],[NO. Of Evap. Cooler ]]</f>
        <v>3510.0000000000005</v>
      </c>
      <c r="AC38" s="927">
        <f>560*1.35*Chiler_Price[[#This Row],[NO. Of Evap. Cooler ]]</f>
        <v>756</v>
      </c>
      <c r="AD38" s="832">
        <v>0</v>
      </c>
      <c r="AE38" s="927">
        <f>700*1.35*Chiler_Price[[#This Row],[NO. Of Compressors]]</f>
        <v>1890.0000000000002</v>
      </c>
      <c r="AF38" s="927">
        <f>100*1.35*Chiler_Price[[#This Row],[NO. Of Compressors]]</f>
        <v>270</v>
      </c>
      <c r="AG38" s="927">
        <f>100*1.35*Chiler_Price[[#This Row],[NO. Of Compressors]]</f>
        <v>270</v>
      </c>
      <c r="AH38" s="927">
        <f>600*1.35*Chiler_Price[[#This Row],[NO. Of Compressors]]</f>
        <v>1620</v>
      </c>
      <c r="AI38" s="927">
        <v>405</v>
      </c>
      <c r="AJ38" s="948">
        <v>0</v>
      </c>
      <c r="AK38" s="927">
        <f>Chiler_Price[[#This Row],[NO. of Cond. Fans]]*62*1.1*1.35</f>
        <v>1104.8400000000001</v>
      </c>
      <c r="AL38" s="927">
        <f>450*1.35*Chiler_Price[[#This Row],[NO. Of Compressors]]</f>
        <v>1215</v>
      </c>
      <c r="AM38" s="927">
        <f>Chiler_Price[[#This Row],[NO. of Cond. Fans]]*62*1.1*1.35</f>
        <v>1104.8400000000001</v>
      </c>
      <c r="AN38" s="927">
        <f t="shared" si="0"/>
        <v>1282.5</v>
      </c>
      <c r="AO38" s="927">
        <f t="shared" si="1"/>
        <v>1.3515999999999999</v>
      </c>
      <c r="AP38" s="927">
        <f t="shared" si="2"/>
        <v>2430</v>
      </c>
      <c r="AQ38" s="927">
        <f>560*1.35*Chiler_Price[[#This Row],[NO. Of Evap. Cooler ]]</f>
        <v>756</v>
      </c>
      <c r="AR38" s="927">
        <f>100*1.35*Chiler_Price[[#This Row],[NO. Of Evap. Cooler ]]</f>
        <v>135</v>
      </c>
      <c r="AS38" s="944">
        <v>286</v>
      </c>
      <c r="AT38" s="712"/>
      <c r="AU38" s="712"/>
      <c r="BC38" s="712"/>
      <c r="BD38" s="712"/>
      <c r="BE38" s="712"/>
      <c r="BF38" s="712"/>
      <c r="BG38" s="712"/>
      <c r="BI38" s="712"/>
    </row>
    <row r="39" spans="1:61" ht="16.5" thickBot="1">
      <c r="A39" s="939" t="s">
        <v>1928</v>
      </c>
      <c r="B39" s="940">
        <v>0</v>
      </c>
      <c r="C39" s="927" t="s">
        <v>1928</v>
      </c>
      <c r="D39" s="936">
        <v>0</v>
      </c>
      <c r="E39" s="927">
        <v>12</v>
      </c>
      <c r="F39" s="927">
        <v>361</v>
      </c>
      <c r="G39" s="927">
        <v>3</v>
      </c>
      <c r="H39" s="927">
        <v>1</v>
      </c>
      <c r="I39" s="927">
        <f>Chiler_Price[[#This Row],[NO. of Cond Coils]]</f>
        <v>12</v>
      </c>
      <c r="J39" s="927">
        <v>140</v>
      </c>
      <c r="K39" s="927">
        <v>1</v>
      </c>
      <c r="L39" s="927">
        <v>160</v>
      </c>
      <c r="M39" s="927">
        <v>2</v>
      </c>
      <c r="N39" s="938">
        <v>0</v>
      </c>
      <c r="O39" s="1526">
        <v>110407</v>
      </c>
      <c r="P39" s="1526">
        <v>96432</v>
      </c>
      <c r="Q39" s="834">
        <v>0</v>
      </c>
      <c r="R39" s="927">
        <f>125*1.35*Chiler_Price[[#This Row],[NO. of Cond Coils]]</f>
        <v>2025</v>
      </c>
      <c r="S39" s="929">
        <f>Chiler_Price[[#This Row],[Cond. Coils Area (FT)]]*4*Naming!$M$62</f>
        <v>32345.599999999999</v>
      </c>
      <c r="T39" s="929">
        <f>5*Chiler_Price[[#This Row],[Cond. Coils Area (FT)]]</f>
        <v>1805</v>
      </c>
      <c r="U39" s="929">
        <f>7*Chiler_Price[[#This Row],[Cond. Coils Area (FT)]]</f>
        <v>2527</v>
      </c>
      <c r="V39" s="928">
        <f>Chiler_Price[[#This Row],[Cond. Coils Area (FT)]]*Naming!$I$93</f>
        <v>6859</v>
      </c>
      <c r="W39" s="930">
        <f>Chiler_Price[[#This Row],[Cond. Coils Area (FT)]]*Naming!$I$96</f>
        <v>9602.6</v>
      </c>
      <c r="X39" s="928">
        <f>1.5*Chiler_Price[[#This Row],[Cond. Coils Area (FT)]]</f>
        <v>541.5</v>
      </c>
      <c r="Y39" s="927">
        <f>1500*1.35*Chiler_Price[[#This Row],[NO. Of Compressors]]</f>
        <v>6075.0000000000009</v>
      </c>
      <c r="Z39" s="927">
        <f>400*1.35*Chiler_Price[[#This Row],[NO. Of Compressors]]</f>
        <v>1620</v>
      </c>
      <c r="AA39" s="927">
        <f>650*1.35*Chiler_Price[[#This Row],[NO. Of Evap. Cooler ]]</f>
        <v>877.50000000000011</v>
      </c>
      <c r="AB39" s="927">
        <f>650*4*1.35*Chiler_Price[[#This Row],[NO. Of Evap. Cooler ]]</f>
        <v>3510.0000000000005</v>
      </c>
      <c r="AC39" s="927">
        <f>560*1.35*Chiler_Price[[#This Row],[NO. Of Evap. Cooler ]]</f>
        <v>756</v>
      </c>
      <c r="AD39" s="832">
        <v>0</v>
      </c>
      <c r="AE39" s="927">
        <f>700*1.35*Chiler_Price[[#This Row],[NO. Of Compressors]]</f>
        <v>2835.0000000000005</v>
      </c>
      <c r="AF39" s="927">
        <f>100*1.35*Chiler_Price[[#This Row],[NO. Of Compressors]]</f>
        <v>405</v>
      </c>
      <c r="AG39" s="927">
        <f>100*1.35*Chiler_Price[[#This Row],[NO. Of Compressors]]</f>
        <v>405</v>
      </c>
      <c r="AH39" s="927">
        <f>600*1.35*Chiler_Price[[#This Row],[NO. Of Compressors]]</f>
        <v>2430</v>
      </c>
      <c r="AI39" s="927">
        <v>405</v>
      </c>
      <c r="AJ39" s="948">
        <v>0</v>
      </c>
      <c r="AK39" s="927">
        <f>Chiler_Price[[#This Row],[NO. of Cond. Fans]]*62*1.1*1.35</f>
        <v>1104.8400000000001</v>
      </c>
      <c r="AL39" s="927">
        <f>450*1.35*Chiler_Price[[#This Row],[NO. Of Compressors]]</f>
        <v>1822.5</v>
      </c>
      <c r="AM39" s="927">
        <f>Chiler_Price[[#This Row],[NO. of Cond. Fans]]*62*1.1*1.35</f>
        <v>1104.8400000000001</v>
      </c>
      <c r="AN39" s="927">
        <f t="shared" si="0"/>
        <v>1282.5</v>
      </c>
      <c r="AO39" s="927">
        <f t="shared" si="1"/>
        <v>1.3515999999999999</v>
      </c>
      <c r="AP39" s="927">
        <f t="shared" si="2"/>
        <v>2430</v>
      </c>
      <c r="AQ39" s="927">
        <f>560*1.35*Chiler_Price[[#This Row],[NO. Of Evap. Cooler ]]</f>
        <v>756</v>
      </c>
      <c r="AR39" s="927">
        <f>100*1.35*Chiler_Price[[#This Row],[NO. Of Evap. Cooler ]]</f>
        <v>135</v>
      </c>
      <c r="AS39" s="944">
        <v>286</v>
      </c>
      <c r="AT39" s="712"/>
      <c r="AU39" s="712"/>
      <c r="BC39" s="712"/>
      <c r="BD39" s="712"/>
      <c r="BE39" s="712"/>
      <c r="BF39" s="712"/>
      <c r="BG39" s="712"/>
      <c r="BI39" s="712"/>
    </row>
    <row r="40" spans="1:61" ht="16.5" thickBot="1">
      <c r="A40" s="939" t="s">
        <v>1929</v>
      </c>
      <c r="B40" s="940" t="s">
        <v>1930</v>
      </c>
      <c r="C40" s="927" t="s">
        <v>1931</v>
      </c>
      <c r="D40" s="936">
        <v>0</v>
      </c>
      <c r="E40" s="927">
        <v>12</v>
      </c>
      <c r="F40" s="927">
        <v>361</v>
      </c>
      <c r="G40" s="927">
        <v>2</v>
      </c>
      <c r="H40" s="927">
        <v>1</v>
      </c>
      <c r="I40" s="927">
        <f>Chiler_Price[[#This Row],[NO. of Cond Coils]]</f>
        <v>12</v>
      </c>
      <c r="J40" s="927">
        <v>210</v>
      </c>
      <c r="K40" s="927">
        <v>1</v>
      </c>
      <c r="L40" s="927">
        <v>250</v>
      </c>
      <c r="M40" s="927">
        <v>1</v>
      </c>
      <c r="N40" s="938">
        <v>0</v>
      </c>
      <c r="O40" s="1526">
        <v>98767</v>
      </c>
      <c r="P40" s="1526">
        <v>84955</v>
      </c>
      <c r="Q40" s="834">
        <v>0</v>
      </c>
      <c r="R40" s="927">
        <f>125*1.35*Chiler_Price[[#This Row],[NO. of Cond Coils]]</f>
        <v>2025</v>
      </c>
      <c r="S40" s="929">
        <f>Chiler_Price[[#This Row],[Cond. Coils Area (FT)]]*4*Naming!$M$62</f>
        <v>32345.599999999999</v>
      </c>
      <c r="T40" s="929">
        <f>5*Chiler_Price[[#This Row],[Cond. Coils Area (FT)]]</f>
        <v>1805</v>
      </c>
      <c r="U40" s="929">
        <f>7*Chiler_Price[[#This Row],[Cond. Coils Area (FT)]]</f>
        <v>2527</v>
      </c>
      <c r="V40" s="928">
        <f>Chiler_Price[[#This Row],[Cond. Coils Area (FT)]]*Naming!$I$93</f>
        <v>6859</v>
      </c>
      <c r="W40" s="930">
        <f>Chiler_Price[[#This Row],[Cond. Coils Area (FT)]]*Naming!$I$96</f>
        <v>9602.6</v>
      </c>
      <c r="X40" s="928">
        <f>1.5*Chiler_Price[[#This Row],[Cond. Coils Area (FT)]]</f>
        <v>541.5</v>
      </c>
      <c r="Y40" s="927">
        <f>1500*1.35*Chiler_Price[[#This Row],[NO. Of Compressors]]</f>
        <v>4050.0000000000005</v>
      </c>
      <c r="Z40" s="927">
        <f>400*1.35*Chiler_Price[[#This Row],[NO. Of Compressors]]</f>
        <v>1080</v>
      </c>
      <c r="AA40" s="927">
        <f>650*1.35*Chiler_Price[[#This Row],[NO. Of Evap. Cooler ]]</f>
        <v>877.50000000000011</v>
      </c>
      <c r="AB40" s="927">
        <f>650*4*1.35*Chiler_Price[[#This Row],[NO. Of Evap. Cooler ]]</f>
        <v>3510.0000000000005</v>
      </c>
      <c r="AC40" s="927">
        <f>560*1.35*Chiler_Price[[#This Row],[NO. Of Evap. Cooler ]]</f>
        <v>756</v>
      </c>
      <c r="AD40" s="832">
        <v>0</v>
      </c>
      <c r="AE40" s="927">
        <f>700*1.35*Chiler_Price[[#This Row],[NO. Of Compressors]]</f>
        <v>1890.0000000000002</v>
      </c>
      <c r="AF40" s="927">
        <f>100*1.35*Chiler_Price[[#This Row],[NO. Of Compressors]]</f>
        <v>270</v>
      </c>
      <c r="AG40" s="927">
        <f>100*1.35*Chiler_Price[[#This Row],[NO. Of Compressors]]</f>
        <v>270</v>
      </c>
      <c r="AH40" s="927">
        <f>600*1.35*Chiler_Price[[#This Row],[NO. Of Compressors]]</f>
        <v>1620</v>
      </c>
      <c r="AI40" s="927">
        <v>405</v>
      </c>
      <c r="AJ40" s="948">
        <v>0</v>
      </c>
      <c r="AK40" s="927">
        <f>Chiler_Price[[#This Row],[NO. of Cond. Fans]]*62*1.1*1.35</f>
        <v>1104.8400000000001</v>
      </c>
      <c r="AL40" s="927">
        <f>450*1.35*Chiler_Price[[#This Row],[NO. Of Compressors]]</f>
        <v>1215</v>
      </c>
      <c r="AM40" s="927">
        <f>Chiler_Price[[#This Row],[NO. of Cond. Fans]]*62*1.1*1.35</f>
        <v>1104.8400000000001</v>
      </c>
      <c r="AN40" s="927">
        <f t="shared" si="0"/>
        <v>1282.5</v>
      </c>
      <c r="AO40" s="927">
        <f t="shared" si="1"/>
        <v>1.3515999999999999</v>
      </c>
      <c r="AP40" s="927">
        <f t="shared" si="2"/>
        <v>2430</v>
      </c>
      <c r="AQ40" s="927">
        <f>560*1.35*Chiler_Price[[#This Row],[NO. Of Evap. Cooler ]]</f>
        <v>756</v>
      </c>
      <c r="AR40" s="927">
        <f>100*1.35*Chiler_Price[[#This Row],[NO. Of Evap. Cooler ]]</f>
        <v>135</v>
      </c>
      <c r="AS40" s="944">
        <v>286</v>
      </c>
      <c r="AT40" s="712"/>
      <c r="AU40" s="712"/>
      <c r="BC40" s="712"/>
      <c r="BD40" s="712"/>
      <c r="BE40" s="712"/>
      <c r="BF40" s="712"/>
      <c r="BG40" s="712"/>
      <c r="BI40" s="712"/>
    </row>
    <row r="41" spans="1:61" ht="16.5" thickBot="1">
      <c r="A41" s="939" t="s">
        <v>1932</v>
      </c>
      <c r="B41" s="940" t="s">
        <v>1933</v>
      </c>
      <c r="C41" s="927" t="s">
        <v>1934</v>
      </c>
      <c r="D41" s="936">
        <v>0</v>
      </c>
      <c r="E41" s="927">
        <v>12</v>
      </c>
      <c r="F41" s="927">
        <v>361</v>
      </c>
      <c r="G41" s="927">
        <v>2</v>
      </c>
      <c r="H41" s="927">
        <v>1</v>
      </c>
      <c r="I41" s="927">
        <f>Chiler_Price[[#This Row],[NO. of Cond Coils]]</f>
        <v>12</v>
      </c>
      <c r="J41" s="927">
        <v>250</v>
      </c>
      <c r="K41" s="927">
        <v>2</v>
      </c>
      <c r="L41" s="927"/>
      <c r="M41" s="927"/>
      <c r="N41" s="938">
        <v>0</v>
      </c>
      <c r="O41" s="1526">
        <v>104708</v>
      </c>
      <c r="P41" s="1526">
        <v>90813</v>
      </c>
      <c r="Q41" s="834">
        <v>0</v>
      </c>
      <c r="R41" s="927">
        <f>125*1.35*Chiler_Price[[#This Row],[NO. of Cond Coils]]</f>
        <v>2025</v>
      </c>
      <c r="S41" s="929">
        <f>Chiler_Price[[#This Row],[Cond. Coils Area (FT)]]*4*Naming!$M$62</f>
        <v>32345.599999999999</v>
      </c>
      <c r="T41" s="929">
        <f>5*Chiler_Price[[#This Row],[Cond. Coils Area (FT)]]</f>
        <v>1805</v>
      </c>
      <c r="U41" s="929">
        <f>7*Chiler_Price[[#This Row],[Cond. Coils Area (FT)]]</f>
        <v>2527</v>
      </c>
      <c r="V41" s="928">
        <f>Chiler_Price[[#This Row],[Cond. Coils Area (FT)]]*Naming!$I$93</f>
        <v>6859</v>
      </c>
      <c r="W41" s="930">
        <f>Chiler_Price[[#This Row],[Cond. Coils Area (FT)]]*Naming!$I$96</f>
        <v>9602.6</v>
      </c>
      <c r="X41" s="928">
        <f>1.5*Chiler_Price[[#This Row],[Cond. Coils Area (FT)]]</f>
        <v>541.5</v>
      </c>
      <c r="Y41" s="927">
        <f>1500*1.35*Chiler_Price[[#This Row],[NO. Of Compressors]]</f>
        <v>4050.0000000000005</v>
      </c>
      <c r="Z41" s="927">
        <f>400*1.35*Chiler_Price[[#This Row],[NO. Of Compressors]]</f>
        <v>1080</v>
      </c>
      <c r="AA41" s="927">
        <f>650*1.35*Chiler_Price[[#This Row],[NO. Of Evap. Cooler ]]</f>
        <v>877.50000000000011</v>
      </c>
      <c r="AB41" s="927">
        <f>650*4*1.35*Chiler_Price[[#This Row],[NO. Of Evap. Cooler ]]</f>
        <v>3510.0000000000005</v>
      </c>
      <c r="AC41" s="927">
        <f>560*1.35*Chiler_Price[[#This Row],[NO. Of Evap. Cooler ]]</f>
        <v>756</v>
      </c>
      <c r="AD41" s="832">
        <v>0</v>
      </c>
      <c r="AE41" s="927">
        <f>700*1.35*Chiler_Price[[#This Row],[NO. Of Compressors]]</f>
        <v>1890.0000000000002</v>
      </c>
      <c r="AF41" s="927">
        <f>100*1.35*Chiler_Price[[#This Row],[NO. Of Compressors]]</f>
        <v>270</v>
      </c>
      <c r="AG41" s="927">
        <f>100*1.35*Chiler_Price[[#This Row],[NO. Of Compressors]]</f>
        <v>270</v>
      </c>
      <c r="AH41" s="927">
        <f>600*1.35*Chiler_Price[[#This Row],[NO. Of Compressors]]</f>
        <v>1620</v>
      </c>
      <c r="AI41" s="927">
        <v>405</v>
      </c>
      <c r="AJ41" s="948">
        <v>0</v>
      </c>
      <c r="AK41" s="927">
        <f>Chiler_Price[[#This Row],[NO. of Cond. Fans]]*62*1.1*1.35</f>
        <v>1104.8400000000001</v>
      </c>
      <c r="AL41" s="927">
        <f>450*1.35*Chiler_Price[[#This Row],[NO. Of Compressors]]</f>
        <v>1215</v>
      </c>
      <c r="AM41" s="927">
        <f>Chiler_Price[[#This Row],[NO. of Cond. Fans]]*62*1.1*1.35</f>
        <v>1104.8400000000001</v>
      </c>
      <c r="AN41" s="927">
        <f t="shared" si="0"/>
        <v>1282.5</v>
      </c>
      <c r="AO41" s="927">
        <f t="shared" si="1"/>
        <v>1.3515999999999999</v>
      </c>
      <c r="AP41" s="927">
        <f t="shared" si="2"/>
        <v>2430</v>
      </c>
      <c r="AQ41" s="927">
        <f>560*1.35*Chiler_Price[[#This Row],[NO. Of Evap. Cooler ]]</f>
        <v>756</v>
      </c>
      <c r="AR41" s="927">
        <f>100*1.35*Chiler_Price[[#This Row],[NO. Of Evap. Cooler ]]</f>
        <v>135</v>
      </c>
      <c r="AS41" s="944">
        <v>286</v>
      </c>
      <c r="AT41" s="712"/>
      <c r="AU41" s="712"/>
      <c r="BC41" s="712"/>
      <c r="BD41" s="712"/>
      <c r="BE41" s="712"/>
      <c r="BF41" s="712"/>
      <c r="BG41" s="712"/>
      <c r="BI41" s="712"/>
    </row>
    <row r="42" spans="1:61" ht="16.5" thickBot="1">
      <c r="A42" s="939" t="s">
        <v>1935</v>
      </c>
      <c r="B42" s="940" t="s">
        <v>1936</v>
      </c>
      <c r="C42" s="927" t="s">
        <v>1937</v>
      </c>
      <c r="D42" s="936">
        <v>0</v>
      </c>
      <c r="E42" s="927">
        <v>14</v>
      </c>
      <c r="F42" s="927">
        <v>421.2</v>
      </c>
      <c r="G42" s="927">
        <v>2</v>
      </c>
      <c r="H42" s="927">
        <v>1</v>
      </c>
      <c r="I42" s="927">
        <f>Chiler_Price[[#This Row],[NO. of Cond Coils]]</f>
        <v>14</v>
      </c>
      <c r="J42" s="927">
        <v>250</v>
      </c>
      <c r="K42" s="927">
        <v>2</v>
      </c>
      <c r="L42" s="927"/>
      <c r="M42" s="927"/>
      <c r="N42" s="938">
        <v>0</v>
      </c>
      <c r="O42" s="1526">
        <v>110206</v>
      </c>
      <c r="P42" s="1526">
        <v>94162</v>
      </c>
      <c r="Q42" s="834">
        <v>0</v>
      </c>
      <c r="R42" s="927">
        <f>125*1.35*Chiler_Price[[#This Row],[NO. of Cond Coils]]</f>
        <v>2362.5</v>
      </c>
      <c r="S42" s="929">
        <f>Chiler_Price[[#This Row],[Cond. Coils Area (FT)]]*4*Naming!$M$62</f>
        <v>37739.519999999997</v>
      </c>
      <c r="T42" s="929">
        <f>5*Chiler_Price[[#This Row],[Cond. Coils Area (FT)]]</f>
        <v>2106</v>
      </c>
      <c r="U42" s="929">
        <f>7*Chiler_Price[[#This Row],[Cond. Coils Area (FT)]]</f>
        <v>2948.4</v>
      </c>
      <c r="V42" s="928">
        <f>Chiler_Price[[#This Row],[Cond. Coils Area (FT)]]*Naming!$I$93</f>
        <v>8002.8</v>
      </c>
      <c r="W42" s="930">
        <f>Chiler_Price[[#This Row],[Cond. Coils Area (FT)]]*Naming!$I$96</f>
        <v>11203.92</v>
      </c>
      <c r="X42" s="928">
        <f>1.5*Chiler_Price[[#This Row],[Cond. Coils Area (FT)]]</f>
        <v>631.79999999999995</v>
      </c>
      <c r="Y42" s="927">
        <f>1500*1.35*Chiler_Price[[#This Row],[NO. Of Compressors]]</f>
        <v>4050.0000000000005</v>
      </c>
      <c r="Z42" s="927">
        <f>400*1.35*Chiler_Price[[#This Row],[NO. Of Compressors]]</f>
        <v>1080</v>
      </c>
      <c r="AA42" s="927">
        <f>650*1.35*Chiler_Price[[#This Row],[NO. Of Evap. Cooler ]]</f>
        <v>877.50000000000011</v>
      </c>
      <c r="AB42" s="927">
        <f>650*4*1.35*Chiler_Price[[#This Row],[NO. Of Evap. Cooler ]]</f>
        <v>3510.0000000000005</v>
      </c>
      <c r="AC42" s="927">
        <f>560*1.35*Chiler_Price[[#This Row],[NO. Of Evap. Cooler ]]</f>
        <v>756</v>
      </c>
      <c r="AD42" s="832">
        <v>0</v>
      </c>
      <c r="AE42" s="927">
        <f>700*1.35*Chiler_Price[[#This Row],[NO. Of Compressors]]</f>
        <v>1890.0000000000002</v>
      </c>
      <c r="AF42" s="927">
        <f>100*1.35*Chiler_Price[[#This Row],[NO. Of Compressors]]</f>
        <v>270</v>
      </c>
      <c r="AG42" s="927">
        <f>100*1.35*Chiler_Price[[#This Row],[NO. Of Compressors]]</f>
        <v>270</v>
      </c>
      <c r="AH42" s="927">
        <f>600*1.35*Chiler_Price[[#This Row],[NO. Of Compressors]]</f>
        <v>1620</v>
      </c>
      <c r="AI42" s="927">
        <v>405</v>
      </c>
      <c r="AJ42" s="948">
        <v>0</v>
      </c>
      <c r="AK42" s="927">
        <f>Chiler_Price[[#This Row],[NO. of Cond. Fans]]*62*1.1*1.35</f>
        <v>1288.9800000000002</v>
      </c>
      <c r="AL42" s="927">
        <f>450*1.35*Chiler_Price[[#This Row],[NO. Of Compressors]]</f>
        <v>1215</v>
      </c>
      <c r="AM42" s="927">
        <f>Chiler_Price[[#This Row],[NO. of Cond. Fans]]*62*1.1*1.35</f>
        <v>1288.9800000000002</v>
      </c>
      <c r="AN42" s="927">
        <f t="shared" si="0"/>
        <v>1282.5</v>
      </c>
      <c r="AO42" s="927">
        <f t="shared" si="1"/>
        <v>1.3515999999999999</v>
      </c>
      <c r="AP42" s="927">
        <f t="shared" si="2"/>
        <v>2430</v>
      </c>
      <c r="AQ42" s="927">
        <f>560*1.35*Chiler_Price[[#This Row],[NO. Of Evap. Cooler ]]</f>
        <v>756</v>
      </c>
      <c r="AR42" s="927">
        <f>100*1.35*Chiler_Price[[#This Row],[NO. Of Evap. Cooler ]]</f>
        <v>135</v>
      </c>
      <c r="AS42" s="944">
        <v>286</v>
      </c>
      <c r="AT42" s="712"/>
      <c r="AU42" s="712"/>
      <c r="BC42" s="712"/>
      <c r="BD42" s="712"/>
      <c r="BE42" s="712"/>
      <c r="BF42" s="712"/>
      <c r="BG42" s="712"/>
      <c r="BI42" s="712"/>
    </row>
    <row r="43" spans="1:61" ht="16.5" thickBot="1">
      <c r="A43" s="939" t="s">
        <v>1938</v>
      </c>
      <c r="B43" s="940">
        <v>0</v>
      </c>
      <c r="C43" s="927" t="s">
        <v>1938</v>
      </c>
      <c r="D43" s="936">
        <v>0</v>
      </c>
      <c r="E43" s="927">
        <v>14</v>
      </c>
      <c r="F43" s="927">
        <v>421.2</v>
      </c>
      <c r="G43" s="927">
        <v>3</v>
      </c>
      <c r="H43" s="927">
        <v>1</v>
      </c>
      <c r="I43" s="927">
        <f>Chiler_Price[[#This Row],[NO. of Cond Coils]]</f>
        <v>14</v>
      </c>
      <c r="J43" s="927">
        <v>160</v>
      </c>
      <c r="K43" s="927">
        <v>2</v>
      </c>
      <c r="L43" s="927">
        <v>190</v>
      </c>
      <c r="M43" s="927">
        <v>1</v>
      </c>
      <c r="N43" s="938">
        <v>0</v>
      </c>
      <c r="O43" s="1526">
        <v>120380</v>
      </c>
      <c r="P43" s="1526">
        <v>104194</v>
      </c>
      <c r="Q43" s="834">
        <v>0</v>
      </c>
      <c r="R43" s="927">
        <f>125*1.35*Chiler_Price[[#This Row],[NO. of Cond Coils]]</f>
        <v>2362.5</v>
      </c>
      <c r="S43" s="929">
        <f>Chiler_Price[[#This Row],[Cond. Coils Area (FT)]]*4*Naming!$M$62</f>
        <v>37739.519999999997</v>
      </c>
      <c r="T43" s="929">
        <f>5*Chiler_Price[[#This Row],[Cond. Coils Area (FT)]]</f>
        <v>2106</v>
      </c>
      <c r="U43" s="929">
        <f>7*Chiler_Price[[#This Row],[Cond. Coils Area (FT)]]</f>
        <v>2948.4</v>
      </c>
      <c r="V43" s="928">
        <f>Chiler_Price[[#This Row],[Cond. Coils Area (FT)]]*Naming!$I$93</f>
        <v>8002.8</v>
      </c>
      <c r="W43" s="930">
        <f>Chiler_Price[[#This Row],[Cond. Coils Area (FT)]]*Naming!$I$96</f>
        <v>11203.92</v>
      </c>
      <c r="X43" s="928">
        <f>1.5*Chiler_Price[[#This Row],[Cond. Coils Area (FT)]]</f>
        <v>631.79999999999995</v>
      </c>
      <c r="Y43" s="927">
        <f>1500*1.35*Chiler_Price[[#This Row],[NO. Of Compressors]]</f>
        <v>6075.0000000000009</v>
      </c>
      <c r="Z43" s="927">
        <f>400*1.35*Chiler_Price[[#This Row],[NO. Of Compressors]]</f>
        <v>1620</v>
      </c>
      <c r="AA43" s="927">
        <f>650*1.35*Chiler_Price[[#This Row],[NO. Of Evap. Cooler ]]</f>
        <v>877.50000000000011</v>
      </c>
      <c r="AB43" s="927">
        <f>650*4*1.35*Chiler_Price[[#This Row],[NO. Of Evap. Cooler ]]</f>
        <v>3510.0000000000005</v>
      </c>
      <c r="AC43" s="927">
        <f>560*1.35*Chiler_Price[[#This Row],[NO. Of Evap. Cooler ]]</f>
        <v>756</v>
      </c>
      <c r="AD43" s="832">
        <v>0</v>
      </c>
      <c r="AE43" s="927">
        <f>700*1.35*Chiler_Price[[#This Row],[NO. Of Compressors]]</f>
        <v>2835.0000000000005</v>
      </c>
      <c r="AF43" s="927">
        <f>100*1.35*Chiler_Price[[#This Row],[NO. Of Compressors]]</f>
        <v>405</v>
      </c>
      <c r="AG43" s="927">
        <f>100*1.35*Chiler_Price[[#This Row],[NO. Of Compressors]]</f>
        <v>405</v>
      </c>
      <c r="AH43" s="927">
        <f>600*1.35*Chiler_Price[[#This Row],[NO. Of Compressors]]</f>
        <v>2430</v>
      </c>
      <c r="AI43" s="927">
        <v>405</v>
      </c>
      <c r="AJ43" s="948">
        <v>0</v>
      </c>
      <c r="AK43" s="927">
        <f>Chiler_Price[[#This Row],[NO. of Cond. Fans]]*62*1.1*1.35</f>
        <v>1288.9800000000002</v>
      </c>
      <c r="AL43" s="927">
        <f>450*1.35*Chiler_Price[[#This Row],[NO. Of Compressors]]</f>
        <v>1822.5</v>
      </c>
      <c r="AM43" s="927">
        <f>Chiler_Price[[#This Row],[NO. of Cond. Fans]]*62*1.1*1.35</f>
        <v>1288.9800000000002</v>
      </c>
      <c r="AN43" s="927">
        <f t="shared" si="0"/>
        <v>1282.5</v>
      </c>
      <c r="AO43" s="927">
        <f t="shared" si="1"/>
        <v>1.3515999999999999</v>
      </c>
      <c r="AP43" s="927">
        <f t="shared" si="2"/>
        <v>2430</v>
      </c>
      <c r="AQ43" s="927">
        <f>560*1.35*Chiler_Price[[#This Row],[NO. Of Evap. Cooler ]]</f>
        <v>756</v>
      </c>
      <c r="AR43" s="927">
        <f>100*1.35*Chiler_Price[[#This Row],[NO. Of Evap. Cooler ]]</f>
        <v>135</v>
      </c>
      <c r="AS43" s="944">
        <v>286</v>
      </c>
      <c r="AT43" s="712"/>
      <c r="AU43" s="712"/>
      <c r="BC43" s="712"/>
      <c r="BD43" s="712"/>
      <c r="BE43" s="712"/>
      <c r="BF43" s="712"/>
      <c r="BG43" s="712"/>
      <c r="BI43" s="712"/>
    </row>
    <row r="44" spans="1:61" ht="16.5" thickBot="1">
      <c r="A44" s="939" t="s">
        <v>1939</v>
      </c>
      <c r="B44" s="940" t="s">
        <v>1940</v>
      </c>
      <c r="C44" s="927" t="s">
        <v>1941</v>
      </c>
      <c r="D44" s="936">
        <v>0</v>
      </c>
      <c r="E44" s="927">
        <v>16</v>
      </c>
      <c r="F44" s="927">
        <v>481.3</v>
      </c>
      <c r="G44" s="927">
        <v>3</v>
      </c>
      <c r="H44" s="927">
        <v>1</v>
      </c>
      <c r="I44" s="927">
        <f>Chiler_Price[[#This Row],[NO. of Cond Coils]]</f>
        <v>16</v>
      </c>
      <c r="J44" s="927">
        <v>160</v>
      </c>
      <c r="K44" s="927">
        <v>2</v>
      </c>
      <c r="L44" s="927">
        <v>190</v>
      </c>
      <c r="M44" s="927">
        <v>1</v>
      </c>
      <c r="N44" s="938">
        <v>0</v>
      </c>
      <c r="O44" s="1526">
        <v>126598</v>
      </c>
      <c r="P44" s="1526">
        <v>108253</v>
      </c>
      <c r="Q44" s="834">
        <v>0</v>
      </c>
      <c r="R44" s="927">
        <f>125*1.35*Chiler_Price[[#This Row],[NO. of Cond Coils]]</f>
        <v>2700</v>
      </c>
      <c r="S44" s="929">
        <f>Chiler_Price[[#This Row],[Cond. Coils Area (FT)]]*4*Naming!$M$62</f>
        <v>43124.479999999996</v>
      </c>
      <c r="T44" s="929">
        <f>5*Chiler_Price[[#This Row],[Cond. Coils Area (FT)]]</f>
        <v>2406.5</v>
      </c>
      <c r="U44" s="929">
        <f>7*Chiler_Price[[#This Row],[Cond. Coils Area (FT)]]</f>
        <v>3369.1</v>
      </c>
      <c r="V44" s="928">
        <f>Chiler_Price[[#This Row],[Cond. Coils Area (FT)]]*Naming!$I$93</f>
        <v>9144.7000000000007</v>
      </c>
      <c r="W44" s="930">
        <f>Chiler_Price[[#This Row],[Cond. Coils Area (FT)]]*Naming!$I$96</f>
        <v>12802.580000000002</v>
      </c>
      <c r="X44" s="928">
        <f>1.5*Chiler_Price[[#This Row],[Cond. Coils Area (FT)]]</f>
        <v>721.95</v>
      </c>
      <c r="Y44" s="927">
        <f>1500*1.35*Chiler_Price[[#This Row],[NO. Of Compressors]]</f>
        <v>6075.0000000000009</v>
      </c>
      <c r="Z44" s="927">
        <f>400*1.35*Chiler_Price[[#This Row],[NO. Of Compressors]]</f>
        <v>1620</v>
      </c>
      <c r="AA44" s="927">
        <f>650*1.35*Chiler_Price[[#This Row],[NO. Of Evap. Cooler ]]</f>
        <v>877.50000000000011</v>
      </c>
      <c r="AB44" s="927">
        <f>650*4*1.35*Chiler_Price[[#This Row],[NO. Of Evap. Cooler ]]</f>
        <v>3510.0000000000005</v>
      </c>
      <c r="AC44" s="927">
        <f>560*1.35*Chiler_Price[[#This Row],[NO. Of Evap. Cooler ]]</f>
        <v>756</v>
      </c>
      <c r="AD44" s="832">
        <v>0</v>
      </c>
      <c r="AE44" s="927">
        <f>700*1.35*Chiler_Price[[#This Row],[NO. Of Compressors]]</f>
        <v>2835.0000000000005</v>
      </c>
      <c r="AF44" s="927">
        <f>100*1.35*Chiler_Price[[#This Row],[NO. Of Compressors]]</f>
        <v>405</v>
      </c>
      <c r="AG44" s="927">
        <f>100*1.35*Chiler_Price[[#This Row],[NO. Of Compressors]]</f>
        <v>405</v>
      </c>
      <c r="AH44" s="927">
        <f>600*1.35*Chiler_Price[[#This Row],[NO. Of Compressors]]</f>
        <v>2430</v>
      </c>
      <c r="AI44" s="927">
        <v>405</v>
      </c>
      <c r="AJ44" s="948">
        <v>0</v>
      </c>
      <c r="AK44" s="927">
        <f>Chiler_Price[[#This Row],[NO. of Cond. Fans]]*62*1.1*1.35</f>
        <v>1473.1200000000001</v>
      </c>
      <c r="AL44" s="927">
        <f>450*1.35*Chiler_Price[[#This Row],[NO. Of Compressors]]</f>
        <v>1822.5</v>
      </c>
      <c r="AM44" s="927">
        <f>Chiler_Price[[#This Row],[NO. of Cond. Fans]]*62*1.1*1.35</f>
        <v>1473.1200000000001</v>
      </c>
      <c r="AN44" s="927">
        <f t="shared" si="0"/>
        <v>1282.5</v>
      </c>
      <c r="AO44" s="927">
        <f t="shared" si="1"/>
        <v>1.3515999999999999</v>
      </c>
      <c r="AP44" s="927">
        <f t="shared" si="2"/>
        <v>2430</v>
      </c>
      <c r="AQ44" s="927">
        <f>560*1.35*Chiler_Price[[#This Row],[NO. Of Evap. Cooler ]]</f>
        <v>756</v>
      </c>
      <c r="AR44" s="927">
        <f>100*1.35*Chiler_Price[[#This Row],[NO. Of Evap. Cooler ]]</f>
        <v>135</v>
      </c>
      <c r="AS44" s="944">
        <v>286</v>
      </c>
      <c r="AT44" s="712"/>
      <c r="AU44" s="712"/>
      <c r="BC44" s="712"/>
      <c r="BD44" s="712"/>
      <c r="BE44" s="712"/>
      <c r="BF44" s="712"/>
      <c r="BG44" s="712"/>
      <c r="BI44" s="712"/>
    </row>
    <row r="45" spans="1:61" ht="16.5" thickBot="1">
      <c r="A45" s="939" t="s">
        <v>1942</v>
      </c>
      <c r="B45" s="940" t="s">
        <v>1943</v>
      </c>
      <c r="C45" s="927" t="s">
        <v>1942</v>
      </c>
      <c r="D45" s="936">
        <v>0</v>
      </c>
      <c r="E45" s="927">
        <v>14</v>
      </c>
      <c r="F45" s="927">
        <v>421.2</v>
      </c>
      <c r="G45" s="927">
        <v>3</v>
      </c>
      <c r="H45" s="927">
        <v>1</v>
      </c>
      <c r="I45" s="927">
        <f>Chiler_Price[[#This Row],[NO. of Cond Coils]]</f>
        <v>14</v>
      </c>
      <c r="J45" s="927">
        <v>160</v>
      </c>
      <c r="K45" s="927">
        <v>1</v>
      </c>
      <c r="L45" s="927">
        <v>190</v>
      </c>
      <c r="M45" s="927">
        <v>2</v>
      </c>
      <c r="N45" s="938">
        <v>0</v>
      </c>
      <c r="O45" s="1526">
        <v>125173</v>
      </c>
      <c r="P45" s="1526">
        <v>108920</v>
      </c>
      <c r="Q45" s="834">
        <v>0</v>
      </c>
      <c r="R45" s="927">
        <f>125*1.35*Chiler_Price[[#This Row],[NO. of Cond Coils]]</f>
        <v>2362.5</v>
      </c>
      <c r="S45" s="929">
        <f>Chiler_Price[[#This Row],[Cond. Coils Area (FT)]]*4*Naming!$M$62</f>
        <v>37739.519999999997</v>
      </c>
      <c r="T45" s="929">
        <f>5*Chiler_Price[[#This Row],[Cond. Coils Area (FT)]]</f>
        <v>2106</v>
      </c>
      <c r="U45" s="929">
        <f>7*Chiler_Price[[#This Row],[Cond. Coils Area (FT)]]</f>
        <v>2948.4</v>
      </c>
      <c r="V45" s="928">
        <f>Chiler_Price[[#This Row],[Cond. Coils Area (FT)]]*Naming!$I$93</f>
        <v>8002.8</v>
      </c>
      <c r="W45" s="930">
        <f>Chiler_Price[[#This Row],[Cond. Coils Area (FT)]]*Naming!$I$96</f>
        <v>11203.92</v>
      </c>
      <c r="X45" s="928">
        <f>1.5*Chiler_Price[[#This Row],[Cond. Coils Area (FT)]]</f>
        <v>631.79999999999995</v>
      </c>
      <c r="Y45" s="927">
        <f>1500*1.35*Chiler_Price[[#This Row],[NO. Of Compressors]]</f>
        <v>6075.0000000000009</v>
      </c>
      <c r="Z45" s="927">
        <f>400*1.35*Chiler_Price[[#This Row],[NO. Of Compressors]]</f>
        <v>1620</v>
      </c>
      <c r="AA45" s="927">
        <f>650*1.35*Chiler_Price[[#This Row],[NO. Of Evap. Cooler ]]</f>
        <v>877.50000000000011</v>
      </c>
      <c r="AB45" s="927">
        <f>650*4*1.35*Chiler_Price[[#This Row],[NO. Of Evap. Cooler ]]</f>
        <v>3510.0000000000005</v>
      </c>
      <c r="AC45" s="927">
        <f>560*1.35*Chiler_Price[[#This Row],[NO. Of Evap. Cooler ]]</f>
        <v>756</v>
      </c>
      <c r="AD45" s="832">
        <v>0</v>
      </c>
      <c r="AE45" s="927">
        <f>700*1.35*Chiler_Price[[#This Row],[NO. Of Compressors]]</f>
        <v>2835.0000000000005</v>
      </c>
      <c r="AF45" s="927">
        <f>100*1.35*Chiler_Price[[#This Row],[NO. Of Compressors]]</f>
        <v>405</v>
      </c>
      <c r="AG45" s="927">
        <f>100*1.35*Chiler_Price[[#This Row],[NO. Of Compressors]]</f>
        <v>405</v>
      </c>
      <c r="AH45" s="927">
        <f>600*1.35*Chiler_Price[[#This Row],[NO. Of Compressors]]</f>
        <v>2430</v>
      </c>
      <c r="AI45" s="927">
        <v>405</v>
      </c>
      <c r="AJ45" s="948">
        <v>0</v>
      </c>
      <c r="AK45" s="927">
        <f>Chiler_Price[[#This Row],[NO. of Cond. Fans]]*62*1.1*1.35</f>
        <v>1288.9800000000002</v>
      </c>
      <c r="AL45" s="927">
        <f>450*1.35*Chiler_Price[[#This Row],[NO. Of Compressors]]</f>
        <v>1822.5</v>
      </c>
      <c r="AM45" s="927">
        <f>Chiler_Price[[#This Row],[NO. of Cond. Fans]]*62*1.1*1.35</f>
        <v>1288.9800000000002</v>
      </c>
      <c r="AN45" s="927">
        <f t="shared" si="0"/>
        <v>1282.5</v>
      </c>
      <c r="AO45" s="927">
        <f t="shared" si="1"/>
        <v>1.3515999999999999</v>
      </c>
      <c r="AP45" s="927">
        <f t="shared" si="2"/>
        <v>2430</v>
      </c>
      <c r="AQ45" s="927">
        <f>560*1.35*Chiler_Price[[#This Row],[NO. Of Evap. Cooler ]]</f>
        <v>756</v>
      </c>
      <c r="AR45" s="927">
        <f>100*1.35*Chiler_Price[[#This Row],[NO. Of Evap. Cooler ]]</f>
        <v>135</v>
      </c>
      <c r="AS45" s="944">
        <v>286</v>
      </c>
      <c r="AT45" s="712"/>
      <c r="AU45" s="712"/>
      <c r="BC45" s="712"/>
      <c r="BD45" s="712"/>
      <c r="BE45" s="712"/>
      <c r="BF45" s="712"/>
      <c r="BG45" s="712"/>
      <c r="BI45" s="712"/>
    </row>
    <row r="46" spans="1:61" ht="16.5" thickBot="1">
      <c r="A46" s="939" t="s">
        <v>1944</v>
      </c>
      <c r="B46" s="940" t="s">
        <v>1945</v>
      </c>
      <c r="C46" s="927" t="s">
        <v>1944</v>
      </c>
      <c r="D46" s="936">
        <v>0</v>
      </c>
      <c r="E46" s="927">
        <v>16</v>
      </c>
      <c r="F46" s="927">
        <v>481.3</v>
      </c>
      <c r="G46" s="927">
        <v>3</v>
      </c>
      <c r="H46" s="927">
        <v>1</v>
      </c>
      <c r="I46" s="927">
        <f>Chiler_Price[[#This Row],[NO. of Cond Coils]]</f>
        <v>16</v>
      </c>
      <c r="J46" s="927">
        <v>190</v>
      </c>
      <c r="K46" s="927">
        <v>3</v>
      </c>
      <c r="L46" s="927"/>
      <c r="M46" s="927"/>
      <c r="N46" s="938">
        <v>0</v>
      </c>
      <c r="O46" s="1526">
        <v>136810</v>
      </c>
      <c r="P46" s="1526">
        <v>118323</v>
      </c>
      <c r="Q46" s="834">
        <v>0</v>
      </c>
      <c r="R46" s="927">
        <f>125*1.35*Chiler_Price[[#This Row],[NO. of Cond Coils]]</f>
        <v>2700</v>
      </c>
      <c r="S46" s="929">
        <f>Chiler_Price[[#This Row],[Cond. Coils Area (FT)]]*4*Naming!$M$62</f>
        <v>43124.479999999996</v>
      </c>
      <c r="T46" s="929">
        <f>5*Chiler_Price[[#This Row],[Cond. Coils Area (FT)]]</f>
        <v>2406.5</v>
      </c>
      <c r="U46" s="929">
        <f>7*Chiler_Price[[#This Row],[Cond. Coils Area (FT)]]</f>
        <v>3369.1</v>
      </c>
      <c r="V46" s="928">
        <f>Chiler_Price[[#This Row],[Cond. Coils Area (FT)]]*Naming!$I$93</f>
        <v>9144.7000000000007</v>
      </c>
      <c r="W46" s="930">
        <f>Chiler_Price[[#This Row],[Cond. Coils Area (FT)]]*Naming!$I$96</f>
        <v>12802.580000000002</v>
      </c>
      <c r="X46" s="928">
        <f>1.5*Chiler_Price[[#This Row],[Cond. Coils Area (FT)]]</f>
        <v>721.95</v>
      </c>
      <c r="Y46" s="927">
        <f>1500*1.35*Chiler_Price[[#This Row],[NO. Of Compressors]]</f>
        <v>6075.0000000000009</v>
      </c>
      <c r="Z46" s="927">
        <f>400*1.35*Chiler_Price[[#This Row],[NO. Of Compressors]]</f>
        <v>1620</v>
      </c>
      <c r="AA46" s="927">
        <f>650*1.35*Chiler_Price[[#This Row],[NO. Of Evap. Cooler ]]</f>
        <v>877.50000000000011</v>
      </c>
      <c r="AB46" s="927">
        <f>650*4*1.35*Chiler_Price[[#This Row],[NO. Of Evap. Cooler ]]</f>
        <v>3510.0000000000005</v>
      </c>
      <c r="AC46" s="927">
        <f>560*1.35*Chiler_Price[[#This Row],[NO. Of Evap. Cooler ]]</f>
        <v>756</v>
      </c>
      <c r="AD46" s="832">
        <v>0</v>
      </c>
      <c r="AE46" s="927">
        <f>700*1.35*Chiler_Price[[#This Row],[NO. Of Compressors]]</f>
        <v>2835.0000000000005</v>
      </c>
      <c r="AF46" s="927">
        <f>100*1.35*Chiler_Price[[#This Row],[NO. Of Compressors]]</f>
        <v>405</v>
      </c>
      <c r="AG46" s="927">
        <f>100*1.35*Chiler_Price[[#This Row],[NO. Of Compressors]]</f>
        <v>405</v>
      </c>
      <c r="AH46" s="927">
        <f>600*1.35*Chiler_Price[[#This Row],[NO. Of Compressors]]</f>
        <v>2430</v>
      </c>
      <c r="AI46" s="927">
        <v>405</v>
      </c>
      <c r="AJ46" s="948">
        <v>0</v>
      </c>
      <c r="AK46" s="927">
        <f>Chiler_Price[[#This Row],[NO. of Cond. Fans]]*62*1.1*1.35</f>
        <v>1473.1200000000001</v>
      </c>
      <c r="AL46" s="927">
        <f>450*1.35*Chiler_Price[[#This Row],[NO. Of Compressors]]</f>
        <v>1822.5</v>
      </c>
      <c r="AM46" s="927">
        <f>Chiler_Price[[#This Row],[NO. of Cond. Fans]]*62*1.1*1.35</f>
        <v>1473.1200000000001</v>
      </c>
      <c r="AN46" s="927">
        <f t="shared" si="0"/>
        <v>1282.5</v>
      </c>
      <c r="AO46" s="927">
        <f t="shared" si="1"/>
        <v>1.3515999999999999</v>
      </c>
      <c r="AP46" s="927">
        <f t="shared" si="2"/>
        <v>2430</v>
      </c>
      <c r="AQ46" s="927">
        <f>560*1.35*Chiler_Price[[#This Row],[NO. Of Evap. Cooler ]]</f>
        <v>756</v>
      </c>
      <c r="AR46" s="927">
        <f>100*1.35*Chiler_Price[[#This Row],[NO. Of Evap. Cooler ]]</f>
        <v>135</v>
      </c>
      <c r="AS46" s="944">
        <v>286</v>
      </c>
      <c r="AT46" s="712"/>
      <c r="AU46" s="712"/>
      <c r="BC46" s="712"/>
      <c r="BD46" s="712"/>
      <c r="BE46" s="712"/>
      <c r="BF46" s="712"/>
      <c r="BG46" s="712"/>
      <c r="BI46" s="712"/>
    </row>
    <row r="47" spans="1:61" ht="16.5" thickBot="1">
      <c r="A47" s="939" t="s">
        <v>1946</v>
      </c>
      <c r="B47" s="940" t="s">
        <v>1947</v>
      </c>
      <c r="C47" s="927" t="s">
        <v>1946</v>
      </c>
      <c r="D47" s="936">
        <v>0</v>
      </c>
      <c r="E47" s="927">
        <v>16</v>
      </c>
      <c r="F47" s="927">
        <v>481.3</v>
      </c>
      <c r="G47" s="927">
        <v>3</v>
      </c>
      <c r="H47" s="927">
        <v>1</v>
      </c>
      <c r="I47" s="927">
        <f>Chiler_Price[[#This Row],[NO. of Cond Coils]]</f>
        <v>16</v>
      </c>
      <c r="J47" s="927">
        <v>210</v>
      </c>
      <c r="K47" s="927">
        <v>3</v>
      </c>
      <c r="L47" s="927"/>
      <c r="M47" s="927"/>
      <c r="N47" s="938">
        <v>0</v>
      </c>
      <c r="O47" s="1526">
        <v>138804</v>
      </c>
      <c r="P47" s="1526">
        <v>120289</v>
      </c>
      <c r="Q47" s="834">
        <v>0</v>
      </c>
      <c r="R47" s="927">
        <f>125*1.35*Chiler_Price[[#This Row],[NO. of Cond Coils]]</f>
        <v>2700</v>
      </c>
      <c r="S47" s="929">
        <f>Chiler_Price[[#This Row],[Cond. Coils Area (FT)]]*4*Naming!$M$62</f>
        <v>43124.479999999996</v>
      </c>
      <c r="T47" s="929">
        <f>5*Chiler_Price[[#This Row],[Cond. Coils Area (FT)]]</f>
        <v>2406.5</v>
      </c>
      <c r="U47" s="929">
        <f>7*Chiler_Price[[#This Row],[Cond. Coils Area (FT)]]</f>
        <v>3369.1</v>
      </c>
      <c r="V47" s="928">
        <f>Chiler_Price[[#This Row],[Cond. Coils Area (FT)]]*Naming!$I$93</f>
        <v>9144.7000000000007</v>
      </c>
      <c r="W47" s="930">
        <f>Chiler_Price[[#This Row],[Cond. Coils Area (FT)]]*Naming!$I$96</f>
        <v>12802.580000000002</v>
      </c>
      <c r="X47" s="928">
        <f>1.5*Chiler_Price[[#This Row],[Cond. Coils Area (FT)]]</f>
        <v>721.95</v>
      </c>
      <c r="Y47" s="927">
        <f>1500*1.35*Chiler_Price[[#This Row],[NO. Of Compressors]]</f>
        <v>6075.0000000000009</v>
      </c>
      <c r="Z47" s="927">
        <f>400*1.35*Chiler_Price[[#This Row],[NO. Of Compressors]]</f>
        <v>1620</v>
      </c>
      <c r="AA47" s="927">
        <f>650*1.35*Chiler_Price[[#This Row],[NO. Of Evap. Cooler ]]</f>
        <v>877.50000000000011</v>
      </c>
      <c r="AB47" s="927">
        <f>650*4*1.35*Chiler_Price[[#This Row],[NO. Of Evap. Cooler ]]</f>
        <v>3510.0000000000005</v>
      </c>
      <c r="AC47" s="927">
        <f>560*1.35*Chiler_Price[[#This Row],[NO. Of Evap. Cooler ]]</f>
        <v>756</v>
      </c>
      <c r="AD47" s="832">
        <v>0</v>
      </c>
      <c r="AE47" s="927">
        <f>700*1.35*Chiler_Price[[#This Row],[NO. Of Compressors]]</f>
        <v>2835.0000000000005</v>
      </c>
      <c r="AF47" s="927">
        <f>100*1.35*Chiler_Price[[#This Row],[NO. Of Compressors]]</f>
        <v>405</v>
      </c>
      <c r="AG47" s="927">
        <f>100*1.35*Chiler_Price[[#This Row],[NO. Of Compressors]]</f>
        <v>405</v>
      </c>
      <c r="AH47" s="927">
        <f>600*1.35*Chiler_Price[[#This Row],[NO. Of Compressors]]</f>
        <v>2430</v>
      </c>
      <c r="AI47" s="927">
        <v>405</v>
      </c>
      <c r="AJ47" s="948">
        <v>0</v>
      </c>
      <c r="AK47" s="927">
        <f>Chiler_Price[[#This Row],[NO. of Cond. Fans]]*62*1.1*1.35</f>
        <v>1473.1200000000001</v>
      </c>
      <c r="AL47" s="927">
        <f>450*1.35*Chiler_Price[[#This Row],[NO. Of Compressors]]</f>
        <v>1822.5</v>
      </c>
      <c r="AM47" s="927">
        <f>Chiler_Price[[#This Row],[NO. of Cond. Fans]]*62*1.1*1.35</f>
        <v>1473.1200000000001</v>
      </c>
      <c r="AN47" s="927">
        <f t="shared" si="0"/>
        <v>1282.5</v>
      </c>
      <c r="AO47" s="927">
        <f t="shared" si="1"/>
        <v>1.3515999999999999</v>
      </c>
      <c r="AP47" s="927">
        <f t="shared" si="2"/>
        <v>2430</v>
      </c>
      <c r="AQ47" s="927">
        <f>560*1.35*Chiler_Price[[#This Row],[NO. Of Evap. Cooler ]]</f>
        <v>756</v>
      </c>
      <c r="AR47" s="927">
        <f>100*1.35*Chiler_Price[[#This Row],[NO. Of Evap. Cooler ]]</f>
        <v>135</v>
      </c>
      <c r="AS47" s="944">
        <v>286</v>
      </c>
      <c r="AT47" s="712"/>
      <c r="AU47" s="712"/>
      <c r="BC47" s="712"/>
      <c r="BD47" s="712"/>
      <c r="BE47" s="712"/>
      <c r="BF47" s="712"/>
      <c r="BG47" s="712"/>
      <c r="BI47" s="712"/>
    </row>
    <row r="48" spans="1:61" ht="16.5" thickBot="1">
      <c r="A48" s="939" t="s">
        <v>1948</v>
      </c>
      <c r="B48" s="940" t="s">
        <v>1949</v>
      </c>
      <c r="C48" s="927" t="s">
        <v>1948</v>
      </c>
      <c r="D48" s="936">
        <v>0</v>
      </c>
      <c r="E48" s="927">
        <v>18</v>
      </c>
      <c r="F48" s="927">
        <v>541.5</v>
      </c>
      <c r="G48" s="927">
        <v>3</v>
      </c>
      <c r="H48" s="927">
        <v>1</v>
      </c>
      <c r="I48" s="927">
        <f>Chiler_Price[[#This Row],[NO. of Cond Coils]]</f>
        <v>18</v>
      </c>
      <c r="J48" s="927">
        <v>210</v>
      </c>
      <c r="K48" s="927">
        <v>3</v>
      </c>
      <c r="L48" s="927"/>
      <c r="M48" s="927"/>
      <c r="N48" s="938">
        <v>0</v>
      </c>
      <c r="O48" s="1526">
        <v>144995</v>
      </c>
      <c r="P48" s="1526">
        <v>124321</v>
      </c>
      <c r="Q48" s="834">
        <v>0</v>
      </c>
      <c r="R48" s="927">
        <f>125*1.35*Chiler_Price[[#This Row],[NO. of Cond Coils]]</f>
        <v>3037.5</v>
      </c>
      <c r="S48" s="929">
        <f>Chiler_Price[[#This Row],[Cond. Coils Area (FT)]]*4*Naming!$M$62</f>
        <v>48518.399999999994</v>
      </c>
      <c r="T48" s="929">
        <f>5*Chiler_Price[[#This Row],[Cond. Coils Area (FT)]]</f>
        <v>2707.5</v>
      </c>
      <c r="U48" s="929">
        <f>7*Chiler_Price[[#This Row],[Cond. Coils Area (FT)]]</f>
        <v>3790.5</v>
      </c>
      <c r="V48" s="928">
        <f>Chiler_Price[[#This Row],[Cond. Coils Area (FT)]]*Naming!$I$93</f>
        <v>10288.5</v>
      </c>
      <c r="W48" s="930">
        <f>Chiler_Price[[#This Row],[Cond. Coils Area (FT)]]*Naming!$I$96</f>
        <v>14403.900000000001</v>
      </c>
      <c r="X48" s="928">
        <f>1.5*Chiler_Price[[#This Row],[Cond. Coils Area (FT)]]</f>
        <v>812.25</v>
      </c>
      <c r="Y48" s="927">
        <f>1500*1.35*Chiler_Price[[#This Row],[NO. Of Compressors]]</f>
        <v>6075.0000000000009</v>
      </c>
      <c r="Z48" s="927">
        <f>400*1.35*Chiler_Price[[#This Row],[NO. Of Compressors]]</f>
        <v>1620</v>
      </c>
      <c r="AA48" s="927">
        <f>650*1.35*Chiler_Price[[#This Row],[NO. Of Evap. Cooler ]]</f>
        <v>877.50000000000011</v>
      </c>
      <c r="AB48" s="927">
        <f>650*4*1.35*Chiler_Price[[#This Row],[NO. Of Evap. Cooler ]]</f>
        <v>3510.0000000000005</v>
      </c>
      <c r="AC48" s="927">
        <f>560*1.35*Chiler_Price[[#This Row],[NO. Of Evap. Cooler ]]</f>
        <v>756</v>
      </c>
      <c r="AD48" s="832">
        <v>0</v>
      </c>
      <c r="AE48" s="927">
        <f>700*1.35*Chiler_Price[[#This Row],[NO. Of Compressors]]</f>
        <v>2835.0000000000005</v>
      </c>
      <c r="AF48" s="927">
        <f>100*1.35*Chiler_Price[[#This Row],[NO. Of Compressors]]</f>
        <v>405</v>
      </c>
      <c r="AG48" s="927">
        <f>100*1.35*Chiler_Price[[#This Row],[NO. Of Compressors]]</f>
        <v>405</v>
      </c>
      <c r="AH48" s="927">
        <f>600*1.35*Chiler_Price[[#This Row],[NO. Of Compressors]]</f>
        <v>2430</v>
      </c>
      <c r="AI48" s="927">
        <v>405</v>
      </c>
      <c r="AJ48" s="948">
        <v>0</v>
      </c>
      <c r="AK48" s="927">
        <f>Chiler_Price[[#This Row],[NO. of Cond. Fans]]*62*1.1*1.35</f>
        <v>1657.2600000000002</v>
      </c>
      <c r="AL48" s="927">
        <f>450*1.35*Chiler_Price[[#This Row],[NO. Of Compressors]]</f>
        <v>1822.5</v>
      </c>
      <c r="AM48" s="927">
        <f>Chiler_Price[[#This Row],[NO. of Cond. Fans]]*62*1.1*1.35</f>
        <v>1657.2600000000002</v>
      </c>
      <c r="AN48" s="927">
        <f t="shared" si="0"/>
        <v>1282.5</v>
      </c>
      <c r="AO48" s="927">
        <f t="shared" si="1"/>
        <v>1.3515999999999999</v>
      </c>
      <c r="AP48" s="927">
        <f t="shared" si="2"/>
        <v>2430</v>
      </c>
      <c r="AQ48" s="927">
        <f>560*1.35*Chiler_Price[[#This Row],[NO. Of Evap. Cooler ]]</f>
        <v>756</v>
      </c>
      <c r="AR48" s="927">
        <f>100*1.35*Chiler_Price[[#This Row],[NO. Of Evap. Cooler ]]</f>
        <v>135</v>
      </c>
      <c r="AS48" s="944">
        <v>286</v>
      </c>
      <c r="AT48" s="712"/>
      <c r="AU48" s="712"/>
      <c r="BC48" s="712"/>
      <c r="BD48" s="712"/>
      <c r="BE48" s="712"/>
      <c r="BF48" s="712"/>
      <c r="BG48" s="712"/>
      <c r="BI48" s="712"/>
    </row>
    <row r="49" spans="1:61" ht="16.5" thickBot="1">
      <c r="A49" s="939" t="s">
        <v>1950</v>
      </c>
      <c r="B49" s="940" t="s">
        <v>1951</v>
      </c>
      <c r="C49" s="927" t="s">
        <v>1950</v>
      </c>
      <c r="D49" s="936">
        <v>0</v>
      </c>
      <c r="E49" s="927">
        <v>16</v>
      </c>
      <c r="F49" s="927">
        <v>481.3</v>
      </c>
      <c r="G49" s="927">
        <v>3</v>
      </c>
      <c r="H49" s="927">
        <v>1</v>
      </c>
      <c r="I49" s="927">
        <f>Chiler_Price[[#This Row],[NO. of Cond Coils]]</f>
        <v>16</v>
      </c>
      <c r="J49" s="927">
        <v>250</v>
      </c>
      <c r="K49" s="927">
        <v>1</v>
      </c>
      <c r="L49" s="927">
        <v>210</v>
      </c>
      <c r="M49" s="927">
        <v>2</v>
      </c>
      <c r="N49" s="938">
        <v>0</v>
      </c>
      <c r="O49" s="1526">
        <v>144823</v>
      </c>
      <c r="P49" s="1526">
        <v>126223</v>
      </c>
      <c r="Q49" s="834">
        <v>0</v>
      </c>
      <c r="R49" s="927">
        <f>125*1.35*Chiler_Price[[#This Row],[NO. of Cond Coils]]</f>
        <v>2700</v>
      </c>
      <c r="S49" s="929">
        <f>Chiler_Price[[#This Row],[Cond. Coils Area (FT)]]*4*Naming!$M$62</f>
        <v>43124.479999999996</v>
      </c>
      <c r="T49" s="929">
        <f>5*Chiler_Price[[#This Row],[Cond. Coils Area (FT)]]</f>
        <v>2406.5</v>
      </c>
      <c r="U49" s="929">
        <f>7*Chiler_Price[[#This Row],[Cond. Coils Area (FT)]]</f>
        <v>3369.1</v>
      </c>
      <c r="V49" s="928">
        <f>Chiler_Price[[#This Row],[Cond. Coils Area (FT)]]*Naming!$I$93</f>
        <v>9144.7000000000007</v>
      </c>
      <c r="W49" s="930">
        <f>Chiler_Price[[#This Row],[Cond. Coils Area (FT)]]*Naming!$I$96</f>
        <v>12802.580000000002</v>
      </c>
      <c r="X49" s="928">
        <f>1.5*Chiler_Price[[#This Row],[Cond. Coils Area (FT)]]</f>
        <v>721.95</v>
      </c>
      <c r="Y49" s="927">
        <f>1500*1.35*Chiler_Price[[#This Row],[NO. Of Compressors]]</f>
        <v>6075.0000000000009</v>
      </c>
      <c r="Z49" s="927">
        <f>400*1.35*Chiler_Price[[#This Row],[NO. Of Compressors]]</f>
        <v>1620</v>
      </c>
      <c r="AA49" s="927">
        <f>650*1.35*Chiler_Price[[#This Row],[NO. Of Evap. Cooler ]]</f>
        <v>877.50000000000011</v>
      </c>
      <c r="AB49" s="927">
        <f>650*4*1.35*Chiler_Price[[#This Row],[NO. Of Evap. Cooler ]]</f>
        <v>3510.0000000000005</v>
      </c>
      <c r="AC49" s="927">
        <f>560*1.35*Chiler_Price[[#This Row],[NO. Of Evap. Cooler ]]</f>
        <v>756</v>
      </c>
      <c r="AD49" s="832">
        <v>0</v>
      </c>
      <c r="AE49" s="927">
        <f>700*1.35*Chiler_Price[[#This Row],[NO. Of Compressors]]</f>
        <v>2835.0000000000005</v>
      </c>
      <c r="AF49" s="927">
        <f>100*1.35*Chiler_Price[[#This Row],[NO. Of Compressors]]</f>
        <v>405</v>
      </c>
      <c r="AG49" s="927">
        <f>100*1.35*Chiler_Price[[#This Row],[NO. Of Compressors]]</f>
        <v>405</v>
      </c>
      <c r="AH49" s="927">
        <f>600*1.35*Chiler_Price[[#This Row],[NO. Of Compressors]]</f>
        <v>2430</v>
      </c>
      <c r="AI49" s="927">
        <v>405</v>
      </c>
      <c r="AJ49" s="948">
        <v>0</v>
      </c>
      <c r="AK49" s="927">
        <f>Chiler_Price[[#This Row],[NO. of Cond. Fans]]*62*1.1*1.35</f>
        <v>1473.1200000000001</v>
      </c>
      <c r="AL49" s="927">
        <f>450*1.35*Chiler_Price[[#This Row],[NO. Of Compressors]]</f>
        <v>1822.5</v>
      </c>
      <c r="AM49" s="927">
        <f>Chiler_Price[[#This Row],[NO. of Cond. Fans]]*62*1.1*1.35</f>
        <v>1473.1200000000001</v>
      </c>
      <c r="AN49" s="927">
        <f t="shared" si="0"/>
        <v>1282.5</v>
      </c>
      <c r="AO49" s="927">
        <f t="shared" si="1"/>
        <v>1.3515999999999999</v>
      </c>
      <c r="AP49" s="927">
        <f t="shared" si="2"/>
        <v>2430</v>
      </c>
      <c r="AQ49" s="927">
        <f>560*1.35*Chiler_Price[[#This Row],[NO. Of Evap. Cooler ]]</f>
        <v>756</v>
      </c>
      <c r="AR49" s="927">
        <f>100*1.35*Chiler_Price[[#This Row],[NO. Of Evap. Cooler ]]</f>
        <v>135</v>
      </c>
      <c r="AS49" s="944">
        <v>286</v>
      </c>
      <c r="AT49" s="712"/>
      <c r="AU49" s="712"/>
      <c r="BC49" s="712"/>
      <c r="BD49" s="712"/>
      <c r="BE49" s="712"/>
      <c r="BF49" s="712"/>
      <c r="BG49" s="712"/>
      <c r="BI49" s="712"/>
    </row>
    <row r="50" spans="1:61" ht="16.5" thickBot="1">
      <c r="A50" s="939" t="s">
        <v>1952</v>
      </c>
      <c r="B50" s="940" t="s">
        <v>1953</v>
      </c>
      <c r="C50" s="927" t="s">
        <v>1952</v>
      </c>
      <c r="D50" s="936">
        <v>0</v>
      </c>
      <c r="E50" s="927">
        <v>18</v>
      </c>
      <c r="F50" s="927">
        <v>541.5</v>
      </c>
      <c r="G50" s="927">
        <v>3</v>
      </c>
      <c r="H50" s="927">
        <v>1</v>
      </c>
      <c r="I50" s="927">
        <f>Chiler_Price[[#This Row],[NO. of Cond Coils]]</f>
        <v>18</v>
      </c>
      <c r="J50" s="927">
        <v>250</v>
      </c>
      <c r="K50" s="927">
        <v>1</v>
      </c>
      <c r="L50" s="927">
        <v>210</v>
      </c>
      <c r="M50" s="927">
        <v>2</v>
      </c>
      <c r="N50" s="938">
        <v>0</v>
      </c>
      <c r="O50" s="1526">
        <v>151275</v>
      </c>
      <c r="P50" s="1526">
        <v>130514</v>
      </c>
      <c r="Q50" s="834">
        <v>0</v>
      </c>
      <c r="R50" s="927">
        <f>125*1.35*Chiler_Price[[#This Row],[NO. of Cond Coils]]</f>
        <v>3037.5</v>
      </c>
      <c r="S50" s="929">
        <f>Chiler_Price[[#This Row],[Cond. Coils Area (FT)]]*4*Naming!$M$62</f>
        <v>48518.399999999994</v>
      </c>
      <c r="T50" s="929">
        <f>5*Chiler_Price[[#This Row],[Cond. Coils Area (FT)]]</f>
        <v>2707.5</v>
      </c>
      <c r="U50" s="929">
        <f>7*Chiler_Price[[#This Row],[Cond. Coils Area (FT)]]</f>
        <v>3790.5</v>
      </c>
      <c r="V50" s="928">
        <f>Chiler_Price[[#This Row],[Cond. Coils Area (FT)]]*Naming!$I$93</f>
        <v>10288.5</v>
      </c>
      <c r="W50" s="930">
        <f>Chiler_Price[[#This Row],[Cond. Coils Area (FT)]]*Naming!$I$96</f>
        <v>14403.900000000001</v>
      </c>
      <c r="X50" s="928">
        <f>1.5*Chiler_Price[[#This Row],[Cond. Coils Area (FT)]]</f>
        <v>812.25</v>
      </c>
      <c r="Y50" s="927">
        <f>1500*1.35*Chiler_Price[[#This Row],[NO. Of Compressors]]</f>
        <v>6075.0000000000009</v>
      </c>
      <c r="Z50" s="927">
        <f>400*1.35*Chiler_Price[[#This Row],[NO. Of Compressors]]</f>
        <v>1620</v>
      </c>
      <c r="AA50" s="927">
        <f>650*1.35*Chiler_Price[[#This Row],[NO. Of Evap. Cooler ]]</f>
        <v>877.50000000000011</v>
      </c>
      <c r="AB50" s="927">
        <f>650*4*1.35*Chiler_Price[[#This Row],[NO. Of Evap. Cooler ]]</f>
        <v>3510.0000000000005</v>
      </c>
      <c r="AC50" s="927">
        <f>560*1.35*Chiler_Price[[#This Row],[NO. Of Evap. Cooler ]]</f>
        <v>756</v>
      </c>
      <c r="AD50" s="832">
        <v>0</v>
      </c>
      <c r="AE50" s="927">
        <f>700*1.35*Chiler_Price[[#This Row],[NO. Of Compressors]]</f>
        <v>2835.0000000000005</v>
      </c>
      <c r="AF50" s="927">
        <f>100*1.35*Chiler_Price[[#This Row],[NO. Of Compressors]]</f>
        <v>405</v>
      </c>
      <c r="AG50" s="927">
        <f>100*1.35*Chiler_Price[[#This Row],[NO. Of Compressors]]</f>
        <v>405</v>
      </c>
      <c r="AH50" s="927">
        <f>600*1.35*Chiler_Price[[#This Row],[NO. Of Compressors]]</f>
        <v>2430</v>
      </c>
      <c r="AI50" s="927">
        <v>405</v>
      </c>
      <c r="AJ50" s="948">
        <v>0</v>
      </c>
      <c r="AK50" s="927">
        <f>Chiler_Price[[#This Row],[NO. of Cond. Fans]]*62*1.1*1.35</f>
        <v>1657.2600000000002</v>
      </c>
      <c r="AL50" s="927">
        <f>450*1.35*Chiler_Price[[#This Row],[NO. Of Compressors]]</f>
        <v>1822.5</v>
      </c>
      <c r="AM50" s="927">
        <f>Chiler_Price[[#This Row],[NO. of Cond. Fans]]*62*1.1*1.35</f>
        <v>1657.2600000000002</v>
      </c>
      <c r="AN50" s="927">
        <f t="shared" si="0"/>
        <v>1282.5</v>
      </c>
      <c r="AO50" s="927">
        <f t="shared" si="1"/>
        <v>1.3515999999999999</v>
      </c>
      <c r="AP50" s="927">
        <f t="shared" si="2"/>
        <v>2430</v>
      </c>
      <c r="AQ50" s="927">
        <f>560*1.35*Chiler_Price[[#This Row],[NO. Of Evap. Cooler ]]</f>
        <v>756</v>
      </c>
      <c r="AR50" s="927">
        <f>100*1.35*Chiler_Price[[#This Row],[NO. Of Evap. Cooler ]]</f>
        <v>135</v>
      </c>
      <c r="AS50" s="944">
        <v>286</v>
      </c>
      <c r="AT50" s="712"/>
      <c r="AU50" s="712"/>
      <c r="BC50" s="712"/>
      <c r="BD50" s="712"/>
      <c r="BE50" s="712"/>
      <c r="BF50" s="712"/>
      <c r="BG50" s="712"/>
      <c r="BI50" s="712"/>
    </row>
    <row r="51" spans="1:61" ht="16.5" thickBot="1">
      <c r="A51" s="939" t="s">
        <v>1954</v>
      </c>
      <c r="B51" s="940" t="s">
        <v>1955</v>
      </c>
      <c r="C51" s="927" t="s">
        <v>1954</v>
      </c>
      <c r="D51" s="936">
        <v>0</v>
      </c>
      <c r="E51" s="927">
        <v>18</v>
      </c>
      <c r="F51" s="927">
        <v>601.70000000000005</v>
      </c>
      <c r="G51" s="927">
        <v>3</v>
      </c>
      <c r="H51" s="927">
        <v>1</v>
      </c>
      <c r="I51" s="927">
        <f>Chiler_Price[[#This Row],[NO. of Cond Coils]]</f>
        <v>18</v>
      </c>
      <c r="J51" s="927">
        <v>250</v>
      </c>
      <c r="K51" s="927">
        <v>2</v>
      </c>
      <c r="L51" s="927">
        <v>210</v>
      </c>
      <c r="M51" s="927">
        <v>1</v>
      </c>
      <c r="N51" s="938">
        <v>0</v>
      </c>
      <c r="O51" s="1526">
        <v>157325</v>
      </c>
      <c r="P51" s="1526">
        <v>136479</v>
      </c>
      <c r="Q51" s="834">
        <v>0</v>
      </c>
      <c r="R51" s="927">
        <f>125*1.35*Chiler_Price[[#This Row],[NO. of Cond Coils]]</f>
        <v>3037.5</v>
      </c>
      <c r="S51" s="929">
        <f>Chiler_Price[[#This Row],[Cond. Coils Area (FT)]]*4*Naming!$M$62</f>
        <v>53912.32</v>
      </c>
      <c r="T51" s="929">
        <f>5*Chiler_Price[[#This Row],[Cond. Coils Area (FT)]]</f>
        <v>3008.5</v>
      </c>
      <c r="U51" s="929">
        <f>7*Chiler_Price[[#This Row],[Cond. Coils Area (FT)]]</f>
        <v>4211.9000000000005</v>
      </c>
      <c r="V51" s="928">
        <f>Chiler_Price[[#This Row],[Cond. Coils Area (FT)]]*Naming!$I$93</f>
        <v>11432.300000000001</v>
      </c>
      <c r="W51" s="930">
        <f>Chiler_Price[[#This Row],[Cond. Coils Area (FT)]]*Naming!$I$96</f>
        <v>16005.220000000001</v>
      </c>
      <c r="X51" s="928">
        <f>1.5*Chiler_Price[[#This Row],[Cond. Coils Area (FT)]]</f>
        <v>902.55000000000007</v>
      </c>
      <c r="Y51" s="927">
        <f>1500*1.35*Chiler_Price[[#This Row],[NO. Of Compressors]]</f>
        <v>6075.0000000000009</v>
      </c>
      <c r="Z51" s="927">
        <f>400*1.35*Chiler_Price[[#This Row],[NO. Of Compressors]]</f>
        <v>1620</v>
      </c>
      <c r="AA51" s="927">
        <f>650*1.35*Chiler_Price[[#This Row],[NO. Of Evap. Cooler ]]</f>
        <v>877.50000000000011</v>
      </c>
      <c r="AB51" s="927">
        <f>650*4*1.35*Chiler_Price[[#This Row],[NO. Of Evap. Cooler ]]</f>
        <v>3510.0000000000005</v>
      </c>
      <c r="AC51" s="927">
        <f>560*1.35*Chiler_Price[[#This Row],[NO. Of Evap. Cooler ]]</f>
        <v>756</v>
      </c>
      <c r="AD51" s="832">
        <v>0</v>
      </c>
      <c r="AE51" s="927">
        <f>700*1.35*Chiler_Price[[#This Row],[NO. Of Compressors]]</f>
        <v>2835.0000000000005</v>
      </c>
      <c r="AF51" s="927">
        <f>100*1.35*Chiler_Price[[#This Row],[NO. Of Compressors]]</f>
        <v>405</v>
      </c>
      <c r="AG51" s="927">
        <f>100*1.35*Chiler_Price[[#This Row],[NO. Of Compressors]]</f>
        <v>405</v>
      </c>
      <c r="AH51" s="927">
        <f>600*1.35*Chiler_Price[[#This Row],[NO. Of Compressors]]</f>
        <v>2430</v>
      </c>
      <c r="AI51" s="927">
        <v>405</v>
      </c>
      <c r="AJ51" s="948">
        <v>0</v>
      </c>
      <c r="AK51" s="927">
        <f>Chiler_Price[[#This Row],[NO. of Cond. Fans]]*62*1.1*1.35</f>
        <v>1657.2600000000002</v>
      </c>
      <c r="AL51" s="927">
        <f>450*1.35*Chiler_Price[[#This Row],[NO. Of Compressors]]</f>
        <v>1822.5</v>
      </c>
      <c r="AM51" s="927">
        <f>Chiler_Price[[#This Row],[NO. of Cond. Fans]]*62*1.1*1.35</f>
        <v>1657.2600000000002</v>
      </c>
      <c r="AN51" s="927">
        <f t="shared" si="0"/>
        <v>1282.5</v>
      </c>
      <c r="AO51" s="927">
        <f t="shared" si="1"/>
        <v>1.3515999999999999</v>
      </c>
      <c r="AP51" s="927">
        <f t="shared" si="2"/>
        <v>2430</v>
      </c>
      <c r="AQ51" s="927">
        <f>560*1.35*Chiler_Price[[#This Row],[NO. Of Evap. Cooler ]]</f>
        <v>756</v>
      </c>
      <c r="AR51" s="927">
        <f>100*1.35*Chiler_Price[[#This Row],[NO. Of Evap. Cooler ]]</f>
        <v>135</v>
      </c>
      <c r="AS51" s="944">
        <v>286</v>
      </c>
      <c r="AT51" s="712"/>
      <c r="AU51" s="712"/>
      <c r="BC51" s="712"/>
      <c r="BD51" s="712"/>
      <c r="BE51" s="712"/>
      <c r="BF51" s="712"/>
      <c r="BG51" s="712"/>
      <c r="BI51" s="712"/>
    </row>
    <row r="52" spans="1:61" ht="16.5" thickBot="1">
      <c r="A52" s="939" t="s">
        <v>1956</v>
      </c>
      <c r="B52" s="940" t="s">
        <v>1957</v>
      </c>
      <c r="C52" s="927" t="s">
        <v>1958</v>
      </c>
      <c r="D52" s="936">
        <v>0</v>
      </c>
      <c r="E52" s="927">
        <v>20</v>
      </c>
      <c r="F52" s="927">
        <v>541.5</v>
      </c>
      <c r="G52" s="927">
        <v>3</v>
      </c>
      <c r="H52" s="927">
        <v>1</v>
      </c>
      <c r="I52" s="927">
        <f>Chiler_Price[[#This Row],[NO. of Cond Coils]]</f>
        <v>20</v>
      </c>
      <c r="J52" s="927">
        <v>250</v>
      </c>
      <c r="K52" s="927">
        <v>2</v>
      </c>
      <c r="L52" s="927">
        <v>210</v>
      </c>
      <c r="M52" s="927">
        <v>1</v>
      </c>
      <c r="N52" s="938">
        <v>0</v>
      </c>
      <c r="O52" s="1526">
        <v>163096</v>
      </c>
      <c r="P52" s="1526">
        <v>140097</v>
      </c>
      <c r="Q52" s="834">
        <v>0</v>
      </c>
      <c r="R52" s="927">
        <f>125*1.35*Chiler_Price[[#This Row],[NO. of Cond Coils]]</f>
        <v>3375</v>
      </c>
      <c r="S52" s="929">
        <f>Chiler_Price[[#This Row],[Cond. Coils Area (FT)]]*4*Naming!$M$62</f>
        <v>48518.399999999994</v>
      </c>
      <c r="T52" s="929">
        <f>5*Chiler_Price[[#This Row],[Cond. Coils Area (FT)]]</f>
        <v>2707.5</v>
      </c>
      <c r="U52" s="929">
        <f>7*Chiler_Price[[#This Row],[Cond. Coils Area (FT)]]</f>
        <v>3790.5</v>
      </c>
      <c r="V52" s="928">
        <f>Chiler_Price[[#This Row],[Cond. Coils Area (FT)]]*Naming!$I$93</f>
        <v>10288.5</v>
      </c>
      <c r="W52" s="930">
        <f>Chiler_Price[[#This Row],[Cond. Coils Area (FT)]]*Naming!$I$96</f>
        <v>14403.900000000001</v>
      </c>
      <c r="X52" s="928">
        <f>1.5*Chiler_Price[[#This Row],[Cond. Coils Area (FT)]]</f>
        <v>812.25</v>
      </c>
      <c r="Y52" s="927">
        <f>1500*1.35*Chiler_Price[[#This Row],[NO. Of Compressors]]</f>
        <v>6075.0000000000009</v>
      </c>
      <c r="Z52" s="927">
        <f>400*1.35*Chiler_Price[[#This Row],[NO. Of Compressors]]</f>
        <v>1620</v>
      </c>
      <c r="AA52" s="927">
        <f>650*1.35*Chiler_Price[[#This Row],[NO. Of Evap. Cooler ]]</f>
        <v>877.50000000000011</v>
      </c>
      <c r="AB52" s="927">
        <f>650*4*1.35*Chiler_Price[[#This Row],[NO. Of Evap. Cooler ]]</f>
        <v>3510.0000000000005</v>
      </c>
      <c r="AC52" s="927">
        <f>560*1.35*Chiler_Price[[#This Row],[NO. Of Evap. Cooler ]]</f>
        <v>756</v>
      </c>
      <c r="AD52" s="832">
        <v>0</v>
      </c>
      <c r="AE52" s="927">
        <f>700*1.35*Chiler_Price[[#This Row],[NO. Of Compressors]]</f>
        <v>2835.0000000000005</v>
      </c>
      <c r="AF52" s="927">
        <f>100*1.35*Chiler_Price[[#This Row],[NO. Of Compressors]]</f>
        <v>405</v>
      </c>
      <c r="AG52" s="927">
        <f>100*1.35*Chiler_Price[[#This Row],[NO. Of Compressors]]</f>
        <v>405</v>
      </c>
      <c r="AH52" s="927">
        <f>600*1.35*Chiler_Price[[#This Row],[NO. Of Compressors]]</f>
        <v>2430</v>
      </c>
      <c r="AI52" s="927">
        <v>405</v>
      </c>
      <c r="AJ52" s="948">
        <v>0</v>
      </c>
      <c r="AK52" s="927">
        <f>Chiler_Price[[#This Row],[NO. of Cond. Fans]]*62*1.1*1.35</f>
        <v>1841.4</v>
      </c>
      <c r="AL52" s="927">
        <f>450*1.35*Chiler_Price[[#This Row],[NO. Of Compressors]]</f>
        <v>1822.5</v>
      </c>
      <c r="AM52" s="927">
        <f>Chiler_Price[[#This Row],[NO. of Cond. Fans]]*62*1.1*1.35</f>
        <v>1841.4</v>
      </c>
      <c r="AN52" s="927">
        <f t="shared" si="0"/>
        <v>1282.5</v>
      </c>
      <c r="AO52" s="927">
        <f t="shared" si="1"/>
        <v>1.3515999999999999</v>
      </c>
      <c r="AP52" s="927">
        <f t="shared" si="2"/>
        <v>2430</v>
      </c>
      <c r="AQ52" s="927">
        <f>560*1.35*Chiler_Price[[#This Row],[NO. Of Evap. Cooler ]]</f>
        <v>756</v>
      </c>
      <c r="AR52" s="927">
        <f>100*1.35*Chiler_Price[[#This Row],[NO. Of Evap. Cooler ]]</f>
        <v>135</v>
      </c>
      <c r="AS52" s="944">
        <v>286</v>
      </c>
      <c r="AT52" s="712"/>
      <c r="AU52" s="712"/>
      <c r="BC52" s="712"/>
      <c r="BD52" s="712"/>
      <c r="BE52" s="712"/>
      <c r="BF52" s="712"/>
      <c r="BG52" s="712"/>
      <c r="BI52" s="712"/>
    </row>
    <row r="53" spans="1:61" ht="16.5" thickBot="1">
      <c r="A53" s="939" t="s">
        <v>1959</v>
      </c>
      <c r="B53" s="940" t="s">
        <v>1960</v>
      </c>
      <c r="C53" s="927" t="s">
        <v>1959</v>
      </c>
      <c r="D53" s="936">
        <v>0</v>
      </c>
      <c r="E53" s="927">
        <v>18</v>
      </c>
      <c r="F53" s="927">
        <v>541.5</v>
      </c>
      <c r="G53" s="927">
        <v>3</v>
      </c>
      <c r="H53" s="927">
        <v>1</v>
      </c>
      <c r="I53" s="927">
        <f>Chiler_Price[[#This Row],[NO. of Cond Coils]]</f>
        <v>18</v>
      </c>
      <c r="J53" s="927">
        <v>250</v>
      </c>
      <c r="K53" s="927">
        <v>3</v>
      </c>
      <c r="L53" s="927"/>
      <c r="M53" s="927"/>
      <c r="N53" s="938">
        <v>0</v>
      </c>
      <c r="O53" s="1526">
        <v>160510</v>
      </c>
      <c r="P53" s="1526">
        <v>139619</v>
      </c>
      <c r="Q53" s="834">
        <v>0</v>
      </c>
      <c r="R53" s="927">
        <f>125*1.35*Chiler_Price[[#This Row],[NO. of Cond Coils]]</f>
        <v>3037.5</v>
      </c>
      <c r="S53" s="929">
        <f>Chiler_Price[[#This Row],[Cond. Coils Area (FT)]]*4*Naming!$M$62</f>
        <v>48518.399999999994</v>
      </c>
      <c r="T53" s="929">
        <f>5*Chiler_Price[[#This Row],[Cond. Coils Area (FT)]]</f>
        <v>2707.5</v>
      </c>
      <c r="U53" s="929">
        <f>7*Chiler_Price[[#This Row],[Cond. Coils Area (FT)]]</f>
        <v>3790.5</v>
      </c>
      <c r="V53" s="928">
        <f>Chiler_Price[[#This Row],[Cond. Coils Area (FT)]]*Naming!$I$93</f>
        <v>10288.5</v>
      </c>
      <c r="W53" s="930">
        <f>Chiler_Price[[#This Row],[Cond. Coils Area (FT)]]*Naming!$I$96</f>
        <v>14403.900000000001</v>
      </c>
      <c r="X53" s="928">
        <f>1.5*Chiler_Price[[#This Row],[Cond. Coils Area (FT)]]</f>
        <v>812.25</v>
      </c>
      <c r="Y53" s="927">
        <f>1500*1.35*Chiler_Price[[#This Row],[NO. Of Compressors]]</f>
        <v>6075.0000000000009</v>
      </c>
      <c r="Z53" s="927">
        <f>400*1.35*Chiler_Price[[#This Row],[NO. Of Compressors]]</f>
        <v>1620</v>
      </c>
      <c r="AA53" s="927">
        <f>650*1.35*Chiler_Price[[#This Row],[NO. Of Evap. Cooler ]]</f>
        <v>877.50000000000011</v>
      </c>
      <c r="AB53" s="927">
        <f>650*4*1.35*Chiler_Price[[#This Row],[NO. Of Evap. Cooler ]]</f>
        <v>3510.0000000000005</v>
      </c>
      <c r="AC53" s="927">
        <f>560*1.35*Chiler_Price[[#This Row],[NO. Of Evap. Cooler ]]</f>
        <v>756</v>
      </c>
      <c r="AD53" s="832">
        <v>0</v>
      </c>
      <c r="AE53" s="927">
        <f>700*1.35*Chiler_Price[[#This Row],[NO. Of Compressors]]</f>
        <v>2835.0000000000005</v>
      </c>
      <c r="AF53" s="927">
        <f>100*1.35*Chiler_Price[[#This Row],[NO. Of Compressors]]</f>
        <v>405</v>
      </c>
      <c r="AG53" s="927">
        <f>100*1.35*Chiler_Price[[#This Row],[NO. Of Compressors]]</f>
        <v>405</v>
      </c>
      <c r="AH53" s="927">
        <f>600*1.35*Chiler_Price[[#This Row],[NO. Of Compressors]]</f>
        <v>2430</v>
      </c>
      <c r="AI53" s="927">
        <v>405</v>
      </c>
      <c r="AJ53" s="948">
        <v>0</v>
      </c>
      <c r="AK53" s="927">
        <f>Chiler_Price[[#This Row],[NO. of Cond. Fans]]*62*1.1*1.35</f>
        <v>1657.2600000000002</v>
      </c>
      <c r="AL53" s="927">
        <f>450*1.35*Chiler_Price[[#This Row],[NO. Of Compressors]]</f>
        <v>1822.5</v>
      </c>
      <c r="AM53" s="927">
        <f>Chiler_Price[[#This Row],[NO. of Cond. Fans]]*62*1.1*1.35</f>
        <v>1657.2600000000002</v>
      </c>
      <c r="AN53" s="927">
        <f t="shared" si="0"/>
        <v>1282.5</v>
      </c>
      <c r="AO53" s="927">
        <f t="shared" si="1"/>
        <v>1.3515999999999999</v>
      </c>
      <c r="AP53" s="927">
        <f t="shared" si="2"/>
        <v>2430</v>
      </c>
      <c r="AQ53" s="927">
        <f>560*1.35*Chiler_Price[[#This Row],[NO. Of Evap. Cooler ]]</f>
        <v>756</v>
      </c>
      <c r="AR53" s="927">
        <f>100*1.35*Chiler_Price[[#This Row],[NO. Of Evap. Cooler ]]</f>
        <v>135</v>
      </c>
      <c r="AS53" s="944">
        <v>286</v>
      </c>
      <c r="AT53" s="712"/>
      <c r="AU53" s="712"/>
      <c r="BC53" s="712"/>
      <c r="BD53" s="712"/>
      <c r="BE53" s="712"/>
      <c r="BF53" s="712"/>
      <c r="BG53" s="712"/>
      <c r="BI53" s="712"/>
    </row>
    <row r="54" spans="1:61" ht="16.5" thickBot="1">
      <c r="A54" s="939" t="s">
        <v>1961</v>
      </c>
      <c r="B54" s="940" t="s">
        <v>1962</v>
      </c>
      <c r="C54" s="927" t="s">
        <v>1961</v>
      </c>
      <c r="D54" s="936">
        <v>0</v>
      </c>
      <c r="E54" s="927">
        <v>20</v>
      </c>
      <c r="F54" s="927">
        <v>601.70000000000005</v>
      </c>
      <c r="G54" s="927">
        <v>3</v>
      </c>
      <c r="H54" s="927">
        <v>1</v>
      </c>
      <c r="I54" s="927">
        <f>Chiler_Price[[#This Row],[NO. of Cond Coils]]</f>
        <v>20</v>
      </c>
      <c r="J54" s="927">
        <v>250</v>
      </c>
      <c r="K54" s="927">
        <v>3</v>
      </c>
      <c r="L54" s="927"/>
      <c r="M54" s="927"/>
      <c r="N54" s="938">
        <v>0</v>
      </c>
      <c r="O54" s="1526">
        <v>164650</v>
      </c>
      <c r="P54" s="1526">
        <v>141630</v>
      </c>
      <c r="Q54" s="834">
        <v>0</v>
      </c>
      <c r="R54" s="927">
        <f>125*1.35*Chiler_Price[[#This Row],[NO. of Cond Coils]]</f>
        <v>3375</v>
      </c>
      <c r="S54" s="929">
        <f>Chiler_Price[[#This Row],[Cond. Coils Area (FT)]]*4*Naming!$M$62</f>
        <v>53912.32</v>
      </c>
      <c r="T54" s="929">
        <f>5*Chiler_Price[[#This Row],[Cond. Coils Area (FT)]]</f>
        <v>3008.5</v>
      </c>
      <c r="U54" s="929">
        <f>7*Chiler_Price[[#This Row],[Cond. Coils Area (FT)]]</f>
        <v>4211.9000000000005</v>
      </c>
      <c r="V54" s="928">
        <f>Chiler_Price[[#This Row],[Cond. Coils Area (FT)]]*Naming!$I$93</f>
        <v>11432.300000000001</v>
      </c>
      <c r="W54" s="930">
        <f>Chiler_Price[[#This Row],[Cond. Coils Area (FT)]]*Naming!$I$96</f>
        <v>16005.220000000001</v>
      </c>
      <c r="X54" s="928">
        <f>1.5*Chiler_Price[[#This Row],[Cond. Coils Area (FT)]]</f>
        <v>902.55000000000007</v>
      </c>
      <c r="Y54" s="927">
        <f>1500*1.35*Chiler_Price[[#This Row],[NO. Of Compressors]]</f>
        <v>6075.0000000000009</v>
      </c>
      <c r="Z54" s="927">
        <f>400*1.35*Chiler_Price[[#This Row],[NO. Of Compressors]]</f>
        <v>1620</v>
      </c>
      <c r="AA54" s="927">
        <f>650*1.35*Chiler_Price[[#This Row],[NO. Of Evap. Cooler ]]</f>
        <v>877.50000000000011</v>
      </c>
      <c r="AB54" s="927">
        <f>650*4*1.35*Chiler_Price[[#This Row],[NO. Of Evap. Cooler ]]</f>
        <v>3510.0000000000005</v>
      </c>
      <c r="AC54" s="927">
        <f>560*1.35*Chiler_Price[[#This Row],[NO. Of Evap. Cooler ]]</f>
        <v>756</v>
      </c>
      <c r="AD54" s="832">
        <v>0</v>
      </c>
      <c r="AE54" s="927">
        <f>700*1.35*Chiler_Price[[#This Row],[NO. Of Compressors]]</f>
        <v>2835.0000000000005</v>
      </c>
      <c r="AF54" s="927">
        <f>100*1.35*Chiler_Price[[#This Row],[NO. Of Compressors]]</f>
        <v>405</v>
      </c>
      <c r="AG54" s="927">
        <f>100*1.35*Chiler_Price[[#This Row],[NO. Of Compressors]]</f>
        <v>405</v>
      </c>
      <c r="AH54" s="927">
        <f>600*1.35*Chiler_Price[[#This Row],[NO. Of Compressors]]</f>
        <v>2430</v>
      </c>
      <c r="AI54" s="927">
        <v>405</v>
      </c>
      <c r="AJ54" s="948">
        <v>0</v>
      </c>
      <c r="AK54" s="927">
        <f>Chiler_Price[[#This Row],[NO. of Cond. Fans]]*62*1.1*1.35</f>
        <v>1841.4</v>
      </c>
      <c r="AL54" s="927">
        <f>450*1.35*Chiler_Price[[#This Row],[NO. Of Compressors]]</f>
        <v>1822.5</v>
      </c>
      <c r="AM54" s="927">
        <f>Chiler_Price[[#This Row],[NO. of Cond. Fans]]*62*1.1*1.35</f>
        <v>1841.4</v>
      </c>
      <c r="AN54" s="927">
        <f t="shared" si="0"/>
        <v>1282.5</v>
      </c>
      <c r="AO54" s="927">
        <f t="shared" si="1"/>
        <v>1.3515999999999999</v>
      </c>
      <c r="AP54" s="927">
        <f t="shared" si="2"/>
        <v>2430</v>
      </c>
      <c r="AQ54" s="927">
        <f>560*1.35*Chiler_Price[[#This Row],[NO. Of Evap. Cooler ]]</f>
        <v>756</v>
      </c>
      <c r="AR54" s="927">
        <f>100*1.35*Chiler_Price[[#This Row],[NO. Of Evap. Cooler ]]</f>
        <v>135</v>
      </c>
      <c r="AS54" s="944">
        <v>286</v>
      </c>
      <c r="AT54" s="712"/>
      <c r="AU54" s="712"/>
      <c r="BC54" s="712"/>
      <c r="BD54" s="712"/>
      <c r="BE54" s="712"/>
      <c r="BF54" s="712"/>
      <c r="BG54" s="712"/>
      <c r="BI54" s="712"/>
    </row>
    <row r="55" spans="1:61" ht="16.5" thickBot="1">
      <c r="A55" s="939" t="s">
        <v>1963</v>
      </c>
      <c r="B55" s="940" t="s">
        <v>1964</v>
      </c>
      <c r="C55" s="927" t="s">
        <v>1963</v>
      </c>
      <c r="D55" s="936">
        <v>0</v>
      </c>
      <c r="E55" s="927">
        <v>20</v>
      </c>
      <c r="F55" s="927">
        <v>601.70000000000005</v>
      </c>
      <c r="G55" s="927">
        <v>4</v>
      </c>
      <c r="H55" s="927">
        <v>2</v>
      </c>
      <c r="I55" s="927">
        <f>Chiler_Price[[#This Row],[NO. of Cond Coils]]</f>
        <v>20</v>
      </c>
      <c r="J55" s="927">
        <v>190</v>
      </c>
      <c r="K55" s="927">
        <v>4</v>
      </c>
      <c r="L55" s="927"/>
      <c r="M55" s="927"/>
      <c r="N55" s="938">
        <v>0</v>
      </c>
      <c r="O55" s="1526">
        <v>177649</v>
      </c>
      <c r="P55" s="1526">
        <v>154446</v>
      </c>
      <c r="Q55" s="834">
        <v>0</v>
      </c>
      <c r="R55" s="927">
        <f>125*1.35*Chiler_Price[[#This Row],[NO. of Cond Coils]]</f>
        <v>3375</v>
      </c>
      <c r="S55" s="929">
        <f>Chiler_Price[[#This Row],[Cond. Coils Area (FT)]]*4*Naming!$M$62</f>
        <v>53912.32</v>
      </c>
      <c r="T55" s="929">
        <f>5*Chiler_Price[[#This Row],[Cond. Coils Area (FT)]]</f>
        <v>3008.5</v>
      </c>
      <c r="U55" s="929">
        <f>7*Chiler_Price[[#This Row],[Cond. Coils Area (FT)]]</f>
        <v>4211.9000000000005</v>
      </c>
      <c r="V55" s="928">
        <f>Chiler_Price[[#This Row],[Cond. Coils Area (FT)]]*Naming!$I$93</f>
        <v>11432.300000000001</v>
      </c>
      <c r="W55" s="930">
        <f>Chiler_Price[[#This Row],[Cond. Coils Area (FT)]]*Naming!$I$96</f>
        <v>16005.220000000001</v>
      </c>
      <c r="X55" s="928">
        <f>1.5*Chiler_Price[[#This Row],[Cond. Coils Area (FT)]]</f>
        <v>902.55000000000007</v>
      </c>
      <c r="Y55" s="927">
        <f>1500*1.35*Chiler_Price[[#This Row],[NO. Of Compressors]]</f>
        <v>8100.0000000000009</v>
      </c>
      <c r="Z55" s="927">
        <f>400*1.35*Chiler_Price[[#This Row],[NO. Of Compressors]]</f>
        <v>2160</v>
      </c>
      <c r="AA55" s="927">
        <f>650*1.35*Chiler_Price[[#This Row],[NO. Of Evap. Cooler ]]</f>
        <v>1755.0000000000002</v>
      </c>
      <c r="AB55" s="927">
        <f>650*4*1.35*Chiler_Price[[#This Row],[NO. Of Evap. Cooler ]]</f>
        <v>7020.0000000000009</v>
      </c>
      <c r="AC55" s="927">
        <f>560*1.35*Chiler_Price[[#This Row],[NO. Of Evap. Cooler ]]</f>
        <v>1512</v>
      </c>
      <c r="AD55" s="832">
        <v>0</v>
      </c>
      <c r="AE55" s="927">
        <f>700*1.35*Chiler_Price[[#This Row],[NO. Of Compressors]]</f>
        <v>3780.0000000000005</v>
      </c>
      <c r="AF55" s="927">
        <f>100*1.35*Chiler_Price[[#This Row],[NO. Of Compressors]]</f>
        <v>540</v>
      </c>
      <c r="AG55" s="927">
        <f>100*1.35*Chiler_Price[[#This Row],[NO. Of Compressors]]</f>
        <v>540</v>
      </c>
      <c r="AH55" s="927">
        <f>600*1.35*Chiler_Price[[#This Row],[NO. Of Compressors]]</f>
        <v>3240</v>
      </c>
      <c r="AI55" s="927">
        <v>405</v>
      </c>
      <c r="AJ55" s="948">
        <v>0</v>
      </c>
      <c r="AK55" s="927">
        <f>Chiler_Price[[#This Row],[NO. of Cond. Fans]]*62*1.1*1.35</f>
        <v>1841.4</v>
      </c>
      <c r="AL55" s="927">
        <f>450*1.35*Chiler_Price[[#This Row],[NO. Of Compressors]]</f>
        <v>2430</v>
      </c>
      <c r="AM55" s="927">
        <f>Chiler_Price[[#This Row],[NO. of Cond. Fans]]*62*1.1*1.35</f>
        <v>1841.4</v>
      </c>
      <c r="AN55" s="927">
        <f t="shared" si="0"/>
        <v>1282.5</v>
      </c>
      <c r="AO55" s="927">
        <f t="shared" si="1"/>
        <v>1.3515999999999999</v>
      </c>
      <c r="AP55" s="927">
        <f t="shared" si="2"/>
        <v>2430</v>
      </c>
      <c r="AQ55" s="927">
        <f>560*1.35*Chiler_Price[[#This Row],[NO. Of Evap. Cooler ]]</f>
        <v>1512</v>
      </c>
      <c r="AR55" s="927">
        <f>100*1.35*Chiler_Price[[#This Row],[NO. Of Evap. Cooler ]]</f>
        <v>270</v>
      </c>
      <c r="AS55" s="944">
        <v>286</v>
      </c>
      <c r="AT55" s="712"/>
      <c r="AU55" s="712"/>
      <c r="BC55" s="712"/>
      <c r="BD55" s="712"/>
      <c r="BE55" s="712"/>
      <c r="BF55" s="712"/>
      <c r="BG55" s="712"/>
      <c r="BI55" s="712"/>
    </row>
    <row r="56" spans="1:61" ht="16.5" thickBot="1">
      <c r="A56" s="939" t="s">
        <v>1965</v>
      </c>
      <c r="B56" s="940" t="s">
        <v>1966</v>
      </c>
      <c r="C56" s="927" t="s">
        <v>1965</v>
      </c>
      <c r="D56" s="936">
        <v>0</v>
      </c>
      <c r="E56" s="927">
        <v>20</v>
      </c>
      <c r="F56" s="927">
        <v>601.70000000000005</v>
      </c>
      <c r="G56" s="927">
        <v>4</v>
      </c>
      <c r="H56" s="927">
        <v>2</v>
      </c>
      <c r="I56" s="927">
        <f>Chiler_Price[[#This Row],[NO. of Cond Coils]]</f>
        <v>20</v>
      </c>
      <c r="J56" s="927">
        <v>210</v>
      </c>
      <c r="K56" s="927">
        <v>4</v>
      </c>
      <c r="L56" s="927"/>
      <c r="M56" s="927"/>
      <c r="N56" s="938">
        <v>0</v>
      </c>
      <c r="O56" s="1526">
        <v>184016</v>
      </c>
      <c r="P56" s="1526">
        <v>160725</v>
      </c>
      <c r="Q56" s="834">
        <v>0</v>
      </c>
      <c r="R56" s="927">
        <f>125*1.35*Chiler_Price[[#This Row],[NO. of Cond Coils]]</f>
        <v>3375</v>
      </c>
      <c r="S56" s="929">
        <f>Chiler_Price[[#This Row],[Cond. Coils Area (FT)]]*4*Naming!$M$62</f>
        <v>53912.32</v>
      </c>
      <c r="T56" s="929">
        <f>5*Chiler_Price[[#This Row],[Cond. Coils Area (FT)]]</f>
        <v>3008.5</v>
      </c>
      <c r="U56" s="929">
        <f>7*Chiler_Price[[#This Row],[Cond. Coils Area (FT)]]</f>
        <v>4211.9000000000005</v>
      </c>
      <c r="V56" s="928">
        <f>Chiler_Price[[#This Row],[Cond. Coils Area (FT)]]*Naming!$I$93</f>
        <v>11432.300000000001</v>
      </c>
      <c r="W56" s="930">
        <f>Chiler_Price[[#This Row],[Cond. Coils Area (FT)]]*Naming!$I$96</f>
        <v>16005.220000000001</v>
      </c>
      <c r="X56" s="928">
        <f>1.5*Chiler_Price[[#This Row],[Cond. Coils Area (FT)]]</f>
        <v>902.55000000000007</v>
      </c>
      <c r="Y56" s="927">
        <f>1500*1.35*Chiler_Price[[#This Row],[NO. Of Compressors]]</f>
        <v>8100.0000000000009</v>
      </c>
      <c r="Z56" s="927">
        <f>400*1.35*Chiler_Price[[#This Row],[NO. Of Compressors]]</f>
        <v>2160</v>
      </c>
      <c r="AA56" s="927">
        <f>650*1.35*Chiler_Price[[#This Row],[NO. Of Evap. Cooler ]]</f>
        <v>1755.0000000000002</v>
      </c>
      <c r="AB56" s="927">
        <f>650*4*1.35*Chiler_Price[[#This Row],[NO. Of Evap. Cooler ]]</f>
        <v>7020.0000000000009</v>
      </c>
      <c r="AC56" s="927">
        <f>560*1.35*Chiler_Price[[#This Row],[NO. Of Evap. Cooler ]]</f>
        <v>1512</v>
      </c>
      <c r="AD56" s="832">
        <v>0</v>
      </c>
      <c r="AE56" s="927">
        <f>700*1.35*Chiler_Price[[#This Row],[NO. Of Compressors]]</f>
        <v>3780.0000000000005</v>
      </c>
      <c r="AF56" s="927">
        <f>100*1.35*Chiler_Price[[#This Row],[NO. Of Compressors]]</f>
        <v>540</v>
      </c>
      <c r="AG56" s="927">
        <f>100*1.35*Chiler_Price[[#This Row],[NO. Of Compressors]]</f>
        <v>540</v>
      </c>
      <c r="AH56" s="927">
        <f>600*1.35*Chiler_Price[[#This Row],[NO. Of Compressors]]</f>
        <v>3240</v>
      </c>
      <c r="AI56" s="927">
        <v>405</v>
      </c>
      <c r="AJ56" s="948">
        <v>0</v>
      </c>
      <c r="AK56" s="927">
        <f>Chiler_Price[[#This Row],[NO. of Cond. Fans]]*62*1.1*1.35</f>
        <v>1841.4</v>
      </c>
      <c r="AL56" s="927">
        <f>450*1.35*Chiler_Price[[#This Row],[NO. Of Compressors]]</f>
        <v>2430</v>
      </c>
      <c r="AM56" s="927">
        <f>Chiler_Price[[#This Row],[NO. of Cond. Fans]]*62*1.1*1.35</f>
        <v>1841.4</v>
      </c>
      <c r="AN56" s="927">
        <f t="shared" si="0"/>
        <v>1282.5</v>
      </c>
      <c r="AO56" s="927">
        <f t="shared" si="1"/>
        <v>1.3515999999999999</v>
      </c>
      <c r="AP56" s="927">
        <f t="shared" si="2"/>
        <v>2430</v>
      </c>
      <c r="AQ56" s="927">
        <f>560*1.35*Chiler_Price[[#This Row],[NO. Of Evap. Cooler ]]</f>
        <v>1512</v>
      </c>
      <c r="AR56" s="927">
        <f>100*1.35*Chiler_Price[[#This Row],[NO. Of Evap. Cooler ]]</f>
        <v>270</v>
      </c>
      <c r="AS56" s="944">
        <v>286</v>
      </c>
      <c r="AT56" s="712"/>
      <c r="AU56" s="712"/>
      <c r="BC56" s="712"/>
      <c r="BD56" s="712"/>
      <c r="BE56" s="712"/>
      <c r="BF56" s="712"/>
      <c r="BG56" s="712"/>
      <c r="BI56" s="712"/>
    </row>
    <row r="57" spans="1:61" ht="16.5" thickBot="1">
      <c r="A57" s="942" t="s">
        <v>1967</v>
      </c>
      <c r="B57" s="1157" t="s">
        <v>1968</v>
      </c>
      <c r="C57" s="932" t="s">
        <v>1967</v>
      </c>
      <c r="D57" s="1158">
        <v>0</v>
      </c>
      <c r="E57" s="932">
        <v>20</v>
      </c>
      <c r="F57" s="932">
        <v>601.70000000000005</v>
      </c>
      <c r="G57" s="932">
        <v>4</v>
      </c>
      <c r="H57" s="932">
        <v>2</v>
      </c>
      <c r="I57" s="932">
        <f>Chiler_Price[[#This Row],[NO. of Cond Coils]]</f>
        <v>20</v>
      </c>
      <c r="J57" s="932">
        <v>210</v>
      </c>
      <c r="K57" s="932">
        <v>4</v>
      </c>
      <c r="L57" s="932"/>
      <c r="M57" s="932"/>
      <c r="N57" s="1159">
        <v>0</v>
      </c>
      <c r="O57" s="1526">
        <v>189775</v>
      </c>
      <c r="P57" s="1526">
        <v>166403</v>
      </c>
      <c r="Q57" s="1160">
        <v>0</v>
      </c>
      <c r="R57" s="932">
        <f>125*1.35*Chiler_Price[[#This Row],[NO. of Cond Coils]]</f>
        <v>3375</v>
      </c>
      <c r="S57" s="934">
        <f>Chiler_Price[[#This Row],[Cond. Coils Area (FT)]]*4*Naming!$M$62</f>
        <v>53912.32</v>
      </c>
      <c r="T57" s="934">
        <f>5*Chiler_Price[[#This Row],[Cond. Coils Area (FT)]]</f>
        <v>3008.5</v>
      </c>
      <c r="U57" s="934">
        <f>7*Chiler_Price[[#This Row],[Cond. Coils Area (FT)]]</f>
        <v>4211.9000000000005</v>
      </c>
      <c r="V57" s="933">
        <f>Chiler_Price[[#This Row],[Cond. Coils Area (FT)]]*Naming!$I$93</f>
        <v>11432.300000000001</v>
      </c>
      <c r="W57" s="935">
        <f>Chiler_Price[[#This Row],[Cond. Coils Area (FT)]]*Naming!$I$96</f>
        <v>16005.220000000001</v>
      </c>
      <c r="X57" s="933">
        <f>1.5*Chiler_Price[[#This Row],[Cond. Coils Area (FT)]]</f>
        <v>902.55000000000007</v>
      </c>
      <c r="Y57" s="932">
        <f>1500*1.35*Chiler_Price[[#This Row],[NO. Of Compressors]]</f>
        <v>8100.0000000000009</v>
      </c>
      <c r="Z57" s="932">
        <f>400*1.35*Chiler_Price[[#This Row],[NO. Of Compressors]]</f>
        <v>2160</v>
      </c>
      <c r="AA57" s="932">
        <f>650*1.35*Chiler_Price[[#This Row],[NO. Of Evap. Cooler ]]</f>
        <v>1755.0000000000002</v>
      </c>
      <c r="AB57" s="932">
        <f>650*4*1.35*Chiler_Price[[#This Row],[NO. Of Evap. Cooler ]]</f>
        <v>7020.0000000000009</v>
      </c>
      <c r="AC57" s="932">
        <f>560*1.35*Chiler_Price[[#This Row],[NO. Of Evap. Cooler ]]</f>
        <v>1512</v>
      </c>
      <c r="AD57" s="1161">
        <v>0</v>
      </c>
      <c r="AE57" s="932">
        <f>700*1.35*Chiler_Price[[#This Row],[NO. Of Compressors]]</f>
        <v>3780.0000000000005</v>
      </c>
      <c r="AF57" s="932">
        <f>100*1.35*Chiler_Price[[#This Row],[NO. Of Compressors]]</f>
        <v>540</v>
      </c>
      <c r="AG57" s="932">
        <f>100*1.35*Chiler_Price[[#This Row],[NO. Of Compressors]]</f>
        <v>540</v>
      </c>
      <c r="AH57" s="932">
        <f>600*1.35*Chiler_Price[[#This Row],[NO. Of Compressors]]</f>
        <v>3240</v>
      </c>
      <c r="AI57" s="932">
        <v>405</v>
      </c>
      <c r="AJ57" s="1162">
        <v>0</v>
      </c>
      <c r="AK57" s="932">
        <f>Chiler_Price[[#This Row],[NO. of Cond. Fans]]*62*1.1*1.35</f>
        <v>1841.4</v>
      </c>
      <c r="AL57" s="932">
        <f>450*1.35*Chiler_Price[[#This Row],[NO. Of Compressors]]</f>
        <v>2430</v>
      </c>
      <c r="AM57" s="932">
        <f>Chiler_Price[[#This Row],[NO. of Cond. Fans]]*62*1.1*1.35</f>
        <v>1841.4</v>
      </c>
      <c r="AN57" s="932">
        <f t="shared" si="0"/>
        <v>1282.5</v>
      </c>
      <c r="AO57" s="932">
        <f t="shared" si="1"/>
        <v>1.3515999999999999</v>
      </c>
      <c r="AP57" s="932">
        <f t="shared" si="2"/>
        <v>2430</v>
      </c>
      <c r="AQ57" s="932">
        <f>560*1.35*Chiler_Price[[#This Row],[NO. Of Evap. Cooler ]]</f>
        <v>1512</v>
      </c>
      <c r="AR57" s="932">
        <f>100*1.35*Chiler_Price[[#This Row],[NO. Of Evap. Cooler ]]</f>
        <v>270</v>
      </c>
      <c r="AS57" s="1163">
        <v>286</v>
      </c>
      <c r="AT57" s="712"/>
      <c r="AU57" s="712"/>
      <c r="BC57" s="712"/>
      <c r="BD57" s="712"/>
      <c r="BE57" s="712"/>
      <c r="BF57" s="712"/>
      <c r="BG57" s="712"/>
      <c r="BI57" s="712"/>
    </row>
    <row r="58" spans="1:61" ht="13.5" thickBot="1">
      <c r="A58" s="1170" t="s">
        <v>2559</v>
      </c>
      <c r="B58" s="1171" t="s">
        <v>2559</v>
      </c>
      <c r="C58" s="1172" t="s">
        <v>2559</v>
      </c>
      <c r="D58" s="1172" t="s">
        <v>2559</v>
      </c>
      <c r="E58" s="1172" t="s">
        <v>2559</v>
      </c>
      <c r="F58" s="1172" t="s">
        <v>2559</v>
      </c>
      <c r="G58" s="1172" t="s">
        <v>2559</v>
      </c>
      <c r="H58" s="1172" t="s">
        <v>2559</v>
      </c>
      <c r="I58" s="1172" t="s">
        <v>2559</v>
      </c>
      <c r="J58" s="1172" t="s">
        <v>2559</v>
      </c>
      <c r="K58" s="1172" t="s">
        <v>2559</v>
      </c>
      <c r="L58" s="1172" t="s">
        <v>2559</v>
      </c>
      <c r="M58" s="1172" t="s">
        <v>2559</v>
      </c>
      <c r="N58" s="1172" t="s">
        <v>2559</v>
      </c>
      <c r="O58" s="1172" t="s">
        <v>2559</v>
      </c>
      <c r="P58" s="1172" t="s">
        <v>2559</v>
      </c>
      <c r="Q58" s="1172" t="s">
        <v>2559</v>
      </c>
      <c r="R58" s="1172" t="s">
        <v>2559</v>
      </c>
      <c r="S58" s="1172" t="s">
        <v>2559</v>
      </c>
      <c r="T58" s="1172" t="s">
        <v>2559</v>
      </c>
      <c r="U58" s="1172" t="s">
        <v>2559</v>
      </c>
      <c r="V58" s="1172" t="s">
        <v>2559</v>
      </c>
      <c r="W58" s="1172" t="s">
        <v>2559</v>
      </c>
      <c r="X58" s="1172" t="s">
        <v>2559</v>
      </c>
      <c r="Y58" s="1172" t="s">
        <v>2559</v>
      </c>
      <c r="Z58" s="1172" t="s">
        <v>2559</v>
      </c>
      <c r="AA58" s="1172" t="s">
        <v>2559</v>
      </c>
      <c r="AB58" s="1172" t="s">
        <v>2559</v>
      </c>
      <c r="AC58" s="1172" t="s">
        <v>2559</v>
      </c>
      <c r="AD58" s="1172" t="s">
        <v>2559</v>
      </c>
      <c r="AE58" s="1172" t="s">
        <v>2559</v>
      </c>
      <c r="AF58" s="1172" t="s">
        <v>2559</v>
      </c>
      <c r="AG58" s="1172" t="s">
        <v>2559</v>
      </c>
      <c r="AH58" s="1172" t="s">
        <v>2559</v>
      </c>
      <c r="AI58" s="1172" t="s">
        <v>2559</v>
      </c>
      <c r="AJ58" s="1172" t="s">
        <v>2559</v>
      </c>
      <c r="AK58" s="1172" t="s">
        <v>2559</v>
      </c>
      <c r="AL58" s="1172" t="s">
        <v>2559</v>
      </c>
      <c r="AM58" s="1172" t="s">
        <v>2559</v>
      </c>
      <c r="AN58" s="1172" t="s">
        <v>2559</v>
      </c>
      <c r="AO58" s="1172" t="s">
        <v>2559</v>
      </c>
      <c r="AP58" s="1172" t="s">
        <v>2559</v>
      </c>
      <c r="AQ58" s="1172" t="s">
        <v>2559</v>
      </c>
      <c r="AR58" s="1172" t="s">
        <v>2559</v>
      </c>
      <c r="AS58" s="1173" t="s">
        <v>2559</v>
      </c>
      <c r="AT58" s="712"/>
      <c r="AU58" s="712"/>
      <c r="BC58" s="712"/>
      <c r="BD58" s="712"/>
      <c r="BE58" s="712"/>
      <c r="BF58" s="712"/>
      <c r="BG58" s="712"/>
      <c r="BI58" s="712"/>
    </row>
    <row r="59" spans="1:61" ht="12.75">
      <c r="A59" s="1164" t="s">
        <v>1969</v>
      </c>
      <c r="B59" s="1165">
        <v>0</v>
      </c>
      <c r="C59" s="944">
        <v>0</v>
      </c>
      <c r="D59" s="944">
        <v>0</v>
      </c>
      <c r="E59" s="944">
        <v>2</v>
      </c>
      <c r="F59" s="944">
        <v>60.16</v>
      </c>
      <c r="G59" s="944">
        <v>2</v>
      </c>
      <c r="H59" s="944">
        <v>1</v>
      </c>
      <c r="I59" s="944">
        <f>Chiler_Price[[#This Row],[NO. of Cond Coils]]</f>
        <v>2</v>
      </c>
      <c r="J59" s="944">
        <v>25.8</v>
      </c>
      <c r="K59" s="944">
        <v>1</v>
      </c>
      <c r="L59" s="944">
        <v>30</v>
      </c>
      <c r="M59" s="944">
        <v>1</v>
      </c>
      <c r="N59" s="938">
        <v>0</v>
      </c>
      <c r="O59" s="1166">
        <v>16668.460000000003</v>
      </c>
      <c r="P59" s="1167">
        <v>14675.050000000001</v>
      </c>
      <c r="Q59" s="1167">
        <v>0</v>
      </c>
      <c r="R59" s="944">
        <f>125*1.35*Chiler_Price[[#This Row],[NO. of Cond Coils]]</f>
        <v>337.5</v>
      </c>
      <c r="S59" s="1168">
        <f>Chiler_Price[[#This Row],[Cond. Coils Area (FT)]]*4*Naming!$M$62</f>
        <v>5390.3359999999993</v>
      </c>
      <c r="T59" s="1168">
        <f>5*Chiler_Price[[#This Row],[Cond. Coils Area (FT)]]</f>
        <v>300.79999999999995</v>
      </c>
      <c r="U59" s="1168">
        <f>7*Chiler_Price[[#This Row],[Cond. Coils Area (FT)]]</f>
        <v>421.12</v>
      </c>
      <c r="V59" s="1167">
        <f>Chiler_Price[[#This Row],[Cond. Coils Area (FT)]]*Naming!$I$93</f>
        <v>1143.04</v>
      </c>
      <c r="W59" s="1169">
        <f>Chiler_Price[[#This Row],[Cond. Coils Area (FT)]]*Naming!$I$96</f>
        <v>1600.2560000000001</v>
      </c>
      <c r="X59" s="1167">
        <f>1.5*Chiler_Price[[#This Row],[Cond. Coils Area (FT)]]</f>
        <v>90.24</v>
      </c>
      <c r="Y59" s="944">
        <f>1500*1.35*Chiler_Price[[#This Row],[NO. Of Compressors]]</f>
        <v>4050.0000000000005</v>
      </c>
      <c r="Z59" s="944">
        <f>400*1.35*Chiler_Price[[#This Row],[NO. Of Compressors]]</f>
        <v>1080</v>
      </c>
      <c r="AA59" s="944">
        <f>650*1.35*Chiler_Price[[#This Row],[NO. Of Evap. Cooler ]]</f>
        <v>877.50000000000011</v>
      </c>
      <c r="AB59" s="944">
        <f>650*4*1.35*Chiler_Price[[#This Row],[NO. Of Evap. Cooler ]]</f>
        <v>3510.0000000000005</v>
      </c>
      <c r="AC59" s="944">
        <f>560*1.35*Chiler_Price[[#This Row],[NO. Of Evap. Cooler ]]</f>
        <v>756</v>
      </c>
      <c r="AD59" s="944">
        <v>0</v>
      </c>
      <c r="AE59" s="944">
        <f>700*1.35*Chiler_Price[[#This Row],[NO. Of Compressors]]</f>
        <v>1890.0000000000002</v>
      </c>
      <c r="AF59" s="944">
        <f>100*1.35*Chiler_Price[[#This Row],[NO. Of Compressors]]</f>
        <v>270</v>
      </c>
      <c r="AG59" s="944">
        <f>100*1.35*Chiler_Price[[#This Row],[NO. Of Compressors]]</f>
        <v>270</v>
      </c>
      <c r="AH59" s="944">
        <f>600*1.35*Chiler_Price[[#This Row],[NO. Of Compressors]]</f>
        <v>1620</v>
      </c>
      <c r="AI59" s="944">
        <v>405</v>
      </c>
      <c r="AJ59" s="944">
        <v>0</v>
      </c>
      <c r="AK59" s="944">
        <f>Chiler_Price[[#This Row],[NO. of Cond. Fans]]*62*1.1*1.35</f>
        <v>184.14000000000001</v>
      </c>
      <c r="AL59" s="944">
        <f>450*1.35*Chiler_Price[[#This Row],[NO. Of Compressors]]</f>
        <v>1215</v>
      </c>
      <c r="AM59" s="944">
        <f>Chiler_Price[[#This Row],[NO. of Cond. Fans]]*62*1.1*1.35</f>
        <v>184.14000000000001</v>
      </c>
      <c r="AN59" s="944">
        <f t="shared" si="0"/>
        <v>1282.5</v>
      </c>
      <c r="AO59" s="944">
        <f t="shared" si="1"/>
        <v>1.3515999999999999</v>
      </c>
      <c r="AP59" s="944">
        <f t="shared" si="2"/>
        <v>2430</v>
      </c>
      <c r="AQ59" s="944">
        <f>560*1.35*Chiler_Price[[#This Row],[NO. Of Evap. Cooler ]]</f>
        <v>756</v>
      </c>
      <c r="AR59" s="944">
        <f>100*1.35*Chiler_Price[[#This Row],[NO. Of Evap. Cooler ]]</f>
        <v>135</v>
      </c>
      <c r="AS59" s="944">
        <v>286</v>
      </c>
      <c r="AT59" s="712"/>
      <c r="AU59" s="712"/>
      <c r="BC59" s="712"/>
      <c r="BD59" s="712"/>
      <c r="BE59" s="712"/>
      <c r="BF59" s="712"/>
      <c r="BG59" s="712"/>
      <c r="BI59" s="712"/>
    </row>
    <row r="60" spans="1:61" ht="12.75">
      <c r="A60" s="939" t="s">
        <v>1970</v>
      </c>
      <c r="B60" s="927" t="s">
        <v>1971</v>
      </c>
      <c r="C60" s="927" t="s">
        <v>1971</v>
      </c>
      <c r="D60" s="927">
        <v>0</v>
      </c>
      <c r="E60" s="927">
        <v>2</v>
      </c>
      <c r="F60" s="927">
        <v>68.599999999999994</v>
      </c>
      <c r="G60" s="927">
        <v>2</v>
      </c>
      <c r="H60" s="927">
        <v>1</v>
      </c>
      <c r="I60" s="927">
        <f>Chiler_Price[[#This Row],[NO. of Cond Coils]]</f>
        <v>2</v>
      </c>
      <c r="J60" s="927">
        <v>30</v>
      </c>
      <c r="K60" s="927">
        <v>2</v>
      </c>
      <c r="L60" s="927"/>
      <c r="M60" s="927"/>
      <c r="N60" s="938">
        <v>0</v>
      </c>
      <c r="O60" s="941">
        <v>17757.72</v>
      </c>
      <c r="P60" s="928">
        <v>15763.240000000002</v>
      </c>
      <c r="Q60" s="928">
        <v>0</v>
      </c>
      <c r="R60" s="927">
        <f>125*1.35*Chiler_Price[[#This Row],[NO. of Cond Coils]]</f>
        <v>337.5</v>
      </c>
      <c r="S60" s="929">
        <f>Chiler_Price[[#This Row],[Cond. Coils Area (FT)]]*4*Naming!$M$62</f>
        <v>6146.5599999999995</v>
      </c>
      <c r="T60" s="929">
        <f>5*Chiler_Price[[#This Row],[Cond. Coils Area (FT)]]</f>
        <v>343</v>
      </c>
      <c r="U60" s="929">
        <f>7*Chiler_Price[[#This Row],[Cond. Coils Area (FT)]]</f>
        <v>480.19999999999993</v>
      </c>
      <c r="V60" s="928">
        <f>Chiler_Price[[#This Row],[Cond. Coils Area (FT)]]*Naming!$I$93</f>
        <v>1303.3999999999999</v>
      </c>
      <c r="W60" s="930">
        <f>Chiler_Price[[#This Row],[Cond. Coils Area (FT)]]*Naming!$I$96</f>
        <v>1824.76</v>
      </c>
      <c r="X60" s="928">
        <f>1.5*Chiler_Price[[#This Row],[Cond. Coils Area (FT)]]</f>
        <v>102.89999999999999</v>
      </c>
      <c r="Y60" s="927">
        <f>1500*1.35*Chiler_Price[[#This Row],[NO. Of Compressors]]</f>
        <v>4050.0000000000005</v>
      </c>
      <c r="Z60" s="927">
        <f>400*1.35*Chiler_Price[[#This Row],[NO. Of Compressors]]</f>
        <v>1080</v>
      </c>
      <c r="AA60" s="927">
        <f>650*1.35*Chiler_Price[[#This Row],[NO. Of Evap. Cooler ]]</f>
        <v>877.50000000000011</v>
      </c>
      <c r="AB60" s="927">
        <f>650*4*1.35*Chiler_Price[[#This Row],[NO. Of Evap. Cooler ]]</f>
        <v>3510.0000000000005</v>
      </c>
      <c r="AC60" s="927">
        <f>560*1.35*Chiler_Price[[#This Row],[NO. Of Evap. Cooler ]]</f>
        <v>756</v>
      </c>
      <c r="AD60" s="927">
        <v>0</v>
      </c>
      <c r="AE60" s="927">
        <f>700*1.35*Chiler_Price[[#This Row],[NO. Of Compressors]]</f>
        <v>1890.0000000000002</v>
      </c>
      <c r="AF60" s="927">
        <f>100*1.35*Chiler_Price[[#This Row],[NO. Of Compressors]]</f>
        <v>270</v>
      </c>
      <c r="AG60" s="927">
        <f>100*1.35*Chiler_Price[[#This Row],[NO. Of Compressors]]</f>
        <v>270</v>
      </c>
      <c r="AH60" s="927">
        <f>600*1.35*Chiler_Price[[#This Row],[NO. Of Compressors]]</f>
        <v>1620</v>
      </c>
      <c r="AI60" s="927">
        <v>405</v>
      </c>
      <c r="AJ60" s="927">
        <v>0</v>
      </c>
      <c r="AK60" s="927">
        <f>Chiler_Price[[#This Row],[NO. of Cond. Fans]]*62*1.1*1.35</f>
        <v>184.14000000000001</v>
      </c>
      <c r="AL60" s="927">
        <f>450*1.35*Chiler_Price[[#This Row],[NO. Of Compressors]]</f>
        <v>1215</v>
      </c>
      <c r="AM60" s="927">
        <f>Chiler_Price[[#This Row],[NO. of Cond. Fans]]*62*1.1*1.35</f>
        <v>184.14000000000001</v>
      </c>
      <c r="AN60" s="927">
        <f t="shared" si="0"/>
        <v>1282.5</v>
      </c>
      <c r="AO60" s="927">
        <f t="shared" si="1"/>
        <v>1.3515999999999999</v>
      </c>
      <c r="AP60" s="927">
        <f t="shared" si="2"/>
        <v>2430</v>
      </c>
      <c r="AQ60" s="927">
        <f>560*1.35*Chiler_Price[[#This Row],[NO. Of Evap. Cooler ]]</f>
        <v>756</v>
      </c>
      <c r="AR60" s="927">
        <f>100*1.35*Chiler_Price[[#This Row],[NO. Of Evap. Cooler ]]</f>
        <v>135</v>
      </c>
      <c r="AS60" s="944">
        <v>286</v>
      </c>
      <c r="AT60" s="712"/>
      <c r="AU60" s="712"/>
      <c r="BC60" s="712"/>
      <c r="BD60" s="712"/>
      <c r="BE60" s="712"/>
      <c r="BF60" s="712"/>
      <c r="BG60" s="712"/>
      <c r="BI60" s="712"/>
    </row>
    <row r="61" spans="1:61" ht="12.75">
      <c r="A61" s="939" t="s">
        <v>1972</v>
      </c>
      <c r="B61" s="940">
        <v>0</v>
      </c>
      <c r="C61" s="927">
        <v>0</v>
      </c>
      <c r="D61" s="927">
        <v>0</v>
      </c>
      <c r="E61" s="927">
        <v>4</v>
      </c>
      <c r="F61" s="927">
        <v>137.19999999999999</v>
      </c>
      <c r="G61" s="927">
        <v>3</v>
      </c>
      <c r="H61" s="927">
        <v>1</v>
      </c>
      <c r="I61" s="927">
        <f>Chiler_Price[[#This Row],[NO. of Cond Coils]]</f>
        <v>4</v>
      </c>
      <c r="J61" s="927">
        <v>20</v>
      </c>
      <c r="K61" s="927">
        <v>2</v>
      </c>
      <c r="L61" s="927">
        <v>30</v>
      </c>
      <c r="M61" s="927">
        <v>1</v>
      </c>
      <c r="N61" s="938">
        <v>0</v>
      </c>
      <c r="O61" s="941">
        <v>23980.84</v>
      </c>
      <c r="P61" s="928">
        <v>21404.280000000002</v>
      </c>
      <c r="Q61" s="928">
        <v>0</v>
      </c>
      <c r="R61" s="927">
        <f>125*1.35*Chiler_Price[[#This Row],[NO. of Cond Coils]]</f>
        <v>675</v>
      </c>
      <c r="S61" s="929">
        <f>Chiler_Price[[#This Row],[Cond. Coils Area (FT)]]*4*Naming!$M$62</f>
        <v>12293.119999999999</v>
      </c>
      <c r="T61" s="929">
        <f>5*Chiler_Price[[#This Row],[Cond. Coils Area (FT)]]</f>
        <v>686</v>
      </c>
      <c r="U61" s="929">
        <f>7*Chiler_Price[[#This Row],[Cond. Coils Area (FT)]]</f>
        <v>960.39999999999986</v>
      </c>
      <c r="V61" s="928">
        <f>Chiler_Price[[#This Row],[Cond. Coils Area (FT)]]*Naming!$I$93</f>
        <v>2606.7999999999997</v>
      </c>
      <c r="W61" s="930">
        <f>Chiler_Price[[#This Row],[Cond. Coils Area (FT)]]*Naming!$I$96</f>
        <v>3649.52</v>
      </c>
      <c r="X61" s="928">
        <f>1.5*Chiler_Price[[#This Row],[Cond. Coils Area (FT)]]</f>
        <v>205.79999999999998</v>
      </c>
      <c r="Y61" s="927">
        <f>1500*1.35*Chiler_Price[[#This Row],[NO. Of Compressors]]</f>
        <v>6075.0000000000009</v>
      </c>
      <c r="Z61" s="927">
        <f>400*1.35*Chiler_Price[[#This Row],[NO. Of Compressors]]</f>
        <v>1620</v>
      </c>
      <c r="AA61" s="927">
        <f>650*1.35*Chiler_Price[[#This Row],[NO. Of Evap. Cooler ]]</f>
        <v>877.50000000000011</v>
      </c>
      <c r="AB61" s="927">
        <f>650*4*1.35*Chiler_Price[[#This Row],[NO. Of Evap. Cooler ]]</f>
        <v>3510.0000000000005</v>
      </c>
      <c r="AC61" s="927">
        <f>560*1.35*Chiler_Price[[#This Row],[NO. Of Evap. Cooler ]]</f>
        <v>756</v>
      </c>
      <c r="AD61" s="927">
        <v>0</v>
      </c>
      <c r="AE61" s="927">
        <f>700*1.35*Chiler_Price[[#This Row],[NO. Of Compressors]]</f>
        <v>2835.0000000000005</v>
      </c>
      <c r="AF61" s="927">
        <f>100*1.35*Chiler_Price[[#This Row],[NO. Of Compressors]]</f>
        <v>405</v>
      </c>
      <c r="AG61" s="927">
        <f>100*1.35*Chiler_Price[[#This Row],[NO. Of Compressors]]</f>
        <v>405</v>
      </c>
      <c r="AH61" s="927">
        <f>600*1.35*Chiler_Price[[#This Row],[NO. Of Compressors]]</f>
        <v>2430</v>
      </c>
      <c r="AI61" s="927">
        <v>405</v>
      </c>
      <c r="AJ61" s="927">
        <v>0</v>
      </c>
      <c r="AK61" s="927">
        <f>Chiler_Price[[#This Row],[NO. of Cond. Fans]]*62*1.1*1.35</f>
        <v>368.28000000000003</v>
      </c>
      <c r="AL61" s="927">
        <f>450*1.35*Chiler_Price[[#This Row],[NO. Of Compressors]]</f>
        <v>1822.5</v>
      </c>
      <c r="AM61" s="927">
        <f>Chiler_Price[[#This Row],[NO. of Cond. Fans]]*62*1.1*1.35</f>
        <v>368.28000000000003</v>
      </c>
      <c r="AN61" s="927">
        <f t="shared" si="0"/>
        <v>1282.5</v>
      </c>
      <c r="AO61" s="927">
        <f t="shared" si="1"/>
        <v>1.3515999999999999</v>
      </c>
      <c r="AP61" s="927">
        <f t="shared" si="2"/>
        <v>2430</v>
      </c>
      <c r="AQ61" s="927">
        <f>560*1.35*Chiler_Price[[#This Row],[NO. Of Evap. Cooler ]]</f>
        <v>756</v>
      </c>
      <c r="AR61" s="927">
        <f>100*1.35*Chiler_Price[[#This Row],[NO. Of Evap. Cooler ]]</f>
        <v>135</v>
      </c>
      <c r="AS61" s="944">
        <v>286</v>
      </c>
      <c r="AT61" s="712"/>
      <c r="AU61" s="712"/>
      <c r="BC61" s="712"/>
      <c r="BD61" s="712"/>
      <c r="BE61" s="712"/>
      <c r="BF61" s="712"/>
      <c r="BG61" s="712"/>
      <c r="BI61" s="712"/>
    </row>
    <row r="62" spans="1:61" ht="12.75">
      <c r="A62" s="939" t="s">
        <v>1973</v>
      </c>
      <c r="B62" s="927" t="s">
        <v>1974</v>
      </c>
      <c r="C62" s="927" t="s">
        <v>1974</v>
      </c>
      <c r="D62" s="927">
        <v>0</v>
      </c>
      <c r="E62" s="927">
        <v>4</v>
      </c>
      <c r="F62" s="927">
        <v>137.19999999999999</v>
      </c>
      <c r="G62" s="927">
        <v>4</v>
      </c>
      <c r="H62" s="927">
        <v>1</v>
      </c>
      <c r="I62" s="927">
        <f>Chiler_Price[[#This Row],[NO. of Cond Coils]]</f>
        <v>4</v>
      </c>
      <c r="J62" s="927">
        <v>20</v>
      </c>
      <c r="K62" s="927">
        <v>4</v>
      </c>
      <c r="L62" s="927"/>
      <c r="M62" s="927"/>
      <c r="N62" s="938">
        <v>0</v>
      </c>
      <c r="O62" s="941">
        <v>26713.620000000003</v>
      </c>
      <c r="P62" s="928">
        <v>24138.13</v>
      </c>
      <c r="Q62" s="928">
        <v>0</v>
      </c>
      <c r="R62" s="927">
        <f>125*1.35*Chiler_Price[[#This Row],[NO. of Cond Coils]]</f>
        <v>675</v>
      </c>
      <c r="S62" s="929">
        <f>Chiler_Price[[#This Row],[Cond. Coils Area (FT)]]*4*Naming!$M$62</f>
        <v>12293.119999999999</v>
      </c>
      <c r="T62" s="929">
        <f>5*Chiler_Price[[#This Row],[Cond. Coils Area (FT)]]</f>
        <v>686</v>
      </c>
      <c r="U62" s="929">
        <f>7*Chiler_Price[[#This Row],[Cond. Coils Area (FT)]]</f>
        <v>960.39999999999986</v>
      </c>
      <c r="V62" s="928">
        <f>Chiler_Price[[#This Row],[Cond. Coils Area (FT)]]*Naming!$I$93</f>
        <v>2606.7999999999997</v>
      </c>
      <c r="W62" s="930">
        <f>Chiler_Price[[#This Row],[Cond. Coils Area (FT)]]*Naming!$I$96</f>
        <v>3649.52</v>
      </c>
      <c r="X62" s="928">
        <f>1.5*Chiler_Price[[#This Row],[Cond. Coils Area (FT)]]</f>
        <v>205.79999999999998</v>
      </c>
      <c r="Y62" s="927">
        <f>1500*1.35*Chiler_Price[[#This Row],[NO. Of Compressors]]</f>
        <v>8100.0000000000009</v>
      </c>
      <c r="Z62" s="927">
        <f>400*1.35*Chiler_Price[[#This Row],[NO. Of Compressors]]</f>
        <v>2160</v>
      </c>
      <c r="AA62" s="927">
        <f>650*1.35*Chiler_Price[[#This Row],[NO. Of Evap. Cooler ]]</f>
        <v>877.50000000000011</v>
      </c>
      <c r="AB62" s="927">
        <f>650*4*1.35*Chiler_Price[[#This Row],[NO. Of Evap. Cooler ]]</f>
        <v>3510.0000000000005</v>
      </c>
      <c r="AC62" s="927">
        <f>560*1.35*Chiler_Price[[#This Row],[NO. Of Evap. Cooler ]]</f>
        <v>756</v>
      </c>
      <c r="AD62" s="927">
        <v>0</v>
      </c>
      <c r="AE62" s="927">
        <f>700*1.35*Chiler_Price[[#This Row],[NO. Of Compressors]]</f>
        <v>3780.0000000000005</v>
      </c>
      <c r="AF62" s="927">
        <f>100*1.35*Chiler_Price[[#This Row],[NO. Of Compressors]]</f>
        <v>540</v>
      </c>
      <c r="AG62" s="927">
        <f>100*1.35*Chiler_Price[[#This Row],[NO. Of Compressors]]</f>
        <v>540</v>
      </c>
      <c r="AH62" s="927">
        <f>600*1.35*Chiler_Price[[#This Row],[NO. Of Compressors]]</f>
        <v>3240</v>
      </c>
      <c r="AI62" s="927">
        <v>405</v>
      </c>
      <c r="AJ62" s="927">
        <v>0</v>
      </c>
      <c r="AK62" s="927">
        <f>Chiler_Price[[#This Row],[NO. of Cond. Fans]]*62*1.1*1.35</f>
        <v>368.28000000000003</v>
      </c>
      <c r="AL62" s="927">
        <f>450*1.35*Chiler_Price[[#This Row],[NO. Of Compressors]]</f>
        <v>2430</v>
      </c>
      <c r="AM62" s="927">
        <f>Chiler_Price[[#This Row],[NO. of Cond. Fans]]*62*1.1*1.35</f>
        <v>368.28000000000003</v>
      </c>
      <c r="AN62" s="927">
        <f t="shared" si="0"/>
        <v>1282.5</v>
      </c>
      <c r="AO62" s="927">
        <f t="shared" si="1"/>
        <v>1.3515999999999999</v>
      </c>
      <c r="AP62" s="927">
        <f t="shared" si="2"/>
        <v>2430</v>
      </c>
      <c r="AQ62" s="927">
        <f>560*1.35*Chiler_Price[[#This Row],[NO. Of Evap. Cooler ]]</f>
        <v>756</v>
      </c>
      <c r="AR62" s="927">
        <f>100*1.35*Chiler_Price[[#This Row],[NO. Of Evap. Cooler ]]</f>
        <v>135</v>
      </c>
      <c r="AS62" s="944">
        <v>286</v>
      </c>
      <c r="AT62" s="712"/>
      <c r="AU62" s="712"/>
      <c r="BC62" s="712"/>
      <c r="BD62" s="712"/>
      <c r="BE62" s="712"/>
      <c r="BF62" s="712"/>
      <c r="BG62" s="712"/>
      <c r="BI62" s="712"/>
    </row>
    <row r="63" spans="1:61" ht="12.75">
      <c r="A63" s="939" t="s">
        <v>1975</v>
      </c>
      <c r="B63" s="940">
        <v>0</v>
      </c>
      <c r="C63" s="927">
        <v>0</v>
      </c>
      <c r="D63" s="927">
        <v>0</v>
      </c>
      <c r="E63" s="927">
        <v>4</v>
      </c>
      <c r="F63" s="927">
        <v>137.19999999999999</v>
      </c>
      <c r="G63" s="927">
        <v>4</v>
      </c>
      <c r="H63" s="927">
        <v>1</v>
      </c>
      <c r="I63" s="927">
        <f>Chiler_Price[[#This Row],[NO. of Cond Coils]]</f>
        <v>4</v>
      </c>
      <c r="J63" s="927">
        <v>20</v>
      </c>
      <c r="K63" s="927">
        <v>2</v>
      </c>
      <c r="L63" s="927">
        <v>25.8</v>
      </c>
      <c r="M63" s="927">
        <v>2</v>
      </c>
      <c r="N63" s="938">
        <v>0</v>
      </c>
      <c r="O63" s="941">
        <v>28714.52</v>
      </c>
      <c r="P63" s="928">
        <v>24725.56</v>
      </c>
      <c r="Q63" s="928">
        <v>0</v>
      </c>
      <c r="R63" s="927">
        <f>125*1.35*Chiler_Price[[#This Row],[NO. of Cond Coils]]</f>
        <v>675</v>
      </c>
      <c r="S63" s="929">
        <f>Chiler_Price[[#This Row],[Cond. Coils Area (FT)]]*4*Naming!$M$62</f>
        <v>12293.119999999999</v>
      </c>
      <c r="T63" s="929">
        <f>5*Chiler_Price[[#This Row],[Cond. Coils Area (FT)]]</f>
        <v>686</v>
      </c>
      <c r="U63" s="929">
        <f>7*Chiler_Price[[#This Row],[Cond. Coils Area (FT)]]</f>
        <v>960.39999999999986</v>
      </c>
      <c r="V63" s="928">
        <f>Chiler_Price[[#This Row],[Cond. Coils Area (FT)]]*Naming!$I$93</f>
        <v>2606.7999999999997</v>
      </c>
      <c r="W63" s="930">
        <f>Chiler_Price[[#This Row],[Cond. Coils Area (FT)]]*Naming!$I$96</f>
        <v>3649.52</v>
      </c>
      <c r="X63" s="928">
        <f>1.5*Chiler_Price[[#This Row],[Cond. Coils Area (FT)]]</f>
        <v>205.79999999999998</v>
      </c>
      <c r="Y63" s="927">
        <f>1500*1.35*Chiler_Price[[#This Row],[NO. Of Compressors]]</f>
        <v>8100.0000000000009</v>
      </c>
      <c r="Z63" s="927">
        <f>400*1.35*Chiler_Price[[#This Row],[NO. Of Compressors]]</f>
        <v>2160</v>
      </c>
      <c r="AA63" s="927">
        <f>650*1.35*Chiler_Price[[#This Row],[NO. Of Evap. Cooler ]]</f>
        <v>877.50000000000011</v>
      </c>
      <c r="AB63" s="927">
        <f>650*4*1.35*Chiler_Price[[#This Row],[NO. Of Evap. Cooler ]]</f>
        <v>3510.0000000000005</v>
      </c>
      <c r="AC63" s="927">
        <f>560*1.35*Chiler_Price[[#This Row],[NO. Of Evap. Cooler ]]</f>
        <v>756</v>
      </c>
      <c r="AD63" s="927">
        <v>0</v>
      </c>
      <c r="AE63" s="927">
        <f>700*1.35*Chiler_Price[[#This Row],[NO. Of Compressors]]</f>
        <v>3780.0000000000005</v>
      </c>
      <c r="AF63" s="927">
        <f>100*1.35*Chiler_Price[[#This Row],[NO. Of Compressors]]</f>
        <v>540</v>
      </c>
      <c r="AG63" s="927">
        <f>100*1.35*Chiler_Price[[#This Row],[NO. Of Compressors]]</f>
        <v>540</v>
      </c>
      <c r="AH63" s="927">
        <f>600*1.35*Chiler_Price[[#This Row],[NO. Of Compressors]]</f>
        <v>3240</v>
      </c>
      <c r="AI63" s="927">
        <v>405</v>
      </c>
      <c r="AJ63" s="927">
        <v>0</v>
      </c>
      <c r="AK63" s="927">
        <f>Chiler_Price[[#This Row],[NO. of Cond. Fans]]*62*1.1*1.35</f>
        <v>368.28000000000003</v>
      </c>
      <c r="AL63" s="927">
        <f>450*1.35*Chiler_Price[[#This Row],[NO. Of Compressors]]</f>
        <v>2430</v>
      </c>
      <c r="AM63" s="927">
        <f>Chiler_Price[[#This Row],[NO. of Cond. Fans]]*62*1.1*1.35</f>
        <v>368.28000000000003</v>
      </c>
      <c r="AN63" s="927">
        <f t="shared" si="0"/>
        <v>1282.5</v>
      </c>
      <c r="AO63" s="927">
        <f t="shared" si="1"/>
        <v>1.3515999999999999</v>
      </c>
      <c r="AP63" s="927">
        <f t="shared" si="2"/>
        <v>2430</v>
      </c>
      <c r="AQ63" s="927">
        <f>560*1.35*Chiler_Price[[#This Row],[NO. Of Evap. Cooler ]]</f>
        <v>756</v>
      </c>
      <c r="AR63" s="927">
        <f>100*1.35*Chiler_Price[[#This Row],[NO. Of Evap. Cooler ]]</f>
        <v>135</v>
      </c>
      <c r="AS63" s="944">
        <v>286</v>
      </c>
      <c r="AT63" s="712"/>
      <c r="AU63" s="712"/>
      <c r="BC63" s="712"/>
      <c r="BD63" s="712"/>
      <c r="BE63" s="712"/>
      <c r="BF63" s="712"/>
      <c r="BG63" s="712"/>
      <c r="BI63" s="712"/>
    </row>
    <row r="64" spans="1:61" ht="12.75">
      <c r="A64" s="939" t="s">
        <v>1976</v>
      </c>
      <c r="B64" s="940">
        <v>0</v>
      </c>
      <c r="C64" s="927">
        <v>0</v>
      </c>
      <c r="D64" s="927">
        <v>0</v>
      </c>
      <c r="E64" s="927">
        <v>4</v>
      </c>
      <c r="F64" s="927">
        <v>137.19999999999999</v>
      </c>
      <c r="G64" s="927">
        <v>4</v>
      </c>
      <c r="H64" s="927">
        <v>1</v>
      </c>
      <c r="I64" s="927">
        <f>Chiler_Price[[#This Row],[NO. of Cond Coils]]</f>
        <v>4</v>
      </c>
      <c r="J64" s="927">
        <v>25.8</v>
      </c>
      <c r="K64" s="927">
        <v>4</v>
      </c>
      <c r="L64" s="927"/>
      <c r="M64" s="927"/>
      <c r="N64" s="938">
        <v>0</v>
      </c>
      <c r="O64" s="941">
        <v>30134.410000000003</v>
      </c>
      <c r="P64" s="928">
        <v>26145.45</v>
      </c>
      <c r="Q64" s="928">
        <v>0</v>
      </c>
      <c r="R64" s="927">
        <f>125*1.35*Chiler_Price[[#This Row],[NO. of Cond Coils]]</f>
        <v>675</v>
      </c>
      <c r="S64" s="929">
        <f>Chiler_Price[[#This Row],[Cond. Coils Area (FT)]]*4*Naming!$M$62</f>
        <v>12293.119999999999</v>
      </c>
      <c r="T64" s="929">
        <f>5*Chiler_Price[[#This Row],[Cond. Coils Area (FT)]]</f>
        <v>686</v>
      </c>
      <c r="U64" s="929">
        <f>7*Chiler_Price[[#This Row],[Cond. Coils Area (FT)]]</f>
        <v>960.39999999999986</v>
      </c>
      <c r="V64" s="928">
        <f>Chiler_Price[[#This Row],[Cond. Coils Area (FT)]]*Naming!$I$93</f>
        <v>2606.7999999999997</v>
      </c>
      <c r="W64" s="930">
        <f>Chiler_Price[[#This Row],[Cond. Coils Area (FT)]]*Naming!$I$96</f>
        <v>3649.52</v>
      </c>
      <c r="X64" s="928">
        <f>1.5*Chiler_Price[[#This Row],[Cond. Coils Area (FT)]]</f>
        <v>205.79999999999998</v>
      </c>
      <c r="Y64" s="927">
        <f>1500*1.35*Chiler_Price[[#This Row],[NO. Of Compressors]]</f>
        <v>8100.0000000000009</v>
      </c>
      <c r="Z64" s="927">
        <f>400*1.35*Chiler_Price[[#This Row],[NO. Of Compressors]]</f>
        <v>2160</v>
      </c>
      <c r="AA64" s="927">
        <f>650*1.35*Chiler_Price[[#This Row],[NO. Of Evap. Cooler ]]</f>
        <v>877.50000000000011</v>
      </c>
      <c r="AB64" s="927">
        <f>650*4*1.35*Chiler_Price[[#This Row],[NO. Of Evap. Cooler ]]</f>
        <v>3510.0000000000005</v>
      </c>
      <c r="AC64" s="927">
        <f>560*1.35*Chiler_Price[[#This Row],[NO. Of Evap. Cooler ]]</f>
        <v>756</v>
      </c>
      <c r="AD64" s="927">
        <v>0</v>
      </c>
      <c r="AE64" s="927">
        <f>700*1.35*Chiler_Price[[#This Row],[NO. Of Compressors]]</f>
        <v>3780.0000000000005</v>
      </c>
      <c r="AF64" s="927">
        <f>100*1.35*Chiler_Price[[#This Row],[NO. Of Compressors]]</f>
        <v>540</v>
      </c>
      <c r="AG64" s="927">
        <f>100*1.35*Chiler_Price[[#This Row],[NO. Of Compressors]]</f>
        <v>540</v>
      </c>
      <c r="AH64" s="927">
        <f>600*1.35*Chiler_Price[[#This Row],[NO. Of Compressors]]</f>
        <v>3240</v>
      </c>
      <c r="AI64" s="927">
        <v>405</v>
      </c>
      <c r="AJ64" s="927">
        <v>0</v>
      </c>
      <c r="AK64" s="927">
        <f>Chiler_Price[[#This Row],[NO. of Cond. Fans]]*62*1.1*1.35</f>
        <v>368.28000000000003</v>
      </c>
      <c r="AL64" s="927">
        <f>450*1.35*Chiler_Price[[#This Row],[NO. Of Compressors]]</f>
        <v>2430</v>
      </c>
      <c r="AM64" s="927">
        <f>Chiler_Price[[#This Row],[NO. of Cond. Fans]]*62*1.1*1.35</f>
        <v>368.28000000000003</v>
      </c>
      <c r="AN64" s="927">
        <f t="shared" si="0"/>
        <v>1282.5</v>
      </c>
      <c r="AO64" s="927">
        <f t="shared" si="1"/>
        <v>1.3515999999999999</v>
      </c>
      <c r="AP64" s="927">
        <f t="shared" si="2"/>
        <v>2430</v>
      </c>
      <c r="AQ64" s="927">
        <f>560*1.35*Chiler_Price[[#This Row],[NO. Of Evap. Cooler ]]</f>
        <v>756</v>
      </c>
      <c r="AR64" s="927">
        <f>100*1.35*Chiler_Price[[#This Row],[NO. Of Evap. Cooler ]]</f>
        <v>135</v>
      </c>
      <c r="AS64" s="944">
        <v>286</v>
      </c>
      <c r="AT64" s="712"/>
      <c r="AU64" s="712"/>
      <c r="BC64" s="712"/>
      <c r="BD64" s="712"/>
      <c r="BE64" s="712"/>
      <c r="BF64" s="712"/>
      <c r="BG64" s="712"/>
      <c r="BI64" s="712"/>
    </row>
    <row r="65" spans="1:61" ht="12.75">
      <c r="A65" s="939" t="s">
        <v>1977</v>
      </c>
      <c r="B65" s="927" t="s">
        <v>1978</v>
      </c>
      <c r="C65" s="927" t="s">
        <v>1979</v>
      </c>
      <c r="D65" s="927">
        <v>0</v>
      </c>
      <c r="E65" s="927">
        <v>4</v>
      </c>
      <c r="F65" s="927">
        <v>137.19999999999999</v>
      </c>
      <c r="G65" s="927">
        <v>4</v>
      </c>
      <c r="H65" s="927">
        <v>1</v>
      </c>
      <c r="I65" s="927">
        <f>Chiler_Price[[#This Row],[NO. of Cond Coils]]</f>
        <v>4</v>
      </c>
      <c r="J65" s="927">
        <v>30</v>
      </c>
      <c r="K65" s="927">
        <v>2</v>
      </c>
      <c r="L65" s="927">
        <v>25.8</v>
      </c>
      <c r="M65" s="927">
        <v>2</v>
      </c>
      <c r="N65" s="938">
        <v>0</v>
      </c>
      <c r="O65" s="941">
        <v>31135.93</v>
      </c>
      <c r="P65" s="928">
        <v>27146.97</v>
      </c>
      <c r="Q65" s="928">
        <v>0</v>
      </c>
      <c r="R65" s="927">
        <f>125*1.35*Chiler_Price[[#This Row],[NO. of Cond Coils]]</f>
        <v>675</v>
      </c>
      <c r="S65" s="929">
        <f>Chiler_Price[[#This Row],[Cond. Coils Area (FT)]]*4*Naming!$M$62</f>
        <v>12293.119999999999</v>
      </c>
      <c r="T65" s="929">
        <f>5*Chiler_Price[[#This Row],[Cond. Coils Area (FT)]]</f>
        <v>686</v>
      </c>
      <c r="U65" s="929">
        <f>7*Chiler_Price[[#This Row],[Cond. Coils Area (FT)]]</f>
        <v>960.39999999999986</v>
      </c>
      <c r="V65" s="928">
        <f>Chiler_Price[[#This Row],[Cond. Coils Area (FT)]]*Naming!$I$93</f>
        <v>2606.7999999999997</v>
      </c>
      <c r="W65" s="930">
        <f>Chiler_Price[[#This Row],[Cond. Coils Area (FT)]]*Naming!$I$96</f>
        <v>3649.52</v>
      </c>
      <c r="X65" s="928">
        <f>1.5*Chiler_Price[[#This Row],[Cond. Coils Area (FT)]]</f>
        <v>205.79999999999998</v>
      </c>
      <c r="Y65" s="927">
        <f>1500*1.35*Chiler_Price[[#This Row],[NO. Of Compressors]]</f>
        <v>8100.0000000000009</v>
      </c>
      <c r="Z65" s="927">
        <f>400*1.35*Chiler_Price[[#This Row],[NO. Of Compressors]]</f>
        <v>2160</v>
      </c>
      <c r="AA65" s="927">
        <f>650*1.35*Chiler_Price[[#This Row],[NO. Of Evap. Cooler ]]</f>
        <v>877.50000000000011</v>
      </c>
      <c r="AB65" s="927">
        <f>650*4*1.35*Chiler_Price[[#This Row],[NO. Of Evap. Cooler ]]</f>
        <v>3510.0000000000005</v>
      </c>
      <c r="AC65" s="927">
        <f>560*1.35*Chiler_Price[[#This Row],[NO. Of Evap. Cooler ]]</f>
        <v>756</v>
      </c>
      <c r="AD65" s="927">
        <v>0</v>
      </c>
      <c r="AE65" s="927">
        <f>700*1.35*Chiler_Price[[#This Row],[NO. Of Compressors]]</f>
        <v>3780.0000000000005</v>
      </c>
      <c r="AF65" s="927">
        <f>100*1.35*Chiler_Price[[#This Row],[NO. Of Compressors]]</f>
        <v>540</v>
      </c>
      <c r="AG65" s="927">
        <f>100*1.35*Chiler_Price[[#This Row],[NO. Of Compressors]]</f>
        <v>540</v>
      </c>
      <c r="AH65" s="927">
        <f>600*1.35*Chiler_Price[[#This Row],[NO. Of Compressors]]</f>
        <v>3240</v>
      </c>
      <c r="AI65" s="927">
        <v>405</v>
      </c>
      <c r="AJ65" s="927">
        <v>0</v>
      </c>
      <c r="AK65" s="927">
        <f>Chiler_Price[[#This Row],[NO. of Cond. Fans]]*62*1.1*1.35</f>
        <v>368.28000000000003</v>
      </c>
      <c r="AL65" s="927">
        <f>450*1.35*Chiler_Price[[#This Row],[NO. Of Compressors]]</f>
        <v>2430</v>
      </c>
      <c r="AM65" s="927">
        <f>Chiler_Price[[#This Row],[NO. of Cond. Fans]]*62*1.1*1.35</f>
        <v>368.28000000000003</v>
      </c>
      <c r="AN65" s="927">
        <f t="shared" si="0"/>
        <v>1282.5</v>
      </c>
      <c r="AO65" s="927">
        <f t="shared" si="1"/>
        <v>1.3515999999999999</v>
      </c>
      <c r="AP65" s="927">
        <f t="shared" si="2"/>
        <v>2430</v>
      </c>
      <c r="AQ65" s="927">
        <f>560*1.35*Chiler_Price[[#This Row],[NO. Of Evap. Cooler ]]</f>
        <v>756</v>
      </c>
      <c r="AR65" s="927">
        <f>100*1.35*Chiler_Price[[#This Row],[NO. Of Evap. Cooler ]]</f>
        <v>135</v>
      </c>
      <c r="AS65" s="944">
        <v>286</v>
      </c>
      <c r="AT65" s="712"/>
      <c r="AU65" s="712"/>
      <c r="BC65" s="712"/>
      <c r="BD65" s="712"/>
      <c r="BE65" s="712"/>
      <c r="BF65" s="712"/>
      <c r="BG65" s="712"/>
      <c r="BI65" s="712"/>
    </row>
    <row r="66" spans="1:61" ht="12.75">
      <c r="A66" s="939" t="s">
        <v>1980</v>
      </c>
      <c r="B66" s="927" t="s">
        <v>1981</v>
      </c>
      <c r="C66" s="927" t="s">
        <v>1981</v>
      </c>
      <c r="D66" s="927">
        <v>0</v>
      </c>
      <c r="E66" s="927">
        <v>4</v>
      </c>
      <c r="F66" s="927">
        <v>137.19999999999999</v>
      </c>
      <c r="G66" s="927">
        <v>4</v>
      </c>
      <c r="H66" s="927">
        <v>1</v>
      </c>
      <c r="I66" s="927">
        <f>Chiler_Price[[#This Row],[NO. of Cond Coils]]</f>
        <v>4</v>
      </c>
      <c r="J66" s="927">
        <v>30</v>
      </c>
      <c r="K66" s="927">
        <v>4</v>
      </c>
      <c r="L66" s="927"/>
      <c r="M66" s="927"/>
      <c r="N66" s="938">
        <v>0</v>
      </c>
      <c r="O66" s="941">
        <v>32137.45</v>
      </c>
      <c r="P66" s="928">
        <v>28148.49</v>
      </c>
      <c r="Q66" s="928">
        <v>0</v>
      </c>
      <c r="R66" s="927">
        <f>125*1.35*Chiler_Price[[#This Row],[NO. of Cond Coils]]</f>
        <v>675</v>
      </c>
      <c r="S66" s="929">
        <f>Chiler_Price[[#This Row],[Cond. Coils Area (FT)]]*4*Naming!$M$62</f>
        <v>12293.119999999999</v>
      </c>
      <c r="T66" s="929">
        <f>5*Chiler_Price[[#This Row],[Cond. Coils Area (FT)]]</f>
        <v>686</v>
      </c>
      <c r="U66" s="929">
        <f>7*Chiler_Price[[#This Row],[Cond. Coils Area (FT)]]</f>
        <v>960.39999999999986</v>
      </c>
      <c r="V66" s="928">
        <f>Chiler_Price[[#This Row],[Cond. Coils Area (FT)]]*Naming!$I$93</f>
        <v>2606.7999999999997</v>
      </c>
      <c r="W66" s="930">
        <f>Chiler_Price[[#This Row],[Cond. Coils Area (FT)]]*Naming!$I$96</f>
        <v>3649.52</v>
      </c>
      <c r="X66" s="928">
        <f>1.5*Chiler_Price[[#This Row],[Cond. Coils Area (FT)]]</f>
        <v>205.79999999999998</v>
      </c>
      <c r="Y66" s="927">
        <f>1500*1.35*Chiler_Price[[#This Row],[NO. Of Compressors]]</f>
        <v>8100.0000000000009</v>
      </c>
      <c r="Z66" s="927">
        <f>400*1.35*Chiler_Price[[#This Row],[NO. Of Compressors]]</f>
        <v>2160</v>
      </c>
      <c r="AA66" s="927">
        <f>650*1.35*Chiler_Price[[#This Row],[NO. Of Evap. Cooler ]]</f>
        <v>877.50000000000011</v>
      </c>
      <c r="AB66" s="927">
        <f>650*4*1.35*Chiler_Price[[#This Row],[NO. Of Evap. Cooler ]]</f>
        <v>3510.0000000000005</v>
      </c>
      <c r="AC66" s="927">
        <f>560*1.35*Chiler_Price[[#This Row],[NO. Of Evap. Cooler ]]</f>
        <v>756</v>
      </c>
      <c r="AD66" s="927">
        <v>0</v>
      </c>
      <c r="AE66" s="927">
        <f>700*1.35*Chiler_Price[[#This Row],[NO. Of Compressors]]</f>
        <v>3780.0000000000005</v>
      </c>
      <c r="AF66" s="927">
        <f>100*1.35*Chiler_Price[[#This Row],[NO. Of Compressors]]</f>
        <v>540</v>
      </c>
      <c r="AG66" s="927">
        <f>100*1.35*Chiler_Price[[#This Row],[NO. Of Compressors]]</f>
        <v>540</v>
      </c>
      <c r="AH66" s="927">
        <f>600*1.35*Chiler_Price[[#This Row],[NO. Of Compressors]]</f>
        <v>3240</v>
      </c>
      <c r="AI66" s="927">
        <v>405</v>
      </c>
      <c r="AJ66" s="927">
        <v>0</v>
      </c>
      <c r="AK66" s="927">
        <f>Chiler_Price[[#This Row],[NO. of Cond. Fans]]*62*1.1*1.35</f>
        <v>368.28000000000003</v>
      </c>
      <c r="AL66" s="927">
        <f>450*1.35*Chiler_Price[[#This Row],[NO. Of Compressors]]</f>
        <v>2430</v>
      </c>
      <c r="AM66" s="927">
        <f>Chiler_Price[[#This Row],[NO. of Cond. Fans]]*62*1.1*1.35</f>
        <v>368.28000000000003</v>
      </c>
      <c r="AN66" s="927">
        <f t="shared" si="0"/>
        <v>1282.5</v>
      </c>
      <c r="AO66" s="927">
        <f t="shared" si="1"/>
        <v>1.3515999999999999</v>
      </c>
      <c r="AP66" s="927">
        <f t="shared" si="2"/>
        <v>2430</v>
      </c>
      <c r="AQ66" s="927">
        <f>560*1.35*Chiler_Price[[#This Row],[NO. Of Evap. Cooler ]]</f>
        <v>756</v>
      </c>
      <c r="AR66" s="927">
        <f>100*1.35*Chiler_Price[[#This Row],[NO. Of Evap. Cooler ]]</f>
        <v>135</v>
      </c>
      <c r="AS66" s="944">
        <v>286</v>
      </c>
      <c r="AT66" s="712"/>
      <c r="AU66" s="712"/>
      <c r="BC66" s="712"/>
      <c r="BD66" s="712"/>
      <c r="BE66" s="712"/>
      <c r="BF66" s="712"/>
      <c r="BG66" s="712"/>
      <c r="BI66" s="712"/>
    </row>
    <row r="67" spans="1:61" ht="12.75">
      <c r="A67" s="939" t="s">
        <v>1982</v>
      </c>
      <c r="B67" s="927" t="s">
        <v>1983</v>
      </c>
      <c r="C67" s="927" t="s">
        <v>1983</v>
      </c>
      <c r="D67" s="927">
        <v>0</v>
      </c>
      <c r="E67" s="927">
        <v>6</v>
      </c>
      <c r="F67" s="927">
        <v>205.8</v>
      </c>
      <c r="G67" s="927">
        <v>6</v>
      </c>
      <c r="H67" s="927">
        <v>1</v>
      </c>
      <c r="I67" s="927">
        <f>Chiler_Price[[#This Row],[NO. of Cond Coils]]</f>
        <v>6</v>
      </c>
      <c r="J67" s="927">
        <v>20</v>
      </c>
      <c r="K67" s="927">
        <v>4</v>
      </c>
      <c r="L67" s="927">
        <v>25.8</v>
      </c>
      <c r="M67" s="927">
        <v>2</v>
      </c>
      <c r="N67" s="938">
        <v>0</v>
      </c>
      <c r="O67" s="941">
        <v>41817.740000000005</v>
      </c>
      <c r="P67" s="928">
        <v>35834.300000000003</v>
      </c>
      <c r="Q67" s="928">
        <v>0</v>
      </c>
      <c r="R67" s="927">
        <f>125*1.35*Chiler_Price[[#This Row],[NO. of Cond Coils]]</f>
        <v>1012.5</v>
      </c>
      <c r="S67" s="929">
        <f>Chiler_Price[[#This Row],[Cond. Coils Area (FT)]]*4*Naming!$M$62</f>
        <v>18439.68</v>
      </c>
      <c r="T67" s="929">
        <f>5*Chiler_Price[[#This Row],[Cond. Coils Area (FT)]]</f>
        <v>1029</v>
      </c>
      <c r="U67" s="929">
        <f>7*Chiler_Price[[#This Row],[Cond. Coils Area (FT)]]</f>
        <v>1440.6000000000001</v>
      </c>
      <c r="V67" s="928">
        <f>Chiler_Price[[#This Row],[Cond. Coils Area (FT)]]*Naming!$I$93</f>
        <v>3910.2000000000003</v>
      </c>
      <c r="W67" s="930">
        <f>Chiler_Price[[#This Row],[Cond. Coils Area (FT)]]*Naming!$I$96</f>
        <v>5474.2800000000007</v>
      </c>
      <c r="X67" s="928">
        <f>1.5*Chiler_Price[[#This Row],[Cond. Coils Area (FT)]]</f>
        <v>308.70000000000005</v>
      </c>
      <c r="Y67" s="927">
        <f>1500*1.35*Chiler_Price[[#This Row],[NO. Of Compressors]]</f>
        <v>12150.000000000002</v>
      </c>
      <c r="Z67" s="927">
        <f>400*1.35*Chiler_Price[[#This Row],[NO. Of Compressors]]</f>
        <v>3240</v>
      </c>
      <c r="AA67" s="927">
        <f>650*1.35*Chiler_Price[[#This Row],[NO. Of Evap. Cooler ]]</f>
        <v>877.50000000000011</v>
      </c>
      <c r="AB67" s="927">
        <f>650*4*1.35*Chiler_Price[[#This Row],[NO. Of Evap. Cooler ]]</f>
        <v>3510.0000000000005</v>
      </c>
      <c r="AC67" s="927">
        <f>560*1.35*Chiler_Price[[#This Row],[NO. Of Evap. Cooler ]]</f>
        <v>756</v>
      </c>
      <c r="AD67" s="927">
        <v>0</v>
      </c>
      <c r="AE67" s="927">
        <f>700*1.35*Chiler_Price[[#This Row],[NO. Of Compressors]]</f>
        <v>5670.0000000000009</v>
      </c>
      <c r="AF67" s="927">
        <f>100*1.35*Chiler_Price[[#This Row],[NO. Of Compressors]]</f>
        <v>810</v>
      </c>
      <c r="AG67" s="927">
        <f>100*1.35*Chiler_Price[[#This Row],[NO. Of Compressors]]</f>
        <v>810</v>
      </c>
      <c r="AH67" s="927">
        <f>600*1.35*Chiler_Price[[#This Row],[NO. Of Compressors]]</f>
        <v>4860</v>
      </c>
      <c r="AI67" s="927">
        <v>405</v>
      </c>
      <c r="AJ67" s="927">
        <v>0</v>
      </c>
      <c r="AK67" s="927">
        <f>Chiler_Price[[#This Row],[NO. of Cond. Fans]]*62*1.1*1.35</f>
        <v>552.42000000000007</v>
      </c>
      <c r="AL67" s="927">
        <f>450*1.35*Chiler_Price[[#This Row],[NO. Of Compressors]]</f>
        <v>3645</v>
      </c>
      <c r="AM67" s="927">
        <f>Chiler_Price[[#This Row],[NO. of Cond. Fans]]*62*1.1*1.35</f>
        <v>552.42000000000007</v>
      </c>
      <c r="AN67" s="927">
        <f t="shared" si="0"/>
        <v>1282.5</v>
      </c>
      <c r="AO67" s="927">
        <f t="shared" si="1"/>
        <v>1.3515999999999999</v>
      </c>
      <c r="AP67" s="927">
        <f t="shared" si="2"/>
        <v>2430</v>
      </c>
      <c r="AQ67" s="927">
        <f>560*1.35*Chiler_Price[[#This Row],[NO. Of Evap. Cooler ]]</f>
        <v>756</v>
      </c>
      <c r="AR67" s="927">
        <f>100*1.35*Chiler_Price[[#This Row],[NO. Of Evap. Cooler ]]</f>
        <v>135</v>
      </c>
      <c r="AS67" s="944">
        <v>286</v>
      </c>
      <c r="AT67" s="712"/>
      <c r="AU67" s="712"/>
      <c r="BC67" s="712"/>
      <c r="BD67" s="712"/>
      <c r="BE67" s="712"/>
      <c r="BF67" s="712"/>
      <c r="BG67" s="712"/>
      <c r="BI67" s="712"/>
    </row>
    <row r="68" spans="1:61" ht="12.75">
      <c r="A68" s="939" t="s">
        <v>1984</v>
      </c>
      <c r="B68" s="927" t="s">
        <v>1985</v>
      </c>
      <c r="C68" s="927" t="s">
        <v>1985</v>
      </c>
      <c r="D68" s="927">
        <v>0</v>
      </c>
      <c r="E68" s="927">
        <v>6</v>
      </c>
      <c r="F68" s="927">
        <v>205.8</v>
      </c>
      <c r="G68" s="927">
        <v>6</v>
      </c>
      <c r="H68" s="927">
        <v>1</v>
      </c>
      <c r="I68" s="927">
        <f>Chiler_Price[[#This Row],[NO. of Cond Coils]]</f>
        <v>6</v>
      </c>
      <c r="J68" s="927">
        <v>20</v>
      </c>
      <c r="K68" s="927">
        <v>2</v>
      </c>
      <c r="L68" s="927">
        <v>25.8</v>
      </c>
      <c r="M68" s="927">
        <v>4</v>
      </c>
      <c r="N68" s="938">
        <v>0</v>
      </c>
      <c r="O68" s="941">
        <v>42445.83</v>
      </c>
      <c r="P68" s="928">
        <v>36462.39</v>
      </c>
      <c r="Q68" s="928">
        <v>0</v>
      </c>
      <c r="R68" s="927">
        <f>125*1.35*Chiler_Price[[#This Row],[NO. of Cond Coils]]</f>
        <v>1012.5</v>
      </c>
      <c r="S68" s="929">
        <f>Chiler_Price[[#This Row],[Cond. Coils Area (FT)]]*4*Naming!$M$62</f>
        <v>18439.68</v>
      </c>
      <c r="T68" s="929">
        <f>5*Chiler_Price[[#This Row],[Cond. Coils Area (FT)]]</f>
        <v>1029</v>
      </c>
      <c r="U68" s="929">
        <f>7*Chiler_Price[[#This Row],[Cond. Coils Area (FT)]]</f>
        <v>1440.6000000000001</v>
      </c>
      <c r="V68" s="928">
        <f>Chiler_Price[[#This Row],[Cond. Coils Area (FT)]]*Naming!$I$93</f>
        <v>3910.2000000000003</v>
      </c>
      <c r="W68" s="930">
        <f>Chiler_Price[[#This Row],[Cond. Coils Area (FT)]]*Naming!$I$96</f>
        <v>5474.2800000000007</v>
      </c>
      <c r="X68" s="928">
        <f>1.5*Chiler_Price[[#This Row],[Cond. Coils Area (FT)]]</f>
        <v>308.70000000000005</v>
      </c>
      <c r="Y68" s="927">
        <f>1500*1.35*Chiler_Price[[#This Row],[NO. Of Compressors]]</f>
        <v>12150.000000000002</v>
      </c>
      <c r="Z68" s="927">
        <f>400*1.35*Chiler_Price[[#This Row],[NO. Of Compressors]]</f>
        <v>3240</v>
      </c>
      <c r="AA68" s="927">
        <f>650*1.35*Chiler_Price[[#This Row],[NO. Of Evap. Cooler ]]</f>
        <v>877.50000000000011</v>
      </c>
      <c r="AB68" s="927">
        <f>650*4*1.35*Chiler_Price[[#This Row],[NO. Of Evap. Cooler ]]</f>
        <v>3510.0000000000005</v>
      </c>
      <c r="AC68" s="927">
        <f>560*1.35*Chiler_Price[[#This Row],[NO. Of Evap. Cooler ]]</f>
        <v>756</v>
      </c>
      <c r="AD68" s="927">
        <v>0</v>
      </c>
      <c r="AE68" s="927">
        <f>700*1.35*Chiler_Price[[#This Row],[NO. Of Compressors]]</f>
        <v>5670.0000000000009</v>
      </c>
      <c r="AF68" s="927">
        <f>100*1.35*Chiler_Price[[#This Row],[NO. Of Compressors]]</f>
        <v>810</v>
      </c>
      <c r="AG68" s="927">
        <f>100*1.35*Chiler_Price[[#This Row],[NO. Of Compressors]]</f>
        <v>810</v>
      </c>
      <c r="AH68" s="927">
        <f>600*1.35*Chiler_Price[[#This Row],[NO. Of Compressors]]</f>
        <v>4860</v>
      </c>
      <c r="AI68" s="927">
        <v>405</v>
      </c>
      <c r="AJ68" s="927">
        <v>0</v>
      </c>
      <c r="AK68" s="927">
        <f>Chiler_Price[[#This Row],[NO. of Cond. Fans]]*62*1.1*1.35</f>
        <v>552.42000000000007</v>
      </c>
      <c r="AL68" s="927">
        <f>450*1.35*Chiler_Price[[#This Row],[NO. Of Compressors]]</f>
        <v>3645</v>
      </c>
      <c r="AM68" s="927">
        <f>Chiler_Price[[#This Row],[NO. of Cond. Fans]]*62*1.1*1.35</f>
        <v>552.42000000000007</v>
      </c>
      <c r="AN68" s="927">
        <f t="shared" si="0"/>
        <v>1282.5</v>
      </c>
      <c r="AO68" s="927">
        <f t="shared" si="1"/>
        <v>1.3515999999999999</v>
      </c>
      <c r="AP68" s="927">
        <f t="shared" si="2"/>
        <v>2430</v>
      </c>
      <c r="AQ68" s="927">
        <f>560*1.35*Chiler_Price[[#This Row],[NO. Of Evap. Cooler ]]</f>
        <v>756</v>
      </c>
      <c r="AR68" s="927">
        <f>100*1.35*Chiler_Price[[#This Row],[NO. Of Evap. Cooler ]]</f>
        <v>135</v>
      </c>
      <c r="AS68" s="944">
        <v>286</v>
      </c>
      <c r="AT68" s="712"/>
      <c r="AU68" s="712"/>
      <c r="BC68" s="712"/>
      <c r="BD68" s="712"/>
      <c r="BE68" s="712"/>
      <c r="BF68" s="712"/>
      <c r="BG68" s="712"/>
      <c r="BI68" s="712"/>
    </row>
    <row r="69" spans="1:61" ht="12.75">
      <c r="A69" s="939" t="s">
        <v>1986</v>
      </c>
      <c r="B69" s="927" t="s">
        <v>1987</v>
      </c>
      <c r="C69" s="927" t="s">
        <v>1987</v>
      </c>
      <c r="D69" s="927">
        <v>0</v>
      </c>
      <c r="E69" s="927">
        <v>6</v>
      </c>
      <c r="F69" s="927">
        <v>205.8</v>
      </c>
      <c r="G69" s="927">
        <v>6</v>
      </c>
      <c r="H69" s="927">
        <v>1</v>
      </c>
      <c r="I69" s="927">
        <f>Chiler_Price[[#This Row],[NO. of Cond Coils]]</f>
        <v>6</v>
      </c>
      <c r="J69" s="927">
        <v>25.8</v>
      </c>
      <c r="K69" s="927">
        <v>6</v>
      </c>
      <c r="L69" s="927"/>
      <c r="M69" s="927"/>
      <c r="N69" s="938">
        <v>0</v>
      </c>
      <c r="O69" s="941">
        <v>44697.11</v>
      </c>
      <c r="P69" s="928">
        <v>38713.670000000006</v>
      </c>
      <c r="Q69" s="928">
        <v>0</v>
      </c>
      <c r="R69" s="927">
        <f>125*1.35*Chiler_Price[[#This Row],[NO. of Cond Coils]]</f>
        <v>1012.5</v>
      </c>
      <c r="S69" s="929">
        <f>Chiler_Price[[#This Row],[Cond. Coils Area (FT)]]*4*Naming!$M$62</f>
        <v>18439.68</v>
      </c>
      <c r="T69" s="929">
        <f>5*Chiler_Price[[#This Row],[Cond. Coils Area (FT)]]</f>
        <v>1029</v>
      </c>
      <c r="U69" s="929">
        <f>7*Chiler_Price[[#This Row],[Cond. Coils Area (FT)]]</f>
        <v>1440.6000000000001</v>
      </c>
      <c r="V69" s="928">
        <f>Chiler_Price[[#This Row],[Cond. Coils Area (FT)]]*Naming!$I$93</f>
        <v>3910.2000000000003</v>
      </c>
      <c r="W69" s="930">
        <f>Chiler_Price[[#This Row],[Cond. Coils Area (FT)]]*Naming!$I$96</f>
        <v>5474.2800000000007</v>
      </c>
      <c r="X69" s="928">
        <f>1.5*Chiler_Price[[#This Row],[Cond. Coils Area (FT)]]</f>
        <v>308.70000000000005</v>
      </c>
      <c r="Y69" s="927">
        <f>1500*1.35*Chiler_Price[[#This Row],[NO. Of Compressors]]</f>
        <v>12150.000000000002</v>
      </c>
      <c r="Z69" s="927">
        <f>400*1.35*Chiler_Price[[#This Row],[NO. Of Compressors]]</f>
        <v>3240</v>
      </c>
      <c r="AA69" s="927">
        <f>650*1.35*Chiler_Price[[#This Row],[NO. Of Evap. Cooler ]]</f>
        <v>877.50000000000011</v>
      </c>
      <c r="AB69" s="927">
        <f>650*4*1.35*Chiler_Price[[#This Row],[NO. Of Evap. Cooler ]]</f>
        <v>3510.0000000000005</v>
      </c>
      <c r="AC69" s="927">
        <f>560*1.35*Chiler_Price[[#This Row],[NO. Of Evap. Cooler ]]</f>
        <v>756</v>
      </c>
      <c r="AD69" s="927">
        <v>0</v>
      </c>
      <c r="AE69" s="927">
        <f>700*1.35*Chiler_Price[[#This Row],[NO. Of Compressors]]</f>
        <v>5670.0000000000009</v>
      </c>
      <c r="AF69" s="927">
        <f>100*1.35*Chiler_Price[[#This Row],[NO. Of Compressors]]</f>
        <v>810</v>
      </c>
      <c r="AG69" s="927">
        <f>100*1.35*Chiler_Price[[#This Row],[NO. Of Compressors]]</f>
        <v>810</v>
      </c>
      <c r="AH69" s="927">
        <f>600*1.35*Chiler_Price[[#This Row],[NO. Of Compressors]]</f>
        <v>4860</v>
      </c>
      <c r="AI69" s="927">
        <v>405</v>
      </c>
      <c r="AJ69" s="927">
        <v>0</v>
      </c>
      <c r="AK69" s="927">
        <f>Chiler_Price[[#This Row],[NO. of Cond. Fans]]*62*1.1*1.35</f>
        <v>552.42000000000007</v>
      </c>
      <c r="AL69" s="927">
        <f>450*1.35*Chiler_Price[[#This Row],[NO. Of Compressors]]</f>
        <v>3645</v>
      </c>
      <c r="AM69" s="927">
        <f>Chiler_Price[[#This Row],[NO. of Cond. Fans]]*62*1.1*1.35</f>
        <v>552.42000000000007</v>
      </c>
      <c r="AN69" s="927">
        <f t="shared" si="0"/>
        <v>1282.5</v>
      </c>
      <c r="AO69" s="927">
        <f t="shared" si="1"/>
        <v>1.3515999999999999</v>
      </c>
      <c r="AP69" s="927">
        <f t="shared" si="2"/>
        <v>2430</v>
      </c>
      <c r="AQ69" s="927">
        <f>560*1.35*Chiler_Price[[#This Row],[NO. Of Evap. Cooler ]]</f>
        <v>756</v>
      </c>
      <c r="AR69" s="927">
        <f>100*1.35*Chiler_Price[[#This Row],[NO. Of Evap. Cooler ]]</f>
        <v>135</v>
      </c>
      <c r="AS69" s="944">
        <v>286</v>
      </c>
      <c r="AT69" s="712"/>
      <c r="AU69" s="712"/>
      <c r="BC69" s="712"/>
      <c r="BD69" s="712"/>
      <c r="BE69" s="712"/>
      <c r="BF69" s="712"/>
      <c r="BG69" s="712"/>
      <c r="BI69" s="712"/>
    </row>
    <row r="70" spans="1:61" ht="12.75">
      <c r="A70" s="939" t="s">
        <v>1988</v>
      </c>
      <c r="B70" s="927" t="s">
        <v>1989</v>
      </c>
      <c r="C70" s="927" t="s">
        <v>1989</v>
      </c>
      <c r="D70" s="927">
        <v>0</v>
      </c>
      <c r="E70" s="927">
        <v>6</v>
      </c>
      <c r="F70" s="927">
        <v>205.8</v>
      </c>
      <c r="G70" s="927">
        <v>6</v>
      </c>
      <c r="H70" s="927">
        <v>1</v>
      </c>
      <c r="I70" s="927">
        <f>Chiler_Price[[#This Row],[NO. of Cond Coils]]</f>
        <v>6</v>
      </c>
      <c r="J70" s="927">
        <v>25.8</v>
      </c>
      <c r="K70" s="927">
        <v>4</v>
      </c>
      <c r="L70" s="927">
        <v>30</v>
      </c>
      <c r="M70" s="927">
        <v>2</v>
      </c>
      <c r="N70" s="938">
        <v>0</v>
      </c>
      <c r="O70" s="941">
        <v>45590.560000000005</v>
      </c>
      <c r="P70" s="928">
        <v>39607.120000000003</v>
      </c>
      <c r="Q70" s="928">
        <v>0</v>
      </c>
      <c r="R70" s="927">
        <f>125*1.35*Chiler_Price[[#This Row],[NO. of Cond Coils]]</f>
        <v>1012.5</v>
      </c>
      <c r="S70" s="929">
        <f>Chiler_Price[[#This Row],[Cond. Coils Area (FT)]]*4*Naming!$M$62</f>
        <v>18439.68</v>
      </c>
      <c r="T70" s="929">
        <f>5*Chiler_Price[[#This Row],[Cond. Coils Area (FT)]]</f>
        <v>1029</v>
      </c>
      <c r="U70" s="929">
        <f>7*Chiler_Price[[#This Row],[Cond. Coils Area (FT)]]</f>
        <v>1440.6000000000001</v>
      </c>
      <c r="V70" s="928">
        <f>Chiler_Price[[#This Row],[Cond. Coils Area (FT)]]*Naming!$I$93</f>
        <v>3910.2000000000003</v>
      </c>
      <c r="W70" s="930">
        <f>Chiler_Price[[#This Row],[Cond. Coils Area (FT)]]*Naming!$I$96</f>
        <v>5474.2800000000007</v>
      </c>
      <c r="X70" s="928">
        <f>1.5*Chiler_Price[[#This Row],[Cond. Coils Area (FT)]]</f>
        <v>308.70000000000005</v>
      </c>
      <c r="Y70" s="927">
        <f>1500*1.35*Chiler_Price[[#This Row],[NO. Of Compressors]]</f>
        <v>12150.000000000002</v>
      </c>
      <c r="Z70" s="927">
        <f>400*1.35*Chiler_Price[[#This Row],[NO. Of Compressors]]</f>
        <v>3240</v>
      </c>
      <c r="AA70" s="927">
        <f>650*1.35*Chiler_Price[[#This Row],[NO. Of Evap. Cooler ]]</f>
        <v>877.50000000000011</v>
      </c>
      <c r="AB70" s="927">
        <f>650*4*1.35*Chiler_Price[[#This Row],[NO. Of Evap. Cooler ]]</f>
        <v>3510.0000000000005</v>
      </c>
      <c r="AC70" s="927">
        <f>560*1.35*Chiler_Price[[#This Row],[NO. Of Evap. Cooler ]]</f>
        <v>756</v>
      </c>
      <c r="AD70" s="927">
        <v>0</v>
      </c>
      <c r="AE70" s="927">
        <f>700*1.35*Chiler_Price[[#This Row],[NO. Of Compressors]]</f>
        <v>5670.0000000000009</v>
      </c>
      <c r="AF70" s="927">
        <f>100*1.35*Chiler_Price[[#This Row],[NO. Of Compressors]]</f>
        <v>810</v>
      </c>
      <c r="AG70" s="927">
        <f>100*1.35*Chiler_Price[[#This Row],[NO. Of Compressors]]</f>
        <v>810</v>
      </c>
      <c r="AH70" s="927">
        <f>600*1.35*Chiler_Price[[#This Row],[NO. Of Compressors]]</f>
        <v>4860</v>
      </c>
      <c r="AI70" s="927">
        <v>405</v>
      </c>
      <c r="AJ70" s="927">
        <v>0</v>
      </c>
      <c r="AK70" s="927">
        <f>Chiler_Price[[#This Row],[NO. of Cond. Fans]]*62*1.1*1.35</f>
        <v>552.42000000000007</v>
      </c>
      <c r="AL70" s="927">
        <f>450*1.35*Chiler_Price[[#This Row],[NO. Of Compressors]]</f>
        <v>3645</v>
      </c>
      <c r="AM70" s="927">
        <f>Chiler_Price[[#This Row],[NO. of Cond. Fans]]*62*1.1*1.35</f>
        <v>552.42000000000007</v>
      </c>
      <c r="AN70" s="927">
        <f t="shared" si="0"/>
        <v>1282.5</v>
      </c>
      <c r="AO70" s="927">
        <f t="shared" si="1"/>
        <v>1.3515999999999999</v>
      </c>
      <c r="AP70" s="927">
        <f t="shared" si="2"/>
        <v>2430</v>
      </c>
      <c r="AQ70" s="927">
        <f>560*1.35*Chiler_Price[[#This Row],[NO. Of Evap. Cooler ]]</f>
        <v>756</v>
      </c>
      <c r="AR70" s="927">
        <f>100*1.35*Chiler_Price[[#This Row],[NO. Of Evap. Cooler ]]</f>
        <v>135</v>
      </c>
      <c r="AS70" s="944">
        <v>286</v>
      </c>
      <c r="AT70" s="712"/>
      <c r="AU70" s="712"/>
      <c r="BC70" s="712"/>
      <c r="BD70" s="712"/>
      <c r="BE70" s="712"/>
      <c r="BF70" s="712"/>
      <c r="BG70" s="712"/>
      <c r="BI70" s="712"/>
    </row>
    <row r="71" spans="1:61" ht="12.75">
      <c r="A71" s="939" t="s">
        <v>1990</v>
      </c>
      <c r="B71" s="940">
        <v>0</v>
      </c>
      <c r="C71" s="927">
        <v>0</v>
      </c>
      <c r="D71" s="927">
        <v>0</v>
      </c>
      <c r="E71" s="927">
        <v>6</v>
      </c>
      <c r="F71" s="927">
        <v>205.8</v>
      </c>
      <c r="G71" s="927">
        <v>6</v>
      </c>
      <c r="H71" s="927">
        <v>1</v>
      </c>
      <c r="I71" s="927">
        <f>Chiler_Price[[#This Row],[NO. of Cond Coils]]</f>
        <v>6</v>
      </c>
      <c r="J71" s="927">
        <v>25.8</v>
      </c>
      <c r="K71" s="927">
        <v>2</v>
      </c>
      <c r="L71" s="927">
        <v>30</v>
      </c>
      <c r="M71" s="927">
        <v>4</v>
      </c>
      <c r="N71" s="938">
        <v>0</v>
      </c>
      <c r="O71" s="941">
        <v>46592.08</v>
      </c>
      <c r="P71" s="928">
        <v>40608.639999999999</v>
      </c>
      <c r="Q71" s="928">
        <v>0</v>
      </c>
      <c r="R71" s="927">
        <f>125*1.35*Chiler_Price[[#This Row],[NO. of Cond Coils]]</f>
        <v>1012.5</v>
      </c>
      <c r="S71" s="929">
        <f>Chiler_Price[[#This Row],[Cond. Coils Area (FT)]]*4*Naming!$M$62</f>
        <v>18439.68</v>
      </c>
      <c r="T71" s="929">
        <f>5*Chiler_Price[[#This Row],[Cond. Coils Area (FT)]]</f>
        <v>1029</v>
      </c>
      <c r="U71" s="929">
        <f>7*Chiler_Price[[#This Row],[Cond. Coils Area (FT)]]</f>
        <v>1440.6000000000001</v>
      </c>
      <c r="V71" s="928">
        <f>Chiler_Price[[#This Row],[Cond. Coils Area (FT)]]*Naming!$I$93</f>
        <v>3910.2000000000003</v>
      </c>
      <c r="W71" s="930">
        <f>Chiler_Price[[#This Row],[Cond. Coils Area (FT)]]*Naming!$I$96</f>
        <v>5474.2800000000007</v>
      </c>
      <c r="X71" s="928">
        <f>1.5*Chiler_Price[[#This Row],[Cond. Coils Area (FT)]]</f>
        <v>308.70000000000005</v>
      </c>
      <c r="Y71" s="927">
        <f>1500*1.35*Chiler_Price[[#This Row],[NO. Of Compressors]]</f>
        <v>12150.000000000002</v>
      </c>
      <c r="Z71" s="927">
        <f>400*1.35*Chiler_Price[[#This Row],[NO. Of Compressors]]</f>
        <v>3240</v>
      </c>
      <c r="AA71" s="927">
        <f>650*1.35*Chiler_Price[[#This Row],[NO. Of Evap. Cooler ]]</f>
        <v>877.50000000000011</v>
      </c>
      <c r="AB71" s="927">
        <f>650*4*1.35*Chiler_Price[[#This Row],[NO. Of Evap. Cooler ]]</f>
        <v>3510.0000000000005</v>
      </c>
      <c r="AC71" s="927">
        <f>560*1.35*Chiler_Price[[#This Row],[NO. Of Evap. Cooler ]]</f>
        <v>756</v>
      </c>
      <c r="AD71" s="927">
        <v>0</v>
      </c>
      <c r="AE71" s="927">
        <f>700*1.35*Chiler_Price[[#This Row],[NO. Of Compressors]]</f>
        <v>5670.0000000000009</v>
      </c>
      <c r="AF71" s="927">
        <f>100*1.35*Chiler_Price[[#This Row],[NO. Of Compressors]]</f>
        <v>810</v>
      </c>
      <c r="AG71" s="927">
        <f>100*1.35*Chiler_Price[[#This Row],[NO. Of Compressors]]</f>
        <v>810</v>
      </c>
      <c r="AH71" s="927">
        <f>600*1.35*Chiler_Price[[#This Row],[NO. Of Compressors]]</f>
        <v>4860</v>
      </c>
      <c r="AI71" s="927">
        <v>405</v>
      </c>
      <c r="AJ71" s="927">
        <v>0</v>
      </c>
      <c r="AK71" s="927">
        <f>Chiler_Price[[#This Row],[NO. of Cond. Fans]]*62*1.1*1.35</f>
        <v>552.42000000000007</v>
      </c>
      <c r="AL71" s="927">
        <f>450*1.35*Chiler_Price[[#This Row],[NO. Of Compressors]]</f>
        <v>3645</v>
      </c>
      <c r="AM71" s="927">
        <f>Chiler_Price[[#This Row],[NO. of Cond. Fans]]*62*1.1*1.35</f>
        <v>552.42000000000007</v>
      </c>
      <c r="AN71" s="927">
        <f t="shared" si="0"/>
        <v>1282.5</v>
      </c>
      <c r="AO71" s="927">
        <f t="shared" si="1"/>
        <v>1.3515999999999999</v>
      </c>
      <c r="AP71" s="927">
        <f t="shared" si="2"/>
        <v>2430</v>
      </c>
      <c r="AQ71" s="927">
        <f>560*1.35*Chiler_Price[[#This Row],[NO. Of Evap. Cooler ]]</f>
        <v>756</v>
      </c>
      <c r="AR71" s="927">
        <f>100*1.35*Chiler_Price[[#This Row],[NO. Of Evap. Cooler ]]</f>
        <v>135</v>
      </c>
      <c r="AS71" s="944">
        <v>286</v>
      </c>
      <c r="AT71" s="712"/>
      <c r="AU71" s="712"/>
      <c r="BC71" s="712"/>
      <c r="BD71" s="712"/>
      <c r="BE71" s="712"/>
      <c r="BF71" s="712"/>
      <c r="BG71" s="712"/>
      <c r="BI71" s="712"/>
    </row>
    <row r="72" spans="1:61" ht="12.75">
      <c r="A72" s="939" t="s">
        <v>1991</v>
      </c>
      <c r="B72" s="927" t="s">
        <v>1992</v>
      </c>
      <c r="C72" s="927" t="s">
        <v>1992</v>
      </c>
      <c r="D72" s="927">
        <v>0</v>
      </c>
      <c r="E72" s="927">
        <v>6</v>
      </c>
      <c r="F72" s="927">
        <v>205.8</v>
      </c>
      <c r="G72" s="927">
        <v>6</v>
      </c>
      <c r="H72" s="927">
        <v>1</v>
      </c>
      <c r="I72" s="927">
        <f>Chiler_Price[[#This Row],[NO. of Cond Coils]]</f>
        <v>6</v>
      </c>
      <c r="J72" s="927">
        <v>30</v>
      </c>
      <c r="K72" s="927">
        <v>6</v>
      </c>
      <c r="L72" s="927"/>
      <c r="M72" s="927"/>
      <c r="N72" s="938">
        <v>0</v>
      </c>
      <c r="O72" s="941">
        <v>48278.400000000001</v>
      </c>
      <c r="P72" s="928">
        <v>42294.96</v>
      </c>
      <c r="Q72" s="928">
        <v>0</v>
      </c>
      <c r="R72" s="927">
        <f>125*1.35*Chiler_Price[[#This Row],[NO. of Cond Coils]]</f>
        <v>1012.5</v>
      </c>
      <c r="S72" s="929">
        <f>Chiler_Price[[#This Row],[Cond. Coils Area (FT)]]*4*Naming!$M$62</f>
        <v>18439.68</v>
      </c>
      <c r="T72" s="929">
        <f>5*Chiler_Price[[#This Row],[Cond. Coils Area (FT)]]</f>
        <v>1029</v>
      </c>
      <c r="U72" s="929">
        <f>7*Chiler_Price[[#This Row],[Cond. Coils Area (FT)]]</f>
        <v>1440.6000000000001</v>
      </c>
      <c r="V72" s="928">
        <f>Chiler_Price[[#This Row],[Cond. Coils Area (FT)]]*Naming!$I$93</f>
        <v>3910.2000000000003</v>
      </c>
      <c r="W72" s="930">
        <f>Chiler_Price[[#This Row],[Cond. Coils Area (FT)]]*Naming!$I$96</f>
        <v>5474.2800000000007</v>
      </c>
      <c r="X72" s="928">
        <f>1.5*Chiler_Price[[#This Row],[Cond. Coils Area (FT)]]</f>
        <v>308.70000000000005</v>
      </c>
      <c r="Y72" s="927">
        <f>1500*1.35*Chiler_Price[[#This Row],[NO. Of Compressors]]</f>
        <v>12150.000000000002</v>
      </c>
      <c r="Z72" s="927">
        <f>400*1.35*Chiler_Price[[#This Row],[NO. Of Compressors]]</f>
        <v>3240</v>
      </c>
      <c r="AA72" s="927">
        <f>650*1.35*Chiler_Price[[#This Row],[NO. Of Evap. Cooler ]]</f>
        <v>877.50000000000011</v>
      </c>
      <c r="AB72" s="927">
        <f>650*4*1.35*Chiler_Price[[#This Row],[NO. Of Evap. Cooler ]]</f>
        <v>3510.0000000000005</v>
      </c>
      <c r="AC72" s="927">
        <f>560*1.35*Chiler_Price[[#This Row],[NO. Of Evap. Cooler ]]</f>
        <v>756</v>
      </c>
      <c r="AD72" s="927">
        <v>0</v>
      </c>
      <c r="AE72" s="927">
        <f>700*1.35*Chiler_Price[[#This Row],[NO. Of Compressors]]</f>
        <v>5670.0000000000009</v>
      </c>
      <c r="AF72" s="927">
        <f>100*1.35*Chiler_Price[[#This Row],[NO. Of Compressors]]</f>
        <v>810</v>
      </c>
      <c r="AG72" s="927">
        <f>100*1.35*Chiler_Price[[#This Row],[NO. Of Compressors]]</f>
        <v>810</v>
      </c>
      <c r="AH72" s="927">
        <f>600*1.35*Chiler_Price[[#This Row],[NO. Of Compressors]]</f>
        <v>4860</v>
      </c>
      <c r="AI72" s="927">
        <v>405</v>
      </c>
      <c r="AJ72" s="927">
        <v>0</v>
      </c>
      <c r="AK72" s="927">
        <f>Chiler_Price[[#This Row],[NO. of Cond. Fans]]*62*1.1*1.35</f>
        <v>552.42000000000007</v>
      </c>
      <c r="AL72" s="927">
        <f>450*1.35*Chiler_Price[[#This Row],[NO. Of Compressors]]</f>
        <v>3645</v>
      </c>
      <c r="AM72" s="927">
        <f>Chiler_Price[[#This Row],[NO. of Cond. Fans]]*62*1.1*1.35</f>
        <v>552.42000000000007</v>
      </c>
      <c r="AN72" s="927">
        <f t="shared" si="0"/>
        <v>1282.5</v>
      </c>
      <c r="AO72" s="927">
        <f t="shared" si="1"/>
        <v>1.3515999999999999</v>
      </c>
      <c r="AP72" s="927">
        <f t="shared" si="2"/>
        <v>2430</v>
      </c>
      <c r="AQ72" s="927">
        <f>560*1.35*Chiler_Price[[#This Row],[NO. Of Evap. Cooler ]]</f>
        <v>756</v>
      </c>
      <c r="AR72" s="927">
        <f>100*1.35*Chiler_Price[[#This Row],[NO. Of Evap. Cooler ]]</f>
        <v>135</v>
      </c>
      <c r="AS72" s="944">
        <v>286</v>
      </c>
      <c r="AT72" s="712"/>
      <c r="AU72" s="712"/>
      <c r="BC72" s="712"/>
      <c r="BD72" s="712"/>
      <c r="BE72" s="712"/>
      <c r="BF72" s="712"/>
      <c r="BG72" s="712"/>
      <c r="BI72" s="712"/>
    </row>
    <row r="73" spans="1:61" ht="12.75">
      <c r="A73" s="939" t="s">
        <v>1993</v>
      </c>
      <c r="B73" s="927" t="s">
        <v>1994</v>
      </c>
      <c r="C73" s="927" t="s">
        <v>1994</v>
      </c>
      <c r="D73" s="927">
        <v>0</v>
      </c>
      <c r="E73" s="927">
        <v>8</v>
      </c>
      <c r="F73" s="927">
        <v>274.39999999999998</v>
      </c>
      <c r="G73" s="927">
        <v>8</v>
      </c>
      <c r="H73" s="927">
        <v>1</v>
      </c>
      <c r="I73" s="927">
        <f>Chiler_Price[[#This Row],[NO. of Cond Coils]]</f>
        <v>8</v>
      </c>
      <c r="J73" s="927">
        <v>25.8</v>
      </c>
      <c r="K73" s="927">
        <v>8</v>
      </c>
      <c r="L73" s="927"/>
      <c r="M73" s="927"/>
      <c r="N73" s="938">
        <v>0</v>
      </c>
      <c r="O73" s="941">
        <v>58154.5</v>
      </c>
      <c r="P73" s="928">
        <v>50176.58</v>
      </c>
      <c r="Q73" s="928">
        <v>0</v>
      </c>
      <c r="R73" s="927">
        <f>125*1.35*Chiler_Price[[#This Row],[NO. of Cond Coils]]</f>
        <v>1350</v>
      </c>
      <c r="S73" s="929">
        <f>Chiler_Price[[#This Row],[Cond. Coils Area (FT)]]*4*Naming!$M$62</f>
        <v>24586.239999999998</v>
      </c>
      <c r="T73" s="929">
        <f>5*Chiler_Price[[#This Row],[Cond. Coils Area (FT)]]</f>
        <v>1372</v>
      </c>
      <c r="U73" s="929">
        <f>7*Chiler_Price[[#This Row],[Cond. Coils Area (FT)]]</f>
        <v>1920.7999999999997</v>
      </c>
      <c r="V73" s="928">
        <f>Chiler_Price[[#This Row],[Cond. Coils Area (FT)]]*Naming!$I$93</f>
        <v>5213.5999999999995</v>
      </c>
      <c r="W73" s="930">
        <f>Chiler_Price[[#This Row],[Cond. Coils Area (FT)]]*Naming!$I$96</f>
        <v>7299.04</v>
      </c>
      <c r="X73" s="928">
        <f>1.5*Chiler_Price[[#This Row],[Cond. Coils Area (FT)]]</f>
        <v>411.59999999999997</v>
      </c>
      <c r="Y73" s="927">
        <f>1500*1.35*Chiler_Price[[#This Row],[NO. Of Compressors]]</f>
        <v>16200.000000000002</v>
      </c>
      <c r="Z73" s="927">
        <f>400*1.35*Chiler_Price[[#This Row],[NO. Of Compressors]]</f>
        <v>4320</v>
      </c>
      <c r="AA73" s="927">
        <f>650*1.35*Chiler_Price[[#This Row],[NO. Of Evap. Cooler ]]</f>
        <v>877.50000000000011</v>
      </c>
      <c r="AB73" s="927">
        <f>650*4*1.35*Chiler_Price[[#This Row],[NO. Of Evap. Cooler ]]</f>
        <v>3510.0000000000005</v>
      </c>
      <c r="AC73" s="927">
        <f>560*1.35*Chiler_Price[[#This Row],[NO. Of Evap. Cooler ]]</f>
        <v>756</v>
      </c>
      <c r="AD73" s="927">
        <v>0</v>
      </c>
      <c r="AE73" s="927">
        <f>700*1.35*Chiler_Price[[#This Row],[NO. Of Compressors]]</f>
        <v>7560.0000000000009</v>
      </c>
      <c r="AF73" s="927">
        <f>100*1.35*Chiler_Price[[#This Row],[NO. Of Compressors]]</f>
        <v>1080</v>
      </c>
      <c r="AG73" s="927">
        <f>100*1.35*Chiler_Price[[#This Row],[NO. Of Compressors]]</f>
        <v>1080</v>
      </c>
      <c r="AH73" s="927">
        <f>600*1.35*Chiler_Price[[#This Row],[NO. Of Compressors]]</f>
        <v>6480</v>
      </c>
      <c r="AI73" s="927">
        <v>405</v>
      </c>
      <c r="AJ73" s="927">
        <v>0</v>
      </c>
      <c r="AK73" s="927">
        <f>Chiler_Price[[#This Row],[NO. of Cond. Fans]]*62*1.1*1.35</f>
        <v>736.56000000000006</v>
      </c>
      <c r="AL73" s="927">
        <f>450*1.35*Chiler_Price[[#This Row],[NO. Of Compressors]]</f>
        <v>4860</v>
      </c>
      <c r="AM73" s="927">
        <f>Chiler_Price[[#This Row],[NO. of Cond. Fans]]*62*1.1*1.35</f>
        <v>736.56000000000006</v>
      </c>
      <c r="AN73" s="927">
        <f t="shared" ref="AN73:AN126" si="3">1.35*950</f>
        <v>1282.5</v>
      </c>
      <c r="AO73" s="927">
        <f t="shared" ref="AO73:AO126" si="4">1.3516</f>
        <v>1.3515999999999999</v>
      </c>
      <c r="AP73" s="927">
        <f t="shared" ref="AP73:AP126" si="5">1.35*1800</f>
        <v>2430</v>
      </c>
      <c r="AQ73" s="927">
        <f>560*1.35*Chiler_Price[[#This Row],[NO. Of Evap. Cooler ]]</f>
        <v>756</v>
      </c>
      <c r="AR73" s="927">
        <f>100*1.35*Chiler_Price[[#This Row],[NO. Of Evap. Cooler ]]</f>
        <v>135</v>
      </c>
      <c r="AS73" s="944">
        <v>286</v>
      </c>
      <c r="AT73" s="712"/>
      <c r="AU73" s="712"/>
      <c r="BC73" s="712"/>
      <c r="BD73" s="712"/>
      <c r="BE73" s="712"/>
      <c r="BF73" s="712"/>
      <c r="BG73" s="712"/>
      <c r="BI73" s="712"/>
    </row>
    <row r="74" spans="1:61" ht="12.75">
      <c r="A74" s="939" t="s">
        <v>1995</v>
      </c>
      <c r="B74" s="940">
        <v>0</v>
      </c>
      <c r="C74" s="927">
        <v>0</v>
      </c>
      <c r="D74" s="927">
        <v>0</v>
      </c>
      <c r="E74" s="927">
        <v>8</v>
      </c>
      <c r="F74" s="927">
        <v>274.39999999999998</v>
      </c>
      <c r="G74" s="927">
        <v>8</v>
      </c>
      <c r="H74" s="927">
        <v>1</v>
      </c>
      <c r="I74" s="927">
        <f>Chiler_Price[[#This Row],[NO. of Cond Coils]]</f>
        <v>8</v>
      </c>
      <c r="J74" s="927">
        <v>25.8</v>
      </c>
      <c r="K74" s="927">
        <v>6</v>
      </c>
      <c r="L74" s="927">
        <v>30</v>
      </c>
      <c r="M74" s="927">
        <v>2</v>
      </c>
      <c r="N74" s="938">
        <v>0</v>
      </c>
      <c r="O74" s="941">
        <v>59156.020000000004</v>
      </c>
      <c r="P74" s="928">
        <v>51179.170000000006</v>
      </c>
      <c r="Q74" s="928">
        <v>0</v>
      </c>
      <c r="R74" s="927">
        <f>125*1.35*Chiler_Price[[#This Row],[NO. of Cond Coils]]</f>
        <v>1350</v>
      </c>
      <c r="S74" s="929">
        <f>Chiler_Price[[#This Row],[Cond. Coils Area (FT)]]*4*Naming!$M$62</f>
        <v>24586.239999999998</v>
      </c>
      <c r="T74" s="929">
        <f>5*Chiler_Price[[#This Row],[Cond. Coils Area (FT)]]</f>
        <v>1372</v>
      </c>
      <c r="U74" s="929">
        <f>7*Chiler_Price[[#This Row],[Cond. Coils Area (FT)]]</f>
        <v>1920.7999999999997</v>
      </c>
      <c r="V74" s="928">
        <f>Chiler_Price[[#This Row],[Cond. Coils Area (FT)]]*Naming!$I$93</f>
        <v>5213.5999999999995</v>
      </c>
      <c r="W74" s="930">
        <f>Chiler_Price[[#This Row],[Cond. Coils Area (FT)]]*Naming!$I$96</f>
        <v>7299.04</v>
      </c>
      <c r="X74" s="928">
        <f>1.5*Chiler_Price[[#This Row],[Cond. Coils Area (FT)]]</f>
        <v>411.59999999999997</v>
      </c>
      <c r="Y74" s="927">
        <f>1500*1.35*Chiler_Price[[#This Row],[NO. Of Compressors]]</f>
        <v>16200.000000000002</v>
      </c>
      <c r="Z74" s="927">
        <f>400*1.35*Chiler_Price[[#This Row],[NO. Of Compressors]]</f>
        <v>4320</v>
      </c>
      <c r="AA74" s="927">
        <f>650*1.35*Chiler_Price[[#This Row],[NO. Of Evap. Cooler ]]</f>
        <v>877.50000000000011</v>
      </c>
      <c r="AB74" s="927">
        <f>650*4*1.35*Chiler_Price[[#This Row],[NO. Of Evap. Cooler ]]</f>
        <v>3510.0000000000005</v>
      </c>
      <c r="AC74" s="927">
        <f>560*1.35*Chiler_Price[[#This Row],[NO. Of Evap. Cooler ]]</f>
        <v>756</v>
      </c>
      <c r="AD74" s="927">
        <v>0</v>
      </c>
      <c r="AE74" s="927">
        <f>700*1.35*Chiler_Price[[#This Row],[NO. Of Compressors]]</f>
        <v>7560.0000000000009</v>
      </c>
      <c r="AF74" s="927">
        <f>100*1.35*Chiler_Price[[#This Row],[NO. Of Compressors]]</f>
        <v>1080</v>
      </c>
      <c r="AG74" s="927">
        <f>100*1.35*Chiler_Price[[#This Row],[NO. Of Compressors]]</f>
        <v>1080</v>
      </c>
      <c r="AH74" s="927">
        <f>600*1.35*Chiler_Price[[#This Row],[NO. Of Compressors]]</f>
        <v>6480</v>
      </c>
      <c r="AI74" s="927">
        <v>405</v>
      </c>
      <c r="AJ74" s="927">
        <v>0</v>
      </c>
      <c r="AK74" s="927">
        <f>Chiler_Price[[#This Row],[NO. of Cond. Fans]]*62*1.1*1.35</f>
        <v>736.56000000000006</v>
      </c>
      <c r="AL74" s="927">
        <f>450*1.35*Chiler_Price[[#This Row],[NO. Of Compressors]]</f>
        <v>4860</v>
      </c>
      <c r="AM74" s="927">
        <f>Chiler_Price[[#This Row],[NO. of Cond. Fans]]*62*1.1*1.35</f>
        <v>736.56000000000006</v>
      </c>
      <c r="AN74" s="927">
        <f t="shared" si="3"/>
        <v>1282.5</v>
      </c>
      <c r="AO74" s="927">
        <f t="shared" si="4"/>
        <v>1.3515999999999999</v>
      </c>
      <c r="AP74" s="927">
        <f t="shared" si="5"/>
        <v>2430</v>
      </c>
      <c r="AQ74" s="927">
        <f>560*1.35*Chiler_Price[[#This Row],[NO. Of Evap. Cooler ]]</f>
        <v>756</v>
      </c>
      <c r="AR74" s="927">
        <f>100*1.35*Chiler_Price[[#This Row],[NO. Of Evap. Cooler ]]</f>
        <v>135</v>
      </c>
      <c r="AS74" s="944">
        <v>286</v>
      </c>
      <c r="AT74" s="712"/>
      <c r="AU74" s="712"/>
      <c r="BC74" s="712"/>
      <c r="BD74" s="712"/>
      <c r="BE74" s="712"/>
      <c r="BF74" s="712"/>
      <c r="BG74" s="712"/>
      <c r="BI74" s="712"/>
    </row>
    <row r="75" spans="1:61" ht="12.75">
      <c r="A75" s="939" t="s">
        <v>1996</v>
      </c>
      <c r="B75" s="940">
        <v>0</v>
      </c>
      <c r="C75" s="927">
        <v>0</v>
      </c>
      <c r="D75" s="927">
        <v>0</v>
      </c>
      <c r="E75" s="927">
        <v>8</v>
      </c>
      <c r="F75" s="927">
        <v>274.39999999999998</v>
      </c>
      <c r="G75" s="927">
        <v>8</v>
      </c>
      <c r="H75" s="927">
        <v>1</v>
      </c>
      <c r="I75" s="927">
        <f>Chiler_Price[[#This Row],[NO. of Cond Coils]]</f>
        <v>8</v>
      </c>
      <c r="J75" s="927">
        <v>25.8</v>
      </c>
      <c r="K75" s="927">
        <v>4</v>
      </c>
      <c r="L75" s="927">
        <v>30</v>
      </c>
      <c r="M75" s="927">
        <v>4</v>
      </c>
      <c r="N75" s="938">
        <v>0</v>
      </c>
      <c r="O75" s="941">
        <v>62116.710000000006</v>
      </c>
      <c r="P75" s="928">
        <v>54139.86</v>
      </c>
      <c r="Q75" s="928">
        <v>0</v>
      </c>
      <c r="R75" s="927">
        <f>125*1.35*Chiler_Price[[#This Row],[NO. of Cond Coils]]</f>
        <v>1350</v>
      </c>
      <c r="S75" s="929">
        <f>Chiler_Price[[#This Row],[Cond. Coils Area (FT)]]*4*Naming!$M$62</f>
        <v>24586.239999999998</v>
      </c>
      <c r="T75" s="929">
        <f>5*Chiler_Price[[#This Row],[Cond. Coils Area (FT)]]</f>
        <v>1372</v>
      </c>
      <c r="U75" s="929">
        <f>7*Chiler_Price[[#This Row],[Cond. Coils Area (FT)]]</f>
        <v>1920.7999999999997</v>
      </c>
      <c r="V75" s="928">
        <f>Chiler_Price[[#This Row],[Cond. Coils Area (FT)]]*Naming!$I$93</f>
        <v>5213.5999999999995</v>
      </c>
      <c r="W75" s="930">
        <f>Chiler_Price[[#This Row],[Cond. Coils Area (FT)]]*Naming!$I$96</f>
        <v>7299.04</v>
      </c>
      <c r="X75" s="928">
        <f>1.5*Chiler_Price[[#This Row],[Cond. Coils Area (FT)]]</f>
        <v>411.59999999999997</v>
      </c>
      <c r="Y75" s="927">
        <f>1500*1.35*Chiler_Price[[#This Row],[NO. Of Compressors]]</f>
        <v>16200.000000000002</v>
      </c>
      <c r="Z75" s="927">
        <f>400*1.35*Chiler_Price[[#This Row],[NO. Of Compressors]]</f>
        <v>4320</v>
      </c>
      <c r="AA75" s="927">
        <f>650*1.35*Chiler_Price[[#This Row],[NO. Of Evap. Cooler ]]</f>
        <v>877.50000000000011</v>
      </c>
      <c r="AB75" s="927">
        <f>650*4*1.35*Chiler_Price[[#This Row],[NO. Of Evap. Cooler ]]</f>
        <v>3510.0000000000005</v>
      </c>
      <c r="AC75" s="927">
        <f>560*1.35*Chiler_Price[[#This Row],[NO. Of Evap. Cooler ]]</f>
        <v>756</v>
      </c>
      <c r="AD75" s="927">
        <v>0</v>
      </c>
      <c r="AE75" s="927">
        <f>700*1.35*Chiler_Price[[#This Row],[NO. Of Compressors]]</f>
        <v>7560.0000000000009</v>
      </c>
      <c r="AF75" s="927">
        <f>100*1.35*Chiler_Price[[#This Row],[NO. Of Compressors]]</f>
        <v>1080</v>
      </c>
      <c r="AG75" s="927">
        <f>100*1.35*Chiler_Price[[#This Row],[NO. Of Compressors]]</f>
        <v>1080</v>
      </c>
      <c r="AH75" s="927">
        <f>600*1.35*Chiler_Price[[#This Row],[NO. Of Compressors]]</f>
        <v>6480</v>
      </c>
      <c r="AI75" s="927">
        <v>405</v>
      </c>
      <c r="AJ75" s="927">
        <v>0</v>
      </c>
      <c r="AK75" s="927">
        <f>Chiler_Price[[#This Row],[NO. of Cond. Fans]]*62*1.1*1.35</f>
        <v>736.56000000000006</v>
      </c>
      <c r="AL75" s="927">
        <f>450*1.35*Chiler_Price[[#This Row],[NO. Of Compressors]]</f>
        <v>4860</v>
      </c>
      <c r="AM75" s="927">
        <f>Chiler_Price[[#This Row],[NO. of Cond. Fans]]*62*1.1*1.35</f>
        <v>736.56000000000006</v>
      </c>
      <c r="AN75" s="927">
        <f t="shared" si="3"/>
        <v>1282.5</v>
      </c>
      <c r="AO75" s="927">
        <f t="shared" si="4"/>
        <v>1.3515999999999999</v>
      </c>
      <c r="AP75" s="927">
        <f t="shared" si="5"/>
        <v>2430</v>
      </c>
      <c r="AQ75" s="927">
        <f>560*1.35*Chiler_Price[[#This Row],[NO. Of Evap. Cooler ]]</f>
        <v>756</v>
      </c>
      <c r="AR75" s="927">
        <f>100*1.35*Chiler_Price[[#This Row],[NO. Of Evap. Cooler ]]</f>
        <v>135</v>
      </c>
      <c r="AS75" s="944">
        <v>286</v>
      </c>
      <c r="AT75" s="712"/>
      <c r="AU75" s="712"/>
      <c r="BC75" s="712"/>
      <c r="BD75" s="712"/>
      <c r="BE75" s="712"/>
      <c r="BF75" s="712"/>
      <c r="BG75" s="712"/>
      <c r="BI75" s="712"/>
    </row>
    <row r="76" spans="1:61" ht="12.75">
      <c r="A76" s="939" t="s">
        <v>1997</v>
      </c>
      <c r="B76" s="927" t="s">
        <v>1998</v>
      </c>
      <c r="C76" s="927" t="s">
        <v>1998</v>
      </c>
      <c r="D76" s="927">
        <v>0</v>
      </c>
      <c r="E76" s="927">
        <v>8</v>
      </c>
      <c r="F76" s="927">
        <v>274.39999999999998</v>
      </c>
      <c r="G76" s="927">
        <v>8</v>
      </c>
      <c r="H76" s="927">
        <v>1</v>
      </c>
      <c r="I76" s="927">
        <f>Chiler_Price[[#This Row],[NO. of Cond Coils]]</f>
        <v>8</v>
      </c>
      <c r="J76" s="927">
        <v>25.8</v>
      </c>
      <c r="K76" s="927">
        <v>2</v>
      </c>
      <c r="L76" s="927">
        <v>30</v>
      </c>
      <c r="M76" s="927">
        <v>6</v>
      </c>
      <c r="N76" s="938">
        <v>0</v>
      </c>
      <c r="O76" s="941">
        <v>63119.3</v>
      </c>
      <c r="P76" s="928">
        <v>55141.380000000005</v>
      </c>
      <c r="Q76" s="928">
        <v>0</v>
      </c>
      <c r="R76" s="927">
        <f>125*1.35*Chiler_Price[[#This Row],[NO. of Cond Coils]]</f>
        <v>1350</v>
      </c>
      <c r="S76" s="929">
        <f>Chiler_Price[[#This Row],[Cond. Coils Area (FT)]]*4*Naming!$M$62</f>
        <v>24586.239999999998</v>
      </c>
      <c r="T76" s="929">
        <f>5*Chiler_Price[[#This Row],[Cond. Coils Area (FT)]]</f>
        <v>1372</v>
      </c>
      <c r="U76" s="929">
        <f>7*Chiler_Price[[#This Row],[Cond. Coils Area (FT)]]</f>
        <v>1920.7999999999997</v>
      </c>
      <c r="V76" s="928">
        <f>Chiler_Price[[#This Row],[Cond. Coils Area (FT)]]*Naming!$I$93</f>
        <v>5213.5999999999995</v>
      </c>
      <c r="W76" s="930">
        <f>Chiler_Price[[#This Row],[Cond. Coils Area (FT)]]*Naming!$I$96</f>
        <v>7299.04</v>
      </c>
      <c r="X76" s="928">
        <f>1.5*Chiler_Price[[#This Row],[Cond. Coils Area (FT)]]</f>
        <v>411.59999999999997</v>
      </c>
      <c r="Y76" s="927">
        <f>1500*1.35*Chiler_Price[[#This Row],[NO. Of Compressors]]</f>
        <v>16200.000000000002</v>
      </c>
      <c r="Z76" s="927">
        <f>400*1.35*Chiler_Price[[#This Row],[NO. Of Compressors]]</f>
        <v>4320</v>
      </c>
      <c r="AA76" s="927">
        <f>650*1.35*Chiler_Price[[#This Row],[NO. Of Evap. Cooler ]]</f>
        <v>877.50000000000011</v>
      </c>
      <c r="AB76" s="927">
        <f>650*4*1.35*Chiler_Price[[#This Row],[NO. Of Evap. Cooler ]]</f>
        <v>3510.0000000000005</v>
      </c>
      <c r="AC76" s="927">
        <f>560*1.35*Chiler_Price[[#This Row],[NO. Of Evap. Cooler ]]</f>
        <v>756</v>
      </c>
      <c r="AD76" s="927">
        <v>0</v>
      </c>
      <c r="AE76" s="927">
        <f>700*1.35*Chiler_Price[[#This Row],[NO. Of Compressors]]</f>
        <v>7560.0000000000009</v>
      </c>
      <c r="AF76" s="927">
        <f>100*1.35*Chiler_Price[[#This Row],[NO. Of Compressors]]</f>
        <v>1080</v>
      </c>
      <c r="AG76" s="927">
        <f>100*1.35*Chiler_Price[[#This Row],[NO. Of Compressors]]</f>
        <v>1080</v>
      </c>
      <c r="AH76" s="927">
        <f>600*1.35*Chiler_Price[[#This Row],[NO. Of Compressors]]</f>
        <v>6480</v>
      </c>
      <c r="AI76" s="927">
        <v>405</v>
      </c>
      <c r="AJ76" s="927">
        <v>0</v>
      </c>
      <c r="AK76" s="927">
        <f>Chiler_Price[[#This Row],[NO. of Cond. Fans]]*62*1.1*1.35</f>
        <v>736.56000000000006</v>
      </c>
      <c r="AL76" s="927">
        <f>450*1.35*Chiler_Price[[#This Row],[NO. Of Compressors]]</f>
        <v>4860</v>
      </c>
      <c r="AM76" s="927">
        <f>Chiler_Price[[#This Row],[NO. of Cond. Fans]]*62*1.1*1.35</f>
        <v>736.56000000000006</v>
      </c>
      <c r="AN76" s="927">
        <f t="shared" si="3"/>
        <v>1282.5</v>
      </c>
      <c r="AO76" s="927">
        <f t="shared" si="4"/>
        <v>1.3515999999999999</v>
      </c>
      <c r="AP76" s="927">
        <f t="shared" si="5"/>
        <v>2430</v>
      </c>
      <c r="AQ76" s="927">
        <f>560*1.35*Chiler_Price[[#This Row],[NO. Of Evap. Cooler ]]</f>
        <v>756</v>
      </c>
      <c r="AR76" s="927">
        <f>100*1.35*Chiler_Price[[#This Row],[NO. Of Evap. Cooler ]]</f>
        <v>135</v>
      </c>
      <c r="AS76" s="944">
        <v>286</v>
      </c>
      <c r="AT76" s="712"/>
      <c r="AU76" s="712"/>
      <c r="BC76" s="712"/>
      <c r="BD76" s="712"/>
      <c r="BE76" s="712"/>
      <c r="BF76" s="712"/>
      <c r="BG76" s="712"/>
      <c r="BI76" s="712"/>
    </row>
    <row r="77" spans="1:61" ht="12.75">
      <c r="A77" s="939" t="s">
        <v>1999</v>
      </c>
      <c r="B77" s="927" t="s">
        <v>2000</v>
      </c>
      <c r="C77" s="927" t="s">
        <v>2000</v>
      </c>
      <c r="D77" s="927">
        <v>0</v>
      </c>
      <c r="E77" s="927">
        <v>8</v>
      </c>
      <c r="F77" s="927">
        <v>274.39999999999998</v>
      </c>
      <c r="G77" s="927">
        <v>8</v>
      </c>
      <c r="H77" s="927">
        <v>1</v>
      </c>
      <c r="I77" s="927">
        <f>Chiler_Price[[#This Row],[NO. of Cond Coils]]</f>
        <v>8</v>
      </c>
      <c r="J77" s="927">
        <v>30</v>
      </c>
      <c r="K77" s="927">
        <v>8</v>
      </c>
      <c r="L77" s="927"/>
      <c r="M77" s="927"/>
      <c r="N77" s="938">
        <v>0</v>
      </c>
      <c r="O77" s="941">
        <v>64120.820000000007</v>
      </c>
      <c r="P77" s="928">
        <v>56142.9</v>
      </c>
      <c r="Q77" s="928">
        <v>0</v>
      </c>
      <c r="R77" s="927">
        <f>125*1.35*Chiler_Price[[#This Row],[NO. of Cond Coils]]</f>
        <v>1350</v>
      </c>
      <c r="S77" s="929">
        <f>Chiler_Price[[#This Row],[Cond. Coils Area (FT)]]*4*Naming!$M$62</f>
        <v>24586.239999999998</v>
      </c>
      <c r="T77" s="929">
        <f>5*Chiler_Price[[#This Row],[Cond. Coils Area (FT)]]</f>
        <v>1372</v>
      </c>
      <c r="U77" s="929">
        <f>7*Chiler_Price[[#This Row],[Cond. Coils Area (FT)]]</f>
        <v>1920.7999999999997</v>
      </c>
      <c r="V77" s="928">
        <f>Chiler_Price[[#This Row],[Cond. Coils Area (FT)]]*Naming!$I$93</f>
        <v>5213.5999999999995</v>
      </c>
      <c r="W77" s="930">
        <f>Chiler_Price[[#This Row],[Cond. Coils Area (FT)]]*Naming!$I$96</f>
        <v>7299.04</v>
      </c>
      <c r="X77" s="928">
        <f>1.5*Chiler_Price[[#This Row],[Cond. Coils Area (FT)]]</f>
        <v>411.59999999999997</v>
      </c>
      <c r="Y77" s="927">
        <f>1500*1.35*Chiler_Price[[#This Row],[NO. Of Compressors]]</f>
        <v>16200.000000000002</v>
      </c>
      <c r="Z77" s="927">
        <f>400*1.35*Chiler_Price[[#This Row],[NO. Of Compressors]]</f>
        <v>4320</v>
      </c>
      <c r="AA77" s="927">
        <f>650*1.35*Chiler_Price[[#This Row],[NO. Of Evap. Cooler ]]</f>
        <v>877.50000000000011</v>
      </c>
      <c r="AB77" s="927">
        <f>650*4*1.35*Chiler_Price[[#This Row],[NO. Of Evap. Cooler ]]</f>
        <v>3510.0000000000005</v>
      </c>
      <c r="AC77" s="927">
        <f>560*1.35*Chiler_Price[[#This Row],[NO. Of Evap. Cooler ]]</f>
        <v>756</v>
      </c>
      <c r="AD77" s="927">
        <v>0</v>
      </c>
      <c r="AE77" s="927">
        <f>700*1.35*Chiler_Price[[#This Row],[NO. Of Compressors]]</f>
        <v>7560.0000000000009</v>
      </c>
      <c r="AF77" s="927">
        <f>100*1.35*Chiler_Price[[#This Row],[NO. Of Compressors]]</f>
        <v>1080</v>
      </c>
      <c r="AG77" s="927">
        <f>100*1.35*Chiler_Price[[#This Row],[NO. Of Compressors]]</f>
        <v>1080</v>
      </c>
      <c r="AH77" s="927">
        <f>600*1.35*Chiler_Price[[#This Row],[NO. Of Compressors]]</f>
        <v>6480</v>
      </c>
      <c r="AI77" s="927">
        <v>405</v>
      </c>
      <c r="AJ77" s="927">
        <v>0</v>
      </c>
      <c r="AK77" s="927">
        <f>Chiler_Price[[#This Row],[NO. of Cond. Fans]]*62*1.1*1.35</f>
        <v>736.56000000000006</v>
      </c>
      <c r="AL77" s="927">
        <f>450*1.35*Chiler_Price[[#This Row],[NO. Of Compressors]]</f>
        <v>4860</v>
      </c>
      <c r="AM77" s="927">
        <f>Chiler_Price[[#This Row],[NO. of Cond. Fans]]*62*1.1*1.35</f>
        <v>736.56000000000006</v>
      </c>
      <c r="AN77" s="927">
        <f t="shared" si="3"/>
        <v>1282.5</v>
      </c>
      <c r="AO77" s="927">
        <f t="shared" si="4"/>
        <v>1.3515999999999999</v>
      </c>
      <c r="AP77" s="927">
        <f t="shared" si="5"/>
        <v>2430</v>
      </c>
      <c r="AQ77" s="927">
        <f>560*1.35*Chiler_Price[[#This Row],[NO. Of Evap. Cooler ]]</f>
        <v>756</v>
      </c>
      <c r="AR77" s="927">
        <f>100*1.35*Chiler_Price[[#This Row],[NO. Of Evap. Cooler ]]</f>
        <v>135</v>
      </c>
      <c r="AS77" s="944">
        <v>286</v>
      </c>
      <c r="AT77" s="712"/>
      <c r="AU77" s="712"/>
      <c r="BC77" s="712"/>
      <c r="BD77" s="712"/>
      <c r="BE77" s="712"/>
      <c r="BF77" s="712"/>
      <c r="BG77" s="712"/>
      <c r="BI77" s="712"/>
    </row>
    <row r="78" spans="1:61" ht="12.75">
      <c r="A78" s="939" t="s">
        <v>2001</v>
      </c>
      <c r="B78" s="927" t="s">
        <v>2002</v>
      </c>
      <c r="C78" s="927" t="s">
        <v>2003</v>
      </c>
      <c r="D78" s="927">
        <v>0</v>
      </c>
      <c r="E78" s="927">
        <v>12</v>
      </c>
      <c r="F78" s="927">
        <v>411.7</v>
      </c>
      <c r="G78" s="927">
        <v>12</v>
      </c>
      <c r="H78" s="927">
        <v>2</v>
      </c>
      <c r="I78" s="927">
        <f>Chiler_Price[[#This Row],[NO. of Cond Coils]]</f>
        <v>12</v>
      </c>
      <c r="J78" s="927">
        <v>20</v>
      </c>
      <c r="K78" s="927">
        <v>8</v>
      </c>
      <c r="L78" s="927">
        <v>25.8</v>
      </c>
      <c r="M78" s="927">
        <v>4</v>
      </c>
      <c r="N78" s="938">
        <v>0</v>
      </c>
      <c r="O78" s="941">
        <v>82654.290000000008</v>
      </c>
      <c r="P78" s="928">
        <v>70688.48000000001</v>
      </c>
      <c r="Q78" s="928">
        <v>0</v>
      </c>
      <c r="R78" s="927">
        <f>125*1.35*Chiler_Price[[#This Row],[NO. of Cond Coils]]</f>
        <v>2025</v>
      </c>
      <c r="S78" s="929">
        <f>Chiler_Price[[#This Row],[Cond. Coils Area (FT)]]*4*Naming!$M$62</f>
        <v>36888.32</v>
      </c>
      <c r="T78" s="929">
        <f>5*Chiler_Price[[#This Row],[Cond. Coils Area (FT)]]</f>
        <v>2058.5</v>
      </c>
      <c r="U78" s="929">
        <f>7*Chiler_Price[[#This Row],[Cond. Coils Area (FT)]]</f>
        <v>2881.9</v>
      </c>
      <c r="V78" s="928">
        <f>Chiler_Price[[#This Row],[Cond. Coils Area (FT)]]*Naming!$I$93</f>
        <v>7822.3</v>
      </c>
      <c r="W78" s="930">
        <f>Chiler_Price[[#This Row],[Cond. Coils Area (FT)]]*Naming!$I$96</f>
        <v>10951.220000000001</v>
      </c>
      <c r="X78" s="928">
        <f>1.5*Chiler_Price[[#This Row],[Cond. Coils Area (FT)]]</f>
        <v>617.54999999999995</v>
      </c>
      <c r="Y78" s="927">
        <f>1500*1.35*Chiler_Price[[#This Row],[NO. Of Compressors]]</f>
        <v>24300.000000000004</v>
      </c>
      <c r="Z78" s="927">
        <f>400*1.35*Chiler_Price[[#This Row],[NO. Of Compressors]]</f>
        <v>6480</v>
      </c>
      <c r="AA78" s="927">
        <f>650*1.35*Chiler_Price[[#This Row],[NO. Of Evap. Cooler ]]</f>
        <v>1755.0000000000002</v>
      </c>
      <c r="AB78" s="927">
        <f>650*4*1.35*Chiler_Price[[#This Row],[NO. Of Evap. Cooler ]]</f>
        <v>7020.0000000000009</v>
      </c>
      <c r="AC78" s="927">
        <f>560*1.35*Chiler_Price[[#This Row],[NO. Of Evap. Cooler ]]</f>
        <v>1512</v>
      </c>
      <c r="AD78" s="927">
        <v>0</v>
      </c>
      <c r="AE78" s="927">
        <f>700*1.35*Chiler_Price[[#This Row],[NO. Of Compressors]]</f>
        <v>11340.000000000002</v>
      </c>
      <c r="AF78" s="927">
        <f>100*1.35*Chiler_Price[[#This Row],[NO. Of Compressors]]</f>
        <v>1620</v>
      </c>
      <c r="AG78" s="927">
        <f>100*1.35*Chiler_Price[[#This Row],[NO. Of Compressors]]</f>
        <v>1620</v>
      </c>
      <c r="AH78" s="927">
        <f>600*1.35*Chiler_Price[[#This Row],[NO. Of Compressors]]</f>
        <v>9720</v>
      </c>
      <c r="AI78" s="927">
        <v>405</v>
      </c>
      <c r="AJ78" s="927">
        <v>0</v>
      </c>
      <c r="AK78" s="927">
        <f>Chiler_Price[[#This Row],[NO. of Cond. Fans]]*62*1.1*1.35</f>
        <v>1104.8400000000001</v>
      </c>
      <c r="AL78" s="927">
        <f>450*1.35*Chiler_Price[[#This Row],[NO. Of Compressors]]</f>
        <v>7290</v>
      </c>
      <c r="AM78" s="927">
        <f>Chiler_Price[[#This Row],[NO. of Cond. Fans]]*62*1.1*1.35</f>
        <v>1104.8400000000001</v>
      </c>
      <c r="AN78" s="927">
        <f t="shared" si="3"/>
        <v>1282.5</v>
      </c>
      <c r="AO78" s="927">
        <f t="shared" si="4"/>
        <v>1.3515999999999999</v>
      </c>
      <c r="AP78" s="927">
        <f t="shared" si="5"/>
        <v>2430</v>
      </c>
      <c r="AQ78" s="927">
        <f>560*1.35*Chiler_Price[[#This Row],[NO. Of Evap. Cooler ]]</f>
        <v>1512</v>
      </c>
      <c r="AR78" s="927">
        <f>100*1.35*Chiler_Price[[#This Row],[NO. Of Evap. Cooler ]]</f>
        <v>270</v>
      </c>
      <c r="AS78" s="944">
        <v>286</v>
      </c>
      <c r="AT78" s="712"/>
      <c r="AU78" s="712"/>
      <c r="BC78" s="712"/>
      <c r="BD78" s="712"/>
      <c r="BE78" s="712"/>
      <c r="BF78" s="712"/>
      <c r="BG78" s="712"/>
      <c r="BI78" s="712"/>
    </row>
    <row r="79" spans="1:61" ht="12.75">
      <c r="A79" s="939" t="s">
        <v>2004</v>
      </c>
      <c r="B79" s="927" t="s">
        <v>2005</v>
      </c>
      <c r="C79" s="927" t="s">
        <v>2005</v>
      </c>
      <c r="D79" s="927">
        <v>0</v>
      </c>
      <c r="E79" s="927">
        <v>12</v>
      </c>
      <c r="F79" s="927">
        <v>411.7</v>
      </c>
      <c r="G79" s="927">
        <v>12</v>
      </c>
      <c r="H79" s="927">
        <v>2</v>
      </c>
      <c r="I79" s="927">
        <f>Chiler_Price[[#This Row],[NO. of Cond Coils]]</f>
        <v>12</v>
      </c>
      <c r="J79" s="927">
        <v>20</v>
      </c>
      <c r="K79" s="927">
        <v>4</v>
      </c>
      <c r="L79" s="927">
        <v>25.8</v>
      </c>
      <c r="M79" s="927">
        <v>8</v>
      </c>
      <c r="N79" s="938">
        <v>0</v>
      </c>
      <c r="O79" s="941">
        <v>83846.27</v>
      </c>
      <c r="P79" s="928">
        <v>71880.460000000006</v>
      </c>
      <c r="Q79" s="928">
        <v>0</v>
      </c>
      <c r="R79" s="927">
        <f>125*1.35*Chiler_Price[[#This Row],[NO. of Cond Coils]]</f>
        <v>2025</v>
      </c>
      <c r="S79" s="929">
        <f>Chiler_Price[[#This Row],[Cond. Coils Area (FT)]]*4*Naming!$M$62</f>
        <v>36888.32</v>
      </c>
      <c r="T79" s="929">
        <f>5*Chiler_Price[[#This Row],[Cond. Coils Area (FT)]]</f>
        <v>2058.5</v>
      </c>
      <c r="U79" s="929">
        <f>7*Chiler_Price[[#This Row],[Cond. Coils Area (FT)]]</f>
        <v>2881.9</v>
      </c>
      <c r="V79" s="928">
        <f>Chiler_Price[[#This Row],[Cond. Coils Area (FT)]]*Naming!$I$93</f>
        <v>7822.3</v>
      </c>
      <c r="W79" s="930">
        <f>Chiler_Price[[#This Row],[Cond. Coils Area (FT)]]*Naming!$I$96</f>
        <v>10951.220000000001</v>
      </c>
      <c r="X79" s="928">
        <f>1.5*Chiler_Price[[#This Row],[Cond. Coils Area (FT)]]</f>
        <v>617.54999999999995</v>
      </c>
      <c r="Y79" s="927">
        <f>1500*1.35*Chiler_Price[[#This Row],[NO. Of Compressors]]</f>
        <v>24300.000000000004</v>
      </c>
      <c r="Z79" s="927">
        <f>400*1.35*Chiler_Price[[#This Row],[NO. Of Compressors]]</f>
        <v>6480</v>
      </c>
      <c r="AA79" s="927">
        <f>650*1.35*Chiler_Price[[#This Row],[NO. Of Evap. Cooler ]]</f>
        <v>1755.0000000000002</v>
      </c>
      <c r="AB79" s="927">
        <f>650*4*1.35*Chiler_Price[[#This Row],[NO. Of Evap. Cooler ]]</f>
        <v>7020.0000000000009</v>
      </c>
      <c r="AC79" s="927">
        <f>560*1.35*Chiler_Price[[#This Row],[NO. Of Evap. Cooler ]]</f>
        <v>1512</v>
      </c>
      <c r="AD79" s="927">
        <v>0</v>
      </c>
      <c r="AE79" s="927">
        <f>700*1.35*Chiler_Price[[#This Row],[NO. Of Compressors]]</f>
        <v>11340.000000000002</v>
      </c>
      <c r="AF79" s="927">
        <f>100*1.35*Chiler_Price[[#This Row],[NO. Of Compressors]]</f>
        <v>1620</v>
      </c>
      <c r="AG79" s="927">
        <f>100*1.35*Chiler_Price[[#This Row],[NO. Of Compressors]]</f>
        <v>1620</v>
      </c>
      <c r="AH79" s="927">
        <f>600*1.35*Chiler_Price[[#This Row],[NO. Of Compressors]]</f>
        <v>9720</v>
      </c>
      <c r="AI79" s="927">
        <v>405</v>
      </c>
      <c r="AJ79" s="927">
        <v>0</v>
      </c>
      <c r="AK79" s="927">
        <f>Chiler_Price[[#This Row],[NO. of Cond. Fans]]*62*1.1*1.35</f>
        <v>1104.8400000000001</v>
      </c>
      <c r="AL79" s="927">
        <f>450*1.35*Chiler_Price[[#This Row],[NO. Of Compressors]]</f>
        <v>7290</v>
      </c>
      <c r="AM79" s="927">
        <f>Chiler_Price[[#This Row],[NO. of Cond. Fans]]*62*1.1*1.35</f>
        <v>1104.8400000000001</v>
      </c>
      <c r="AN79" s="927">
        <f t="shared" si="3"/>
        <v>1282.5</v>
      </c>
      <c r="AO79" s="927">
        <f t="shared" si="4"/>
        <v>1.3515999999999999</v>
      </c>
      <c r="AP79" s="927">
        <f t="shared" si="5"/>
        <v>2430</v>
      </c>
      <c r="AQ79" s="927">
        <f>560*1.35*Chiler_Price[[#This Row],[NO. Of Evap. Cooler ]]</f>
        <v>1512</v>
      </c>
      <c r="AR79" s="927">
        <f>100*1.35*Chiler_Price[[#This Row],[NO. Of Evap. Cooler ]]</f>
        <v>270</v>
      </c>
      <c r="AS79" s="944">
        <v>286</v>
      </c>
      <c r="AT79" s="712"/>
      <c r="AU79" s="712"/>
      <c r="BC79" s="712"/>
      <c r="BD79" s="712"/>
      <c r="BE79" s="712"/>
      <c r="BF79" s="712"/>
      <c r="BG79" s="712"/>
      <c r="BI79" s="712"/>
    </row>
    <row r="80" spans="1:61" ht="12.75">
      <c r="A80" s="939" t="s">
        <v>2006</v>
      </c>
      <c r="B80" s="927" t="s">
        <v>2007</v>
      </c>
      <c r="C80" s="927" t="s">
        <v>2007</v>
      </c>
      <c r="D80" s="927">
        <v>0</v>
      </c>
      <c r="E80" s="927">
        <v>12</v>
      </c>
      <c r="F80" s="927">
        <v>411.7</v>
      </c>
      <c r="G80" s="927">
        <v>12</v>
      </c>
      <c r="H80" s="927">
        <v>2</v>
      </c>
      <c r="I80" s="927">
        <f>Chiler_Price[[#This Row],[NO. of Cond Coils]]</f>
        <v>12</v>
      </c>
      <c r="J80" s="927">
        <v>25.8</v>
      </c>
      <c r="K80" s="927">
        <v>12</v>
      </c>
      <c r="L80" s="927"/>
      <c r="M80" s="927"/>
      <c r="N80" s="938">
        <v>0</v>
      </c>
      <c r="O80" s="941">
        <v>88113.430000000008</v>
      </c>
      <c r="P80" s="928">
        <v>76147.62000000001</v>
      </c>
      <c r="Q80" s="928">
        <v>0</v>
      </c>
      <c r="R80" s="927">
        <f>125*1.35*Chiler_Price[[#This Row],[NO. of Cond Coils]]</f>
        <v>2025</v>
      </c>
      <c r="S80" s="929">
        <f>Chiler_Price[[#This Row],[Cond. Coils Area (FT)]]*4*Naming!$M$62</f>
        <v>36888.32</v>
      </c>
      <c r="T80" s="929">
        <f>5*Chiler_Price[[#This Row],[Cond. Coils Area (FT)]]</f>
        <v>2058.5</v>
      </c>
      <c r="U80" s="929">
        <f>7*Chiler_Price[[#This Row],[Cond. Coils Area (FT)]]</f>
        <v>2881.9</v>
      </c>
      <c r="V80" s="928">
        <f>Chiler_Price[[#This Row],[Cond. Coils Area (FT)]]*Naming!$I$93</f>
        <v>7822.3</v>
      </c>
      <c r="W80" s="930">
        <f>Chiler_Price[[#This Row],[Cond. Coils Area (FT)]]*Naming!$I$96</f>
        <v>10951.220000000001</v>
      </c>
      <c r="X80" s="928">
        <f>1.5*Chiler_Price[[#This Row],[Cond. Coils Area (FT)]]</f>
        <v>617.54999999999995</v>
      </c>
      <c r="Y80" s="927">
        <f>1500*1.35*Chiler_Price[[#This Row],[NO. Of Compressors]]</f>
        <v>24300.000000000004</v>
      </c>
      <c r="Z80" s="927">
        <f>400*1.35*Chiler_Price[[#This Row],[NO. Of Compressors]]</f>
        <v>6480</v>
      </c>
      <c r="AA80" s="927">
        <f>650*1.35*Chiler_Price[[#This Row],[NO. Of Evap. Cooler ]]</f>
        <v>1755.0000000000002</v>
      </c>
      <c r="AB80" s="927">
        <f>650*4*1.35*Chiler_Price[[#This Row],[NO. Of Evap. Cooler ]]</f>
        <v>7020.0000000000009</v>
      </c>
      <c r="AC80" s="927">
        <f>560*1.35*Chiler_Price[[#This Row],[NO. Of Evap. Cooler ]]</f>
        <v>1512</v>
      </c>
      <c r="AD80" s="927">
        <v>0</v>
      </c>
      <c r="AE80" s="927">
        <f>700*1.35*Chiler_Price[[#This Row],[NO. Of Compressors]]</f>
        <v>11340.000000000002</v>
      </c>
      <c r="AF80" s="927">
        <f>100*1.35*Chiler_Price[[#This Row],[NO. Of Compressors]]</f>
        <v>1620</v>
      </c>
      <c r="AG80" s="927">
        <f>100*1.35*Chiler_Price[[#This Row],[NO. Of Compressors]]</f>
        <v>1620</v>
      </c>
      <c r="AH80" s="927">
        <f>600*1.35*Chiler_Price[[#This Row],[NO. Of Compressors]]</f>
        <v>9720</v>
      </c>
      <c r="AI80" s="927">
        <v>405</v>
      </c>
      <c r="AJ80" s="927">
        <v>0</v>
      </c>
      <c r="AK80" s="927">
        <f>Chiler_Price[[#This Row],[NO. of Cond. Fans]]*62*1.1*1.35</f>
        <v>1104.8400000000001</v>
      </c>
      <c r="AL80" s="927">
        <f>450*1.35*Chiler_Price[[#This Row],[NO. Of Compressors]]</f>
        <v>7290</v>
      </c>
      <c r="AM80" s="927">
        <f>Chiler_Price[[#This Row],[NO. of Cond. Fans]]*62*1.1*1.35</f>
        <v>1104.8400000000001</v>
      </c>
      <c r="AN80" s="927">
        <f t="shared" si="3"/>
        <v>1282.5</v>
      </c>
      <c r="AO80" s="927">
        <f t="shared" si="4"/>
        <v>1.3515999999999999</v>
      </c>
      <c r="AP80" s="927">
        <f t="shared" si="5"/>
        <v>2430</v>
      </c>
      <c r="AQ80" s="927">
        <f>560*1.35*Chiler_Price[[#This Row],[NO. Of Evap. Cooler ]]</f>
        <v>1512</v>
      </c>
      <c r="AR80" s="927">
        <f>100*1.35*Chiler_Price[[#This Row],[NO. Of Evap. Cooler ]]</f>
        <v>270</v>
      </c>
      <c r="AS80" s="944">
        <v>286</v>
      </c>
      <c r="AT80" s="712"/>
      <c r="AU80" s="712"/>
      <c r="BC80" s="712"/>
      <c r="BD80" s="712"/>
      <c r="BE80" s="712"/>
      <c r="BF80" s="712"/>
      <c r="BG80" s="712"/>
      <c r="BI80" s="712"/>
    </row>
    <row r="81" spans="1:61" ht="12.75">
      <c r="A81" s="939" t="s">
        <v>2008</v>
      </c>
      <c r="B81" s="927" t="s">
        <v>2009</v>
      </c>
      <c r="C81" s="927" t="s">
        <v>2009</v>
      </c>
      <c r="D81" s="927">
        <v>0</v>
      </c>
      <c r="E81" s="927">
        <v>12</v>
      </c>
      <c r="F81" s="927">
        <v>411.7</v>
      </c>
      <c r="G81" s="927">
        <v>12</v>
      </c>
      <c r="H81" s="927">
        <v>2</v>
      </c>
      <c r="I81" s="927">
        <f>Chiler_Price[[#This Row],[NO. of Cond Coils]]</f>
        <v>12</v>
      </c>
      <c r="J81" s="927">
        <v>25.8</v>
      </c>
      <c r="K81" s="927">
        <v>8</v>
      </c>
      <c r="L81" s="927">
        <v>30</v>
      </c>
      <c r="M81" s="927">
        <v>4</v>
      </c>
      <c r="N81" s="938">
        <v>0</v>
      </c>
      <c r="O81" s="941">
        <v>90135.73000000001</v>
      </c>
      <c r="P81" s="928">
        <v>78168.850000000006</v>
      </c>
      <c r="Q81" s="928">
        <v>0</v>
      </c>
      <c r="R81" s="927">
        <f>125*1.35*Chiler_Price[[#This Row],[NO. of Cond Coils]]</f>
        <v>2025</v>
      </c>
      <c r="S81" s="929">
        <f>Chiler_Price[[#This Row],[Cond. Coils Area (FT)]]*4*Naming!$M$62</f>
        <v>36888.32</v>
      </c>
      <c r="T81" s="929">
        <f>5*Chiler_Price[[#This Row],[Cond. Coils Area (FT)]]</f>
        <v>2058.5</v>
      </c>
      <c r="U81" s="929">
        <f>7*Chiler_Price[[#This Row],[Cond. Coils Area (FT)]]</f>
        <v>2881.9</v>
      </c>
      <c r="V81" s="928">
        <f>Chiler_Price[[#This Row],[Cond. Coils Area (FT)]]*Naming!$I$93</f>
        <v>7822.3</v>
      </c>
      <c r="W81" s="930">
        <f>Chiler_Price[[#This Row],[Cond. Coils Area (FT)]]*Naming!$I$96</f>
        <v>10951.220000000001</v>
      </c>
      <c r="X81" s="928">
        <f>1.5*Chiler_Price[[#This Row],[Cond. Coils Area (FT)]]</f>
        <v>617.54999999999995</v>
      </c>
      <c r="Y81" s="927">
        <f>1500*1.35*Chiler_Price[[#This Row],[NO. Of Compressors]]</f>
        <v>24300.000000000004</v>
      </c>
      <c r="Z81" s="927">
        <f>400*1.35*Chiler_Price[[#This Row],[NO. Of Compressors]]</f>
        <v>6480</v>
      </c>
      <c r="AA81" s="927">
        <f>650*1.35*Chiler_Price[[#This Row],[NO. Of Evap. Cooler ]]</f>
        <v>1755.0000000000002</v>
      </c>
      <c r="AB81" s="927">
        <f>650*4*1.35*Chiler_Price[[#This Row],[NO. Of Evap. Cooler ]]</f>
        <v>7020.0000000000009</v>
      </c>
      <c r="AC81" s="927">
        <f>560*1.35*Chiler_Price[[#This Row],[NO. Of Evap. Cooler ]]</f>
        <v>1512</v>
      </c>
      <c r="AD81" s="927">
        <v>0</v>
      </c>
      <c r="AE81" s="927">
        <f>700*1.35*Chiler_Price[[#This Row],[NO. Of Compressors]]</f>
        <v>11340.000000000002</v>
      </c>
      <c r="AF81" s="927">
        <f>100*1.35*Chiler_Price[[#This Row],[NO. Of Compressors]]</f>
        <v>1620</v>
      </c>
      <c r="AG81" s="927">
        <f>100*1.35*Chiler_Price[[#This Row],[NO. Of Compressors]]</f>
        <v>1620</v>
      </c>
      <c r="AH81" s="927">
        <f>600*1.35*Chiler_Price[[#This Row],[NO. Of Compressors]]</f>
        <v>9720</v>
      </c>
      <c r="AI81" s="927">
        <v>405</v>
      </c>
      <c r="AJ81" s="927">
        <v>0</v>
      </c>
      <c r="AK81" s="927">
        <f>Chiler_Price[[#This Row],[NO. of Cond. Fans]]*62*1.1*1.35</f>
        <v>1104.8400000000001</v>
      </c>
      <c r="AL81" s="927">
        <f>450*1.35*Chiler_Price[[#This Row],[NO. Of Compressors]]</f>
        <v>7290</v>
      </c>
      <c r="AM81" s="927">
        <f>Chiler_Price[[#This Row],[NO. of Cond. Fans]]*62*1.1*1.35</f>
        <v>1104.8400000000001</v>
      </c>
      <c r="AN81" s="927">
        <f t="shared" si="3"/>
        <v>1282.5</v>
      </c>
      <c r="AO81" s="927">
        <f t="shared" si="4"/>
        <v>1.3515999999999999</v>
      </c>
      <c r="AP81" s="927">
        <f t="shared" si="5"/>
        <v>2430</v>
      </c>
      <c r="AQ81" s="927">
        <f>560*1.35*Chiler_Price[[#This Row],[NO. Of Evap. Cooler ]]</f>
        <v>1512</v>
      </c>
      <c r="AR81" s="927">
        <f>100*1.35*Chiler_Price[[#This Row],[NO. Of Evap. Cooler ]]</f>
        <v>270</v>
      </c>
      <c r="AS81" s="944">
        <v>286</v>
      </c>
      <c r="AT81" s="712"/>
      <c r="AU81" s="712"/>
      <c r="BC81" s="712"/>
      <c r="BD81" s="712"/>
      <c r="BE81" s="712"/>
      <c r="BF81" s="712"/>
      <c r="BG81" s="712"/>
      <c r="BI81" s="712"/>
    </row>
    <row r="82" spans="1:61" ht="12.75">
      <c r="A82" s="939" t="s">
        <v>2010</v>
      </c>
      <c r="B82" s="927" t="s">
        <v>2011</v>
      </c>
      <c r="C82" s="927" t="s">
        <v>2011</v>
      </c>
      <c r="D82" s="927">
        <v>0</v>
      </c>
      <c r="E82" s="927">
        <v>12</v>
      </c>
      <c r="F82" s="927">
        <v>411.7</v>
      </c>
      <c r="G82" s="927">
        <v>12</v>
      </c>
      <c r="H82" s="927">
        <v>2</v>
      </c>
      <c r="I82" s="927">
        <f>Chiler_Price[[#This Row],[NO. of Cond Coils]]</f>
        <v>12</v>
      </c>
      <c r="J82" s="927">
        <v>25.8</v>
      </c>
      <c r="K82" s="927">
        <v>4</v>
      </c>
      <c r="L82" s="927">
        <v>30</v>
      </c>
      <c r="M82" s="927">
        <v>8</v>
      </c>
      <c r="N82" s="938">
        <v>0</v>
      </c>
      <c r="O82" s="941">
        <v>92138.77</v>
      </c>
      <c r="P82" s="928">
        <v>80172.960000000006</v>
      </c>
      <c r="Q82" s="928">
        <v>0</v>
      </c>
      <c r="R82" s="927">
        <f>125*1.35*Chiler_Price[[#This Row],[NO. of Cond Coils]]</f>
        <v>2025</v>
      </c>
      <c r="S82" s="929">
        <f>Chiler_Price[[#This Row],[Cond. Coils Area (FT)]]*4*Naming!$M$62</f>
        <v>36888.32</v>
      </c>
      <c r="T82" s="929">
        <f>5*Chiler_Price[[#This Row],[Cond. Coils Area (FT)]]</f>
        <v>2058.5</v>
      </c>
      <c r="U82" s="929">
        <f>7*Chiler_Price[[#This Row],[Cond. Coils Area (FT)]]</f>
        <v>2881.9</v>
      </c>
      <c r="V82" s="928">
        <f>Chiler_Price[[#This Row],[Cond. Coils Area (FT)]]*Naming!$I$93</f>
        <v>7822.3</v>
      </c>
      <c r="W82" s="930">
        <f>Chiler_Price[[#This Row],[Cond. Coils Area (FT)]]*Naming!$I$96</f>
        <v>10951.220000000001</v>
      </c>
      <c r="X82" s="928">
        <f>1.5*Chiler_Price[[#This Row],[Cond. Coils Area (FT)]]</f>
        <v>617.54999999999995</v>
      </c>
      <c r="Y82" s="927">
        <f>1500*1.35*Chiler_Price[[#This Row],[NO. Of Compressors]]</f>
        <v>24300.000000000004</v>
      </c>
      <c r="Z82" s="927">
        <f>400*1.35*Chiler_Price[[#This Row],[NO. Of Compressors]]</f>
        <v>6480</v>
      </c>
      <c r="AA82" s="927">
        <f>650*1.35*Chiler_Price[[#This Row],[NO. Of Evap. Cooler ]]</f>
        <v>1755.0000000000002</v>
      </c>
      <c r="AB82" s="927">
        <f>650*4*1.35*Chiler_Price[[#This Row],[NO. Of Evap. Cooler ]]</f>
        <v>7020.0000000000009</v>
      </c>
      <c r="AC82" s="927">
        <f>560*1.35*Chiler_Price[[#This Row],[NO. Of Evap. Cooler ]]</f>
        <v>1512</v>
      </c>
      <c r="AD82" s="927">
        <v>0</v>
      </c>
      <c r="AE82" s="927">
        <f>700*1.35*Chiler_Price[[#This Row],[NO. Of Compressors]]</f>
        <v>11340.000000000002</v>
      </c>
      <c r="AF82" s="927">
        <f>100*1.35*Chiler_Price[[#This Row],[NO. Of Compressors]]</f>
        <v>1620</v>
      </c>
      <c r="AG82" s="927">
        <f>100*1.35*Chiler_Price[[#This Row],[NO. Of Compressors]]</f>
        <v>1620</v>
      </c>
      <c r="AH82" s="927">
        <f>600*1.35*Chiler_Price[[#This Row],[NO. Of Compressors]]</f>
        <v>9720</v>
      </c>
      <c r="AI82" s="927">
        <v>405</v>
      </c>
      <c r="AJ82" s="927">
        <v>0</v>
      </c>
      <c r="AK82" s="927">
        <f>Chiler_Price[[#This Row],[NO. of Cond. Fans]]*62*1.1*1.35</f>
        <v>1104.8400000000001</v>
      </c>
      <c r="AL82" s="927">
        <f>450*1.35*Chiler_Price[[#This Row],[NO. Of Compressors]]</f>
        <v>7290</v>
      </c>
      <c r="AM82" s="927">
        <f>Chiler_Price[[#This Row],[NO. of Cond. Fans]]*62*1.1*1.35</f>
        <v>1104.8400000000001</v>
      </c>
      <c r="AN82" s="927">
        <f t="shared" si="3"/>
        <v>1282.5</v>
      </c>
      <c r="AO82" s="927">
        <f t="shared" si="4"/>
        <v>1.3515999999999999</v>
      </c>
      <c r="AP82" s="927">
        <f t="shared" si="5"/>
        <v>2430</v>
      </c>
      <c r="AQ82" s="927">
        <f>560*1.35*Chiler_Price[[#This Row],[NO. Of Evap. Cooler ]]</f>
        <v>1512</v>
      </c>
      <c r="AR82" s="927">
        <f>100*1.35*Chiler_Price[[#This Row],[NO. Of Evap. Cooler ]]</f>
        <v>270</v>
      </c>
      <c r="AS82" s="944">
        <v>286</v>
      </c>
      <c r="AT82" s="712"/>
      <c r="AU82" s="712"/>
      <c r="BC82" s="712"/>
      <c r="BD82" s="712"/>
      <c r="BE82" s="712"/>
      <c r="BF82" s="712"/>
      <c r="BG82" s="712"/>
      <c r="BI82" s="712"/>
    </row>
    <row r="83" spans="1:61" ht="12.75">
      <c r="A83" s="939" t="s">
        <v>2012</v>
      </c>
      <c r="B83" s="927" t="s">
        <v>2013</v>
      </c>
      <c r="C83" s="927" t="s">
        <v>2013</v>
      </c>
      <c r="D83" s="927">
        <v>0</v>
      </c>
      <c r="E83" s="927">
        <v>12</v>
      </c>
      <c r="F83" s="927">
        <v>411.7</v>
      </c>
      <c r="G83" s="927">
        <v>12</v>
      </c>
      <c r="H83" s="927">
        <v>2</v>
      </c>
      <c r="I83" s="927">
        <f>Chiler_Price[[#This Row],[NO. of Cond Coils]]</f>
        <v>12</v>
      </c>
      <c r="J83" s="927">
        <v>30</v>
      </c>
      <c r="K83" s="927">
        <v>12</v>
      </c>
      <c r="L83" s="927"/>
      <c r="M83" s="927"/>
      <c r="N83" s="938">
        <v>0</v>
      </c>
      <c r="O83" s="941">
        <v>95522.11</v>
      </c>
      <c r="P83" s="928">
        <v>83556.3</v>
      </c>
      <c r="Q83" s="928">
        <v>0</v>
      </c>
      <c r="R83" s="927">
        <f>125*1.35*Chiler_Price[[#This Row],[NO. of Cond Coils]]</f>
        <v>2025</v>
      </c>
      <c r="S83" s="929">
        <f>Chiler_Price[[#This Row],[Cond. Coils Area (FT)]]*4*Naming!$M$62</f>
        <v>36888.32</v>
      </c>
      <c r="T83" s="929">
        <f>5*Chiler_Price[[#This Row],[Cond. Coils Area (FT)]]</f>
        <v>2058.5</v>
      </c>
      <c r="U83" s="929">
        <f>7*Chiler_Price[[#This Row],[Cond. Coils Area (FT)]]</f>
        <v>2881.9</v>
      </c>
      <c r="V83" s="928">
        <f>Chiler_Price[[#This Row],[Cond. Coils Area (FT)]]*Naming!$I$93</f>
        <v>7822.3</v>
      </c>
      <c r="W83" s="930">
        <f>Chiler_Price[[#This Row],[Cond. Coils Area (FT)]]*Naming!$I$96</f>
        <v>10951.220000000001</v>
      </c>
      <c r="X83" s="928">
        <f>1.5*Chiler_Price[[#This Row],[Cond. Coils Area (FT)]]</f>
        <v>617.54999999999995</v>
      </c>
      <c r="Y83" s="927">
        <f>1500*1.35*Chiler_Price[[#This Row],[NO. Of Compressors]]</f>
        <v>24300.000000000004</v>
      </c>
      <c r="Z83" s="927">
        <f>400*1.35*Chiler_Price[[#This Row],[NO. Of Compressors]]</f>
        <v>6480</v>
      </c>
      <c r="AA83" s="927">
        <f>650*1.35*Chiler_Price[[#This Row],[NO. Of Evap. Cooler ]]</f>
        <v>1755.0000000000002</v>
      </c>
      <c r="AB83" s="927">
        <f>650*4*1.35*Chiler_Price[[#This Row],[NO. Of Evap. Cooler ]]</f>
        <v>7020.0000000000009</v>
      </c>
      <c r="AC83" s="927">
        <f>560*1.35*Chiler_Price[[#This Row],[NO. Of Evap. Cooler ]]</f>
        <v>1512</v>
      </c>
      <c r="AD83" s="927">
        <v>0</v>
      </c>
      <c r="AE83" s="927">
        <f>700*1.35*Chiler_Price[[#This Row],[NO. Of Compressors]]</f>
        <v>11340.000000000002</v>
      </c>
      <c r="AF83" s="927">
        <f>100*1.35*Chiler_Price[[#This Row],[NO. Of Compressors]]</f>
        <v>1620</v>
      </c>
      <c r="AG83" s="927">
        <f>100*1.35*Chiler_Price[[#This Row],[NO. Of Compressors]]</f>
        <v>1620</v>
      </c>
      <c r="AH83" s="927">
        <f>600*1.35*Chiler_Price[[#This Row],[NO. Of Compressors]]</f>
        <v>9720</v>
      </c>
      <c r="AI83" s="927">
        <v>405</v>
      </c>
      <c r="AJ83" s="927">
        <v>0</v>
      </c>
      <c r="AK83" s="927">
        <f>Chiler_Price[[#This Row],[NO. of Cond. Fans]]*62*1.1*1.35</f>
        <v>1104.8400000000001</v>
      </c>
      <c r="AL83" s="927">
        <f>450*1.35*Chiler_Price[[#This Row],[NO. Of Compressors]]</f>
        <v>7290</v>
      </c>
      <c r="AM83" s="927">
        <f>Chiler_Price[[#This Row],[NO. of Cond. Fans]]*62*1.1*1.35</f>
        <v>1104.8400000000001</v>
      </c>
      <c r="AN83" s="927">
        <f t="shared" si="3"/>
        <v>1282.5</v>
      </c>
      <c r="AO83" s="927">
        <f t="shared" si="4"/>
        <v>1.3515999999999999</v>
      </c>
      <c r="AP83" s="927">
        <f t="shared" si="5"/>
        <v>2430</v>
      </c>
      <c r="AQ83" s="927">
        <f>560*1.35*Chiler_Price[[#This Row],[NO. Of Evap. Cooler ]]</f>
        <v>1512</v>
      </c>
      <c r="AR83" s="927">
        <f>100*1.35*Chiler_Price[[#This Row],[NO. Of Evap. Cooler ]]</f>
        <v>270</v>
      </c>
      <c r="AS83" s="944">
        <v>286</v>
      </c>
      <c r="AT83" s="712"/>
      <c r="AU83" s="712"/>
      <c r="BC83" s="712"/>
      <c r="BD83" s="712"/>
      <c r="BE83" s="712"/>
      <c r="BF83" s="712"/>
      <c r="BG83" s="712"/>
      <c r="BI83" s="712"/>
    </row>
    <row r="84" spans="1:61" ht="12.75">
      <c r="A84" s="939" t="s">
        <v>2014</v>
      </c>
      <c r="B84" s="927" t="s">
        <v>2015</v>
      </c>
      <c r="C84" s="927" t="s">
        <v>2015</v>
      </c>
      <c r="D84" s="927">
        <v>0</v>
      </c>
      <c r="E84" s="927">
        <v>16</v>
      </c>
      <c r="F84" s="927">
        <v>548.9</v>
      </c>
      <c r="G84" s="927">
        <v>16</v>
      </c>
      <c r="H84" s="927">
        <v>2</v>
      </c>
      <c r="I84" s="927">
        <f>Chiler_Price[[#This Row],[NO. of Cond Coils]]</f>
        <v>16</v>
      </c>
      <c r="J84" s="927">
        <v>25.8</v>
      </c>
      <c r="K84" s="927">
        <v>16</v>
      </c>
      <c r="L84" s="927"/>
      <c r="M84" s="927"/>
      <c r="N84" s="938">
        <v>0</v>
      </c>
      <c r="O84" s="941">
        <v>115519.34000000001</v>
      </c>
      <c r="P84" s="928">
        <v>99564.57</v>
      </c>
      <c r="Q84" s="928">
        <v>0</v>
      </c>
      <c r="R84" s="927">
        <f>125*1.35*Chiler_Price[[#This Row],[NO. of Cond Coils]]</f>
        <v>2700</v>
      </c>
      <c r="S84" s="929">
        <f>Chiler_Price[[#This Row],[Cond. Coils Area (FT)]]*4*Naming!$M$62</f>
        <v>49181.439999999995</v>
      </c>
      <c r="T84" s="929">
        <f>5*Chiler_Price[[#This Row],[Cond. Coils Area (FT)]]</f>
        <v>2744.5</v>
      </c>
      <c r="U84" s="929">
        <f>7*Chiler_Price[[#This Row],[Cond. Coils Area (FT)]]</f>
        <v>3842.2999999999997</v>
      </c>
      <c r="V84" s="928">
        <f>Chiler_Price[[#This Row],[Cond. Coils Area (FT)]]*Naming!$I$93</f>
        <v>10429.1</v>
      </c>
      <c r="W84" s="930">
        <f>Chiler_Price[[#This Row],[Cond. Coils Area (FT)]]*Naming!$I$96</f>
        <v>14600.74</v>
      </c>
      <c r="X84" s="928">
        <f>1.5*Chiler_Price[[#This Row],[Cond. Coils Area (FT)]]</f>
        <v>823.34999999999991</v>
      </c>
      <c r="Y84" s="927">
        <f>1500*1.35*Chiler_Price[[#This Row],[NO. Of Compressors]]</f>
        <v>32400.000000000004</v>
      </c>
      <c r="Z84" s="927">
        <f>400*1.35*Chiler_Price[[#This Row],[NO. Of Compressors]]</f>
        <v>8640</v>
      </c>
      <c r="AA84" s="927">
        <f>650*1.35*Chiler_Price[[#This Row],[NO. Of Evap. Cooler ]]</f>
        <v>1755.0000000000002</v>
      </c>
      <c r="AB84" s="927">
        <f>650*4*1.35*Chiler_Price[[#This Row],[NO. Of Evap. Cooler ]]</f>
        <v>7020.0000000000009</v>
      </c>
      <c r="AC84" s="927">
        <f>560*1.35*Chiler_Price[[#This Row],[NO. Of Evap. Cooler ]]</f>
        <v>1512</v>
      </c>
      <c r="AD84" s="927">
        <v>0</v>
      </c>
      <c r="AE84" s="927">
        <f>700*1.35*Chiler_Price[[#This Row],[NO. Of Compressors]]</f>
        <v>15120.000000000002</v>
      </c>
      <c r="AF84" s="927">
        <f>100*1.35*Chiler_Price[[#This Row],[NO. Of Compressors]]</f>
        <v>2160</v>
      </c>
      <c r="AG84" s="927">
        <f>100*1.35*Chiler_Price[[#This Row],[NO. Of Compressors]]</f>
        <v>2160</v>
      </c>
      <c r="AH84" s="927">
        <f>600*1.35*Chiler_Price[[#This Row],[NO. Of Compressors]]</f>
        <v>12960</v>
      </c>
      <c r="AI84" s="927">
        <v>405</v>
      </c>
      <c r="AJ84" s="927">
        <v>0</v>
      </c>
      <c r="AK84" s="927">
        <f>Chiler_Price[[#This Row],[NO. of Cond. Fans]]*62*1.1*1.35</f>
        <v>1473.1200000000001</v>
      </c>
      <c r="AL84" s="927">
        <f>450*1.35*Chiler_Price[[#This Row],[NO. Of Compressors]]</f>
        <v>9720</v>
      </c>
      <c r="AM84" s="927">
        <f>Chiler_Price[[#This Row],[NO. of Cond. Fans]]*62*1.1*1.35</f>
        <v>1473.1200000000001</v>
      </c>
      <c r="AN84" s="927">
        <f t="shared" si="3"/>
        <v>1282.5</v>
      </c>
      <c r="AO84" s="927">
        <f t="shared" si="4"/>
        <v>1.3515999999999999</v>
      </c>
      <c r="AP84" s="927">
        <f t="shared" si="5"/>
        <v>2430</v>
      </c>
      <c r="AQ84" s="927">
        <f>560*1.35*Chiler_Price[[#This Row],[NO. Of Evap. Cooler ]]</f>
        <v>1512</v>
      </c>
      <c r="AR84" s="927">
        <f>100*1.35*Chiler_Price[[#This Row],[NO. Of Evap. Cooler ]]</f>
        <v>270</v>
      </c>
      <c r="AS84" s="944">
        <v>286</v>
      </c>
      <c r="AT84" s="712"/>
      <c r="AU84" s="712"/>
      <c r="BC84" s="712"/>
      <c r="BD84" s="712"/>
      <c r="BE84" s="712"/>
      <c r="BF84" s="712"/>
      <c r="BG84" s="712"/>
      <c r="BI84" s="712"/>
    </row>
    <row r="85" spans="1:61" ht="12.75">
      <c r="A85" s="939" t="s">
        <v>2016</v>
      </c>
      <c r="B85" s="927" t="s">
        <v>2017</v>
      </c>
      <c r="C85" s="927" t="s">
        <v>2017</v>
      </c>
      <c r="D85" s="927">
        <v>0</v>
      </c>
      <c r="E85" s="927">
        <v>16</v>
      </c>
      <c r="F85" s="927">
        <v>548.9</v>
      </c>
      <c r="G85" s="927">
        <v>16</v>
      </c>
      <c r="H85" s="927">
        <v>2</v>
      </c>
      <c r="I85" s="927">
        <f>Chiler_Price[[#This Row],[NO. of Cond Coils]]</f>
        <v>16</v>
      </c>
      <c r="J85" s="927">
        <v>25.8</v>
      </c>
      <c r="K85" s="927">
        <v>12</v>
      </c>
      <c r="L85" s="927">
        <v>30</v>
      </c>
      <c r="M85" s="927">
        <v>4</v>
      </c>
      <c r="N85" s="938">
        <v>0</v>
      </c>
      <c r="O85" s="941">
        <v>117500.98000000001</v>
      </c>
      <c r="P85" s="928">
        <v>101546.21</v>
      </c>
      <c r="Q85" s="928">
        <v>0</v>
      </c>
      <c r="R85" s="927">
        <f>125*1.35*Chiler_Price[[#This Row],[NO. of Cond Coils]]</f>
        <v>2700</v>
      </c>
      <c r="S85" s="929">
        <f>Chiler_Price[[#This Row],[Cond. Coils Area (FT)]]*4*Naming!$M$62</f>
        <v>49181.439999999995</v>
      </c>
      <c r="T85" s="929">
        <f>5*Chiler_Price[[#This Row],[Cond. Coils Area (FT)]]</f>
        <v>2744.5</v>
      </c>
      <c r="U85" s="929">
        <f>7*Chiler_Price[[#This Row],[Cond. Coils Area (FT)]]</f>
        <v>3842.2999999999997</v>
      </c>
      <c r="V85" s="928">
        <f>Chiler_Price[[#This Row],[Cond. Coils Area (FT)]]*Naming!$I$93</f>
        <v>10429.1</v>
      </c>
      <c r="W85" s="930">
        <f>Chiler_Price[[#This Row],[Cond. Coils Area (FT)]]*Naming!$I$96</f>
        <v>14600.74</v>
      </c>
      <c r="X85" s="928">
        <f>1.5*Chiler_Price[[#This Row],[Cond. Coils Area (FT)]]</f>
        <v>823.34999999999991</v>
      </c>
      <c r="Y85" s="927">
        <f>1500*1.35*Chiler_Price[[#This Row],[NO. Of Compressors]]</f>
        <v>32400.000000000004</v>
      </c>
      <c r="Z85" s="927">
        <f>400*1.35*Chiler_Price[[#This Row],[NO. Of Compressors]]</f>
        <v>8640</v>
      </c>
      <c r="AA85" s="927">
        <f>650*1.35*Chiler_Price[[#This Row],[NO. Of Evap. Cooler ]]</f>
        <v>1755.0000000000002</v>
      </c>
      <c r="AB85" s="927">
        <f>650*4*1.35*Chiler_Price[[#This Row],[NO. Of Evap. Cooler ]]</f>
        <v>7020.0000000000009</v>
      </c>
      <c r="AC85" s="927">
        <f>560*1.35*Chiler_Price[[#This Row],[NO. Of Evap. Cooler ]]</f>
        <v>1512</v>
      </c>
      <c r="AD85" s="927">
        <v>0</v>
      </c>
      <c r="AE85" s="927">
        <f>700*1.35*Chiler_Price[[#This Row],[NO. Of Compressors]]</f>
        <v>15120.000000000002</v>
      </c>
      <c r="AF85" s="927">
        <f>100*1.35*Chiler_Price[[#This Row],[NO. Of Compressors]]</f>
        <v>2160</v>
      </c>
      <c r="AG85" s="927">
        <f>100*1.35*Chiler_Price[[#This Row],[NO. Of Compressors]]</f>
        <v>2160</v>
      </c>
      <c r="AH85" s="927">
        <f>600*1.35*Chiler_Price[[#This Row],[NO. Of Compressors]]</f>
        <v>12960</v>
      </c>
      <c r="AI85" s="927">
        <v>405</v>
      </c>
      <c r="AJ85" s="927">
        <v>0</v>
      </c>
      <c r="AK85" s="927">
        <f>Chiler_Price[[#This Row],[NO. of Cond. Fans]]*62*1.1*1.35</f>
        <v>1473.1200000000001</v>
      </c>
      <c r="AL85" s="927">
        <f>450*1.35*Chiler_Price[[#This Row],[NO. Of Compressors]]</f>
        <v>9720</v>
      </c>
      <c r="AM85" s="927">
        <f>Chiler_Price[[#This Row],[NO. of Cond. Fans]]*62*1.1*1.35</f>
        <v>1473.1200000000001</v>
      </c>
      <c r="AN85" s="927">
        <f t="shared" si="3"/>
        <v>1282.5</v>
      </c>
      <c r="AO85" s="927">
        <f t="shared" si="4"/>
        <v>1.3515999999999999</v>
      </c>
      <c r="AP85" s="927">
        <f t="shared" si="5"/>
        <v>2430</v>
      </c>
      <c r="AQ85" s="927">
        <f>560*1.35*Chiler_Price[[#This Row],[NO. Of Evap. Cooler ]]</f>
        <v>1512</v>
      </c>
      <c r="AR85" s="927">
        <f>100*1.35*Chiler_Price[[#This Row],[NO. Of Evap. Cooler ]]</f>
        <v>270</v>
      </c>
      <c r="AS85" s="944">
        <v>286</v>
      </c>
      <c r="AT85" s="712"/>
      <c r="AU85" s="712"/>
      <c r="BC85" s="712"/>
      <c r="BD85" s="712"/>
      <c r="BE85" s="712"/>
      <c r="BF85" s="712"/>
      <c r="BG85" s="712"/>
      <c r="BI85" s="712"/>
    </row>
    <row r="86" spans="1:61" ht="12.75">
      <c r="A86" s="939" t="s">
        <v>2018</v>
      </c>
      <c r="B86" s="940">
        <v>0</v>
      </c>
      <c r="C86" s="927">
        <v>0</v>
      </c>
      <c r="D86" s="927">
        <v>0</v>
      </c>
      <c r="E86" s="927">
        <v>16</v>
      </c>
      <c r="F86" s="927">
        <v>548.9</v>
      </c>
      <c r="G86" s="927">
        <v>16</v>
      </c>
      <c r="H86" s="927">
        <v>2</v>
      </c>
      <c r="I86" s="927">
        <f>Chiler_Price[[#This Row],[NO. of Cond Coils]]</f>
        <v>16</v>
      </c>
      <c r="J86" s="927">
        <v>25.8</v>
      </c>
      <c r="K86" s="927">
        <v>8</v>
      </c>
      <c r="L86" s="927">
        <v>30</v>
      </c>
      <c r="M86" s="927">
        <v>8</v>
      </c>
      <c r="N86" s="938">
        <v>0</v>
      </c>
      <c r="O86" s="941">
        <v>123413.8</v>
      </c>
      <c r="P86" s="928">
        <v>107459.03000000001</v>
      </c>
      <c r="Q86" s="928">
        <v>0</v>
      </c>
      <c r="R86" s="927">
        <f>125*1.35*Chiler_Price[[#This Row],[NO. of Cond Coils]]</f>
        <v>2700</v>
      </c>
      <c r="S86" s="929">
        <f>Chiler_Price[[#This Row],[Cond. Coils Area (FT)]]*4*Naming!$M$62</f>
        <v>49181.439999999995</v>
      </c>
      <c r="T86" s="929">
        <f>5*Chiler_Price[[#This Row],[Cond. Coils Area (FT)]]</f>
        <v>2744.5</v>
      </c>
      <c r="U86" s="929">
        <f>7*Chiler_Price[[#This Row],[Cond. Coils Area (FT)]]</f>
        <v>3842.2999999999997</v>
      </c>
      <c r="V86" s="928">
        <f>Chiler_Price[[#This Row],[Cond. Coils Area (FT)]]*Naming!$I$93</f>
        <v>10429.1</v>
      </c>
      <c r="W86" s="930">
        <f>Chiler_Price[[#This Row],[Cond. Coils Area (FT)]]*Naming!$I$96</f>
        <v>14600.74</v>
      </c>
      <c r="X86" s="928">
        <f>1.5*Chiler_Price[[#This Row],[Cond. Coils Area (FT)]]</f>
        <v>823.34999999999991</v>
      </c>
      <c r="Y86" s="927">
        <f>1500*1.35*Chiler_Price[[#This Row],[NO. Of Compressors]]</f>
        <v>32400.000000000004</v>
      </c>
      <c r="Z86" s="927">
        <f>400*1.35*Chiler_Price[[#This Row],[NO. Of Compressors]]</f>
        <v>8640</v>
      </c>
      <c r="AA86" s="927">
        <f>650*1.35*Chiler_Price[[#This Row],[NO. Of Evap. Cooler ]]</f>
        <v>1755.0000000000002</v>
      </c>
      <c r="AB86" s="927">
        <f>650*4*1.35*Chiler_Price[[#This Row],[NO. Of Evap. Cooler ]]</f>
        <v>7020.0000000000009</v>
      </c>
      <c r="AC86" s="927">
        <f>560*1.35*Chiler_Price[[#This Row],[NO. Of Evap. Cooler ]]</f>
        <v>1512</v>
      </c>
      <c r="AD86" s="927">
        <v>0</v>
      </c>
      <c r="AE86" s="927">
        <f>700*1.35*Chiler_Price[[#This Row],[NO. Of Compressors]]</f>
        <v>15120.000000000002</v>
      </c>
      <c r="AF86" s="927">
        <f>100*1.35*Chiler_Price[[#This Row],[NO. Of Compressors]]</f>
        <v>2160</v>
      </c>
      <c r="AG86" s="927">
        <f>100*1.35*Chiler_Price[[#This Row],[NO. Of Compressors]]</f>
        <v>2160</v>
      </c>
      <c r="AH86" s="927">
        <f>600*1.35*Chiler_Price[[#This Row],[NO. Of Compressors]]</f>
        <v>12960</v>
      </c>
      <c r="AI86" s="927">
        <v>405</v>
      </c>
      <c r="AJ86" s="927">
        <v>0</v>
      </c>
      <c r="AK86" s="927">
        <f>Chiler_Price[[#This Row],[NO. of Cond. Fans]]*62*1.1*1.35</f>
        <v>1473.1200000000001</v>
      </c>
      <c r="AL86" s="927">
        <f>450*1.35*Chiler_Price[[#This Row],[NO. Of Compressors]]</f>
        <v>9720</v>
      </c>
      <c r="AM86" s="927">
        <f>Chiler_Price[[#This Row],[NO. of Cond. Fans]]*62*1.1*1.35</f>
        <v>1473.1200000000001</v>
      </c>
      <c r="AN86" s="927">
        <f t="shared" si="3"/>
        <v>1282.5</v>
      </c>
      <c r="AO86" s="927">
        <f t="shared" si="4"/>
        <v>1.3515999999999999</v>
      </c>
      <c r="AP86" s="927">
        <f t="shared" si="5"/>
        <v>2430</v>
      </c>
      <c r="AQ86" s="927">
        <f>560*1.35*Chiler_Price[[#This Row],[NO. Of Evap. Cooler ]]</f>
        <v>1512</v>
      </c>
      <c r="AR86" s="927">
        <f>100*1.35*Chiler_Price[[#This Row],[NO. Of Evap. Cooler ]]</f>
        <v>270</v>
      </c>
      <c r="AS86" s="944">
        <v>286</v>
      </c>
      <c r="AT86" s="712"/>
      <c r="AU86" s="712"/>
      <c r="BC86" s="712"/>
      <c r="BD86" s="712"/>
      <c r="BE86" s="712"/>
      <c r="BF86" s="712"/>
      <c r="BG86" s="712"/>
      <c r="BI86" s="712"/>
    </row>
    <row r="87" spans="1:61" ht="12.75">
      <c r="A87" s="939" t="s">
        <v>2019</v>
      </c>
      <c r="B87" s="940">
        <v>0</v>
      </c>
      <c r="C87" s="927">
        <v>0</v>
      </c>
      <c r="D87" s="927">
        <v>0</v>
      </c>
      <c r="E87" s="927">
        <v>16</v>
      </c>
      <c r="F87" s="927">
        <v>548.9</v>
      </c>
      <c r="G87" s="927">
        <v>16</v>
      </c>
      <c r="H87" s="927">
        <v>2</v>
      </c>
      <c r="I87" s="927">
        <f>Chiler_Price[[#This Row],[NO. of Cond Coils]]</f>
        <v>16</v>
      </c>
      <c r="J87" s="927">
        <v>25.8</v>
      </c>
      <c r="K87" s="927">
        <v>4</v>
      </c>
      <c r="L87" s="927">
        <v>30</v>
      </c>
      <c r="M87" s="927">
        <v>12</v>
      </c>
      <c r="N87" s="938">
        <v>0</v>
      </c>
      <c r="O87" s="941">
        <v>125426.47</v>
      </c>
      <c r="P87" s="928">
        <v>109471.70000000001</v>
      </c>
      <c r="Q87" s="928">
        <v>0</v>
      </c>
      <c r="R87" s="927">
        <f>125*1.35*Chiler_Price[[#This Row],[NO. of Cond Coils]]</f>
        <v>2700</v>
      </c>
      <c r="S87" s="929">
        <f>Chiler_Price[[#This Row],[Cond. Coils Area (FT)]]*4*Naming!$M$62</f>
        <v>49181.439999999995</v>
      </c>
      <c r="T87" s="929">
        <f>5*Chiler_Price[[#This Row],[Cond. Coils Area (FT)]]</f>
        <v>2744.5</v>
      </c>
      <c r="U87" s="929">
        <f>7*Chiler_Price[[#This Row],[Cond. Coils Area (FT)]]</f>
        <v>3842.2999999999997</v>
      </c>
      <c r="V87" s="928">
        <f>Chiler_Price[[#This Row],[Cond. Coils Area (FT)]]*Naming!$I$93</f>
        <v>10429.1</v>
      </c>
      <c r="W87" s="930">
        <f>Chiler_Price[[#This Row],[Cond. Coils Area (FT)]]*Naming!$I$96</f>
        <v>14600.74</v>
      </c>
      <c r="X87" s="928">
        <f>1.5*Chiler_Price[[#This Row],[Cond. Coils Area (FT)]]</f>
        <v>823.34999999999991</v>
      </c>
      <c r="Y87" s="927">
        <f>1500*1.35*Chiler_Price[[#This Row],[NO. Of Compressors]]</f>
        <v>32400.000000000004</v>
      </c>
      <c r="Z87" s="927">
        <f>400*1.35*Chiler_Price[[#This Row],[NO. Of Compressors]]</f>
        <v>8640</v>
      </c>
      <c r="AA87" s="927">
        <f>650*1.35*Chiler_Price[[#This Row],[NO. Of Evap. Cooler ]]</f>
        <v>1755.0000000000002</v>
      </c>
      <c r="AB87" s="927">
        <f>650*4*1.35*Chiler_Price[[#This Row],[NO. Of Evap. Cooler ]]</f>
        <v>7020.0000000000009</v>
      </c>
      <c r="AC87" s="927">
        <f>560*1.35*Chiler_Price[[#This Row],[NO. Of Evap. Cooler ]]</f>
        <v>1512</v>
      </c>
      <c r="AD87" s="927">
        <v>0</v>
      </c>
      <c r="AE87" s="927">
        <f>700*1.35*Chiler_Price[[#This Row],[NO. Of Compressors]]</f>
        <v>15120.000000000002</v>
      </c>
      <c r="AF87" s="927">
        <f>100*1.35*Chiler_Price[[#This Row],[NO. Of Compressors]]</f>
        <v>2160</v>
      </c>
      <c r="AG87" s="927">
        <f>100*1.35*Chiler_Price[[#This Row],[NO. Of Compressors]]</f>
        <v>2160</v>
      </c>
      <c r="AH87" s="927">
        <f>600*1.35*Chiler_Price[[#This Row],[NO. Of Compressors]]</f>
        <v>12960</v>
      </c>
      <c r="AI87" s="927">
        <v>405</v>
      </c>
      <c r="AJ87" s="927">
        <v>0</v>
      </c>
      <c r="AK87" s="927">
        <f>Chiler_Price[[#This Row],[NO. of Cond. Fans]]*62*1.1*1.35</f>
        <v>1473.1200000000001</v>
      </c>
      <c r="AL87" s="927">
        <f>450*1.35*Chiler_Price[[#This Row],[NO. Of Compressors]]</f>
        <v>9720</v>
      </c>
      <c r="AM87" s="927">
        <f>Chiler_Price[[#This Row],[NO. of Cond. Fans]]*62*1.1*1.35</f>
        <v>1473.1200000000001</v>
      </c>
      <c r="AN87" s="927">
        <f t="shared" si="3"/>
        <v>1282.5</v>
      </c>
      <c r="AO87" s="927">
        <f t="shared" si="4"/>
        <v>1.3515999999999999</v>
      </c>
      <c r="AP87" s="927">
        <f t="shared" si="5"/>
        <v>2430</v>
      </c>
      <c r="AQ87" s="927">
        <f>560*1.35*Chiler_Price[[#This Row],[NO. Of Evap. Cooler ]]</f>
        <v>1512</v>
      </c>
      <c r="AR87" s="927">
        <f>100*1.35*Chiler_Price[[#This Row],[NO. Of Evap. Cooler ]]</f>
        <v>270</v>
      </c>
      <c r="AS87" s="944">
        <v>286</v>
      </c>
      <c r="AT87" s="712"/>
      <c r="AU87" s="712"/>
      <c r="BC87" s="712"/>
      <c r="BD87" s="712"/>
      <c r="BE87" s="712"/>
      <c r="BF87" s="712"/>
      <c r="BG87" s="712"/>
      <c r="BI87" s="712"/>
    </row>
    <row r="88" spans="1:61" ht="12.75">
      <c r="A88" s="939" t="s">
        <v>2020</v>
      </c>
      <c r="B88" s="927" t="s">
        <v>2021</v>
      </c>
      <c r="C88" s="927" t="s">
        <v>2021</v>
      </c>
      <c r="D88" s="927">
        <v>0</v>
      </c>
      <c r="E88" s="927">
        <v>16</v>
      </c>
      <c r="F88" s="927">
        <v>548.9</v>
      </c>
      <c r="G88" s="927">
        <v>16</v>
      </c>
      <c r="H88" s="927">
        <v>2</v>
      </c>
      <c r="I88" s="927">
        <f>Chiler_Price[[#This Row],[NO. of Cond Coils]]</f>
        <v>16</v>
      </c>
      <c r="J88" s="927">
        <v>30</v>
      </c>
      <c r="K88" s="927">
        <v>16</v>
      </c>
      <c r="L88" s="927"/>
      <c r="M88" s="927"/>
      <c r="N88" s="938">
        <v>0</v>
      </c>
      <c r="O88" s="941">
        <v>127429.51000000001</v>
      </c>
      <c r="P88" s="928">
        <v>111474.74</v>
      </c>
      <c r="Q88" s="928">
        <v>0</v>
      </c>
      <c r="R88" s="927">
        <f>125*1.35*Chiler_Price[[#This Row],[NO. of Cond Coils]]</f>
        <v>2700</v>
      </c>
      <c r="S88" s="929">
        <f>Chiler_Price[[#This Row],[Cond. Coils Area (FT)]]*4*Naming!$M$62</f>
        <v>49181.439999999995</v>
      </c>
      <c r="T88" s="929">
        <f>5*Chiler_Price[[#This Row],[Cond. Coils Area (FT)]]</f>
        <v>2744.5</v>
      </c>
      <c r="U88" s="929">
        <f>7*Chiler_Price[[#This Row],[Cond. Coils Area (FT)]]</f>
        <v>3842.2999999999997</v>
      </c>
      <c r="V88" s="928">
        <f>Chiler_Price[[#This Row],[Cond. Coils Area (FT)]]*Naming!$I$93</f>
        <v>10429.1</v>
      </c>
      <c r="W88" s="930">
        <f>Chiler_Price[[#This Row],[Cond. Coils Area (FT)]]*Naming!$I$96</f>
        <v>14600.74</v>
      </c>
      <c r="X88" s="928">
        <f>1.5*Chiler_Price[[#This Row],[Cond. Coils Area (FT)]]</f>
        <v>823.34999999999991</v>
      </c>
      <c r="Y88" s="927">
        <f>1500*1.35*Chiler_Price[[#This Row],[NO. Of Compressors]]</f>
        <v>32400.000000000004</v>
      </c>
      <c r="Z88" s="927">
        <f>400*1.35*Chiler_Price[[#This Row],[NO. Of Compressors]]</f>
        <v>8640</v>
      </c>
      <c r="AA88" s="927">
        <f>650*1.35*Chiler_Price[[#This Row],[NO. Of Evap. Cooler ]]</f>
        <v>1755.0000000000002</v>
      </c>
      <c r="AB88" s="927">
        <f>650*4*1.35*Chiler_Price[[#This Row],[NO. Of Evap. Cooler ]]</f>
        <v>7020.0000000000009</v>
      </c>
      <c r="AC88" s="927">
        <f>560*1.35*Chiler_Price[[#This Row],[NO. Of Evap. Cooler ]]</f>
        <v>1512</v>
      </c>
      <c r="AD88" s="927">
        <v>0</v>
      </c>
      <c r="AE88" s="927">
        <f>700*1.35*Chiler_Price[[#This Row],[NO. Of Compressors]]</f>
        <v>15120.000000000002</v>
      </c>
      <c r="AF88" s="927">
        <f>100*1.35*Chiler_Price[[#This Row],[NO. Of Compressors]]</f>
        <v>2160</v>
      </c>
      <c r="AG88" s="927">
        <f>100*1.35*Chiler_Price[[#This Row],[NO. Of Compressors]]</f>
        <v>2160</v>
      </c>
      <c r="AH88" s="927">
        <f>600*1.35*Chiler_Price[[#This Row],[NO. Of Compressors]]</f>
        <v>12960</v>
      </c>
      <c r="AI88" s="927">
        <v>405</v>
      </c>
      <c r="AJ88" s="927">
        <v>0</v>
      </c>
      <c r="AK88" s="927">
        <f>Chiler_Price[[#This Row],[NO. of Cond. Fans]]*62*1.1*1.35</f>
        <v>1473.1200000000001</v>
      </c>
      <c r="AL88" s="927">
        <f>450*1.35*Chiler_Price[[#This Row],[NO. Of Compressors]]</f>
        <v>9720</v>
      </c>
      <c r="AM88" s="927">
        <f>Chiler_Price[[#This Row],[NO. of Cond. Fans]]*62*1.1*1.35</f>
        <v>1473.1200000000001</v>
      </c>
      <c r="AN88" s="927">
        <f t="shared" si="3"/>
        <v>1282.5</v>
      </c>
      <c r="AO88" s="927">
        <f t="shared" si="4"/>
        <v>1.3515999999999999</v>
      </c>
      <c r="AP88" s="927">
        <f t="shared" si="5"/>
        <v>2430</v>
      </c>
      <c r="AQ88" s="927">
        <f>560*1.35*Chiler_Price[[#This Row],[NO. Of Evap. Cooler ]]</f>
        <v>1512</v>
      </c>
      <c r="AR88" s="927">
        <f>100*1.35*Chiler_Price[[#This Row],[NO. Of Evap. Cooler ]]</f>
        <v>270</v>
      </c>
      <c r="AS88" s="944">
        <v>286</v>
      </c>
      <c r="AT88" s="712"/>
      <c r="AU88" s="712"/>
      <c r="BC88" s="712"/>
      <c r="BD88" s="712"/>
      <c r="BE88" s="712"/>
      <c r="BF88" s="712"/>
      <c r="BG88" s="712"/>
      <c r="BI88" s="712"/>
    </row>
    <row r="89" spans="1:61" ht="12.75">
      <c r="A89" s="939" t="s">
        <v>2022</v>
      </c>
      <c r="B89" s="940">
        <v>0</v>
      </c>
      <c r="C89" s="927">
        <v>0</v>
      </c>
      <c r="D89" s="927">
        <v>0</v>
      </c>
      <c r="E89" s="927">
        <v>1</v>
      </c>
      <c r="F89" s="927">
        <v>4.5999999999999996</v>
      </c>
      <c r="G89" s="927">
        <v>1</v>
      </c>
      <c r="H89" s="927">
        <v>1</v>
      </c>
      <c r="I89" s="927">
        <f>Chiler_Price[[#This Row],[NO. of Cond Coils]]</f>
        <v>1</v>
      </c>
      <c r="J89" s="927">
        <v>2.5</v>
      </c>
      <c r="K89" s="927">
        <v>1</v>
      </c>
      <c r="L89" s="927"/>
      <c r="M89" s="927"/>
      <c r="N89" s="938">
        <v>0</v>
      </c>
      <c r="O89" s="941">
        <v>2922.7000000000003</v>
      </c>
      <c r="P89" s="928"/>
      <c r="Q89" s="928">
        <v>0</v>
      </c>
      <c r="R89" s="927">
        <f>125*1.35*Chiler_Price[[#This Row],[NO. of Cond Coils]]</f>
        <v>168.75</v>
      </c>
      <c r="S89" s="929">
        <f>Chiler_Price[[#This Row],[Cond. Coils Area (FT)]]*4*Naming!$M$62</f>
        <v>412.15999999999997</v>
      </c>
      <c r="T89" s="929">
        <f>5*Chiler_Price[[#This Row],[Cond. Coils Area (FT)]]</f>
        <v>23</v>
      </c>
      <c r="U89" s="929">
        <f>7*Chiler_Price[[#This Row],[Cond. Coils Area (FT)]]</f>
        <v>32.199999999999996</v>
      </c>
      <c r="V89" s="928">
        <f>Chiler_Price[[#This Row],[Cond. Coils Area (FT)]]*Naming!$I$93</f>
        <v>87.399999999999991</v>
      </c>
      <c r="W89" s="930">
        <f>Chiler_Price[[#This Row],[Cond. Coils Area (FT)]]*Naming!$I$96</f>
        <v>122.36</v>
      </c>
      <c r="X89" s="928">
        <f>1.5*Chiler_Price[[#This Row],[Cond. Coils Area (FT)]]</f>
        <v>6.8999999999999995</v>
      </c>
      <c r="Y89" s="927">
        <f>1500*1.35*Chiler_Price[[#This Row],[NO. Of Compressors]]</f>
        <v>2025.0000000000002</v>
      </c>
      <c r="Z89" s="927">
        <f>400*1.35*Chiler_Price[[#This Row],[NO. Of Compressors]]</f>
        <v>540</v>
      </c>
      <c r="AA89" s="927">
        <f>650*1.35*Chiler_Price[[#This Row],[NO. Of Evap. Cooler ]]</f>
        <v>877.50000000000011</v>
      </c>
      <c r="AB89" s="927">
        <f>650*4*1.35*Chiler_Price[[#This Row],[NO. Of Evap. Cooler ]]</f>
        <v>3510.0000000000005</v>
      </c>
      <c r="AC89" s="927">
        <f>560*1.35*Chiler_Price[[#This Row],[NO. Of Evap. Cooler ]]</f>
        <v>756</v>
      </c>
      <c r="AD89" s="927">
        <v>0</v>
      </c>
      <c r="AE89" s="927">
        <f>700*1.35*Chiler_Price[[#This Row],[NO. Of Compressors]]</f>
        <v>945.00000000000011</v>
      </c>
      <c r="AF89" s="927">
        <f>100*1.35*Chiler_Price[[#This Row],[NO. Of Compressors]]</f>
        <v>135</v>
      </c>
      <c r="AG89" s="927">
        <f>100*1.35*Chiler_Price[[#This Row],[NO. Of Compressors]]</f>
        <v>135</v>
      </c>
      <c r="AH89" s="927">
        <f>600*1.35*Chiler_Price[[#This Row],[NO. Of Compressors]]</f>
        <v>810</v>
      </c>
      <c r="AI89" s="927">
        <v>405</v>
      </c>
      <c r="AJ89" s="927">
        <v>0</v>
      </c>
      <c r="AK89" s="927">
        <f>Chiler_Price[[#This Row],[NO. of Cond. Fans]]*62*1.1*1.35</f>
        <v>92.070000000000007</v>
      </c>
      <c r="AL89" s="927">
        <f>450*1.35*Chiler_Price[[#This Row],[NO. Of Compressors]]</f>
        <v>607.5</v>
      </c>
      <c r="AM89" s="927">
        <f>Chiler_Price[[#This Row],[NO. of Cond. Fans]]*62*1.1*1.35</f>
        <v>92.070000000000007</v>
      </c>
      <c r="AN89" s="927">
        <f t="shared" si="3"/>
        <v>1282.5</v>
      </c>
      <c r="AO89" s="927">
        <f t="shared" si="4"/>
        <v>1.3515999999999999</v>
      </c>
      <c r="AP89" s="927">
        <f t="shared" si="5"/>
        <v>2430</v>
      </c>
      <c r="AQ89" s="927">
        <f>560*1.35*Chiler_Price[[#This Row],[NO. Of Evap. Cooler ]]</f>
        <v>756</v>
      </c>
      <c r="AR89" s="927">
        <f>100*1.35*Chiler_Price[[#This Row],[NO. Of Evap. Cooler ]]</f>
        <v>135</v>
      </c>
      <c r="AS89" s="944">
        <v>286</v>
      </c>
      <c r="AT89" s="712"/>
      <c r="AU89" s="712"/>
      <c r="BC89" s="712"/>
      <c r="BD89" s="712"/>
      <c r="BE89" s="712"/>
      <c r="BF89" s="712"/>
      <c r="BG89" s="712"/>
      <c r="BI89" s="712"/>
    </row>
    <row r="90" spans="1:61" ht="12.75">
      <c r="A90" s="939" t="s">
        <v>2023</v>
      </c>
      <c r="B90" s="927" t="s">
        <v>2024</v>
      </c>
      <c r="C90" s="927" t="s">
        <v>2024</v>
      </c>
      <c r="D90" s="927">
        <v>0</v>
      </c>
      <c r="E90" s="927">
        <v>1</v>
      </c>
      <c r="F90" s="927">
        <v>4.5999999999999996</v>
      </c>
      <c r="G90" s="927">
        <v>1</v>
      </c>
      <c r="H90" s="927">
        <v>1</v>
      </c>
      <c r="I90" s="927">
        <f>Chiler_Price[[#This Row],[NO. of Cond Coils]]</f>
        <v>1</v>
      </c>
      <c r="J90" s="927">
        <v>3.1</v>
      </c>
      <c r="K90" s="927">
        <v>1</v>
      </c>
      <c r="L90" s="927"/>
      <c r="M90" s="927"/>
      <c r="N90" s="938">
        <v>0</v>
      </c>
      <c r="O90" s="941">
        <v>3033.8</v>
      </c>
      <c r="P90" s="928"/>
      <c r="Q90" s="928">
        <v>0</v>
      </c>
      <c r="R90" s="927">
        <f>125*1.35*Chiler_Price[[#This Row],[NO. of Cond Coils]]</f>
        <v>168.75</v>
      </c>
      <c r="S90" s="929">
        <f>Chiler_Price[[#This Row],[Cond. Coils Area (FT)]]*4*Naming!$M$62</f>
        <v>412.15999999999997</v>
      </c>
      <c r="T90" s="929">
        <f>5*Chiler_Price[[#This Row],[Cond. Coils Area (FT)]]</f>
        <v>23</v>
      </c>
      <c r="U90" s="929">
        <f>7*Chiler_Price[[#This Row],[Cond. Coils Area (FT)]]</f>
        <v>32.199999999999996</v>
      </c>
      <c r="V90" s="928">
        <f>Chiler_Price[[#This Row],[Cond. Coils Area (FT)]]*Naming!$I$93</f>
        <v>87.399999999999991</v>
      </c>
      <c r="W90" s="930">
        <f>Chiler_Price[[#This Row],[Cond. Coils Area (FT)]]*Naming!$I$96</f>
        <v>122.36</v>
      </c>
      <c r="X90" s="928">
        <f>1.5*Chiler_Price[[#This Row],[Cond. Coils Area (FT)]]</f>
        <v>6.8999999999999995</v>
      </c>
      <c r="Y90" s="927">
        <f>1500*1.35*Chiler_Price[[#This Row],[NO. Of Compressors]]</f>
        <v>2025.0000000000002</v>
      </c>
      <c r="Z90" s="927">
        <f>400*1.35*Chiler_Price[[#This Row],[NO. Of Compressors]]</f>
        <v>540</v>
      </c>
      <c r="AA90" s="927">
        <f>650*1.35*Chiler_Price[[#This Row],[NO. Of Evap. Cooler ]]</f>
        <v>877.50000000000011</v>
      </c>
      <c r="AB90" s="927">
        <f>650*4*1.35*Chiler_Price[[#This Row],[NO. Of Evap. Cooler ]]</f>
        <v>3510.0000000000005</v>
      </c>
      <c r="AC90" s="927">
        <f>560*1.35*Chiler_Price[[#This Row],[NO. Of Evap. Cooler ]]</f>
        <v>756</v>
      </c>
      <c r="AD90" s="927">
        <v>0</v>
      </c>
      <c r="AE90" s="927">
        <f>700*1.35*Chiler_Price[[#This Row],[NO. Of Compressors]]</f>
        <v>945.00000000000011</v>
      </c>
      <c r="AF90" s="927">
        <f>100*1.35*Chiler_Price[[#This Row],[NO. Of Compressors]]</f>
        <v>135</v>
      </c>
      <c r="AG90" s="927">
        <f>100*1.35*Chiler_Price[[#This Row],[NO. Of Compressors]]</f>
        <v>135</v>
      </c>
      <c r="AH90" s="927">
        <f>600*1.35*Chiler_Price[[#This Row],[NO. Of Compressors]]</f>
        <v>810</v>
      </c>
      <c r="AI90" s="927">
        <v>405</v>
      </c>
      <c r="AJ90" s="927">
        <v>0</v>
      </c>
      <c r="AK90" s="927">
        <f>Chiler_Price[[#This Row],[NO. of Cond. Fans]]*62*1.1*1.35</f>
        <v>92.070000000000007</v>
      </c>
      <c r="AL90" s="927">
        <f>450*1.35*Chiler_Price[[#This Row],[NO. Of Compressors]]</f>
        <v>607.5</v>
      </c>
      <c r="AM90" s="927">
        <f>Chiler_Price[[#This Row],[NO. of Cond. Fans]]*62*1.1*1.35</f>
        <v>92.070000000000007</v>
      </c>
      <c r="AN90" s="927">
        <f t="shared" si="3"/>
        <v>1282.5</v>
      </c>
      <c r="AO90" s="927">
        <f t="shared" si="4"/>
        <v>1.3515999999999999</v>
      </c>
      <c r="AP90" s="927">
        <f t="shared" si="5"/>
        <v>2430</v>
      </c>
      <c r="AQ90" s="927">
        <f>560*1.35*Chiler_Price[[#This Row],[NO. Of Evap. Cooler ]]</f>
        <v>756</v>
      </c>
      <c r="AR90" s="927">
        <f>100*1.35*Chiler_Price[[#This Row],[NO. Of Evap. Cooler ]]</f>
        <v>135</v>
      </c>
      <c r="AS90" s="944">
        <v>286</v>
      </c>
      <c r="AT90" s="712"/>
      <c r="AU90" s="712"/>
      <c r="BC90" s="712"/>
      <c r="BD90" s="712"/>
      <c r="BE90" s="712"/>
      <c r="BF90" s="712"/>
      <c r="BG90" s="712"/>
      <c r="BI90" s="712"/>
    </row>
    <row r="91" spans="1:61" ht="12.75">
      <c r="A91" s="939" t="s">
        <v>2025</v>
      </c>
      <c r="B91" s="940">
        <v>0</v>
      </c>
      <c r="C91" s="927">
        <v>0</v>
      </c>
      <c r="D91" s="927">
        <v>0</v>
      </c>
      <c r="E91" s="927">
        <v>1</v>
      </c>
      <c r="F91" s="927">
        <v>5.8</v>
      </c>
      <c r="G91" s="927">
        <v>1</v>
      </c>
      <c r="H91" s="927">
        <v>1</v>
      </c>
      <c r="I91" s="927">
        <f>Chiler_Price[[#This Row],[NO. of Cond Coils]]</f>
        <v>1</v>
      </c>
      <c r="J91" s="927">
        <v>3.5</v>
      </c>
      <c r="K91" s="927">
        <v>1</v>
      </c>
      <c r="L91" s="927"/>
      <c r="M91" s="927"/>
      <c r="N91" s="938">
        <v>0</v>
      </c>
      <c r="O91" s="941">
        <v>3562.9</v>
      </c>
      <c r="P91" s="928"/>
      <c r="Q91" s="928">
        <v>0</v>
      </c>
      <c r="R91" s="927">
        <f>125*1.35*Chiler_Price[[#This Row],[NO. of Cond Coils]]</f>
        <v>168.75</v>
      </c>
      <c r="S91" s="929">
        <f>Chiler_Price[[#This Row],[Cond. Coils Area (FT)]]*4*Naming!$M$62</f>
        <v>519.67999999999995</v>
      </c>
      <c r="T91" s="929">
        <f>5*Chiler_Price[[#This Row],[Cond. Coils Area (FT)]]</f>
        <v>29</v>
      </c>
      <c r="U91" s="929">
        <f>7*Chiler_Price[[#This Row],[Cond. Coils Area (FT)]]</f>
        <v>40.6</v>
      </c>
      <c r="V91" s="928">
        <f>Chiler_Price[[#This Row],[Cond. Coils Area (FT)]]*Naming!$I$93</f>
        <v>110.2</v>
      </c>
      <c r="W91" s="930">
        <f>Chiler_Price[[#This Row],[Cond. Coils Area (FT)]]*Naming!$I$96</f>
        <v>154.28</v>
      </c>
      <c r="X91" s="928">
        <f>1.5*Chiler_Price[[#This Row],[Cond. Coils Area (FT)]]</f>
        <v>8.6999999999999993</v>
      </c>
      <c r="Y91" s="927">
        <f>1500*1.35*Chiler_Price[[#This Row],[NO. Of Compressors]]</f>
        <v>2025.0000000000002</v>
      </c>
      <c r="Z91" s="927">
        <f>400*1.35*Chiler_Price[[#This Row],[NO. Of Compressors]]</f>
        <v>540</v>
      </c>
      <c r="AA91" s="927">
        <f>650*1.35*Chiler_Price[[#This Row],[NO. Of Evap. Cooler ]]</f>
        <v>877.50000000000011</v>
      </c>
      <c r="AB91" s="927">
        <f>650*4*1.35*Chiler_Price[[#This Row],[NO. Of Evap. Cooler ]]</f>
        <v>3510.0000000000005</v>
      </c>
      <c r="AC91" s="927">
        <f>560*1.35*Chiler_Price[[#This Row],[NO. Of Evap. Cooler ]]</f>
        <v>756</v>
      </c>
      <c r="AD91" s="927">
        <v>0</v>
      </c>
      <c r="AE91" s="927">
        <f>700*1.35*Chiler_Price[[#This Row],[NO. Of Compressors]]</f>
        <v>945.00000000000011</v>
      </c>
      <c r="AF91" s="927">
        <f>100*1.35*Chiler_Price[[#This Row],[NO. Of Compressors]]</f>
        <v>135</v>
      </c>
      <c r="AG91" s="927">
        <f>100*1.35*Chiler_Price[[#This Row],[NO. Of Compressors]]</f>
        <v>135</v>
      </c>
      <c r="AH91" s="927">
        <f>600*1.35*Chiler_Price[[#This Row],[NO. Of Compressors]]</f>
        <v>810</v>
      </c>
      <c r="AI91" s="927">
        <v>405</v>
      </c>
      <c r="AJ91" s="927">
        <v>0</v>
      </c>
      <c r="AK91" s="927">
        <f>Chiler_Price[[#This Row],[NO. of Cond. Fans]]*62*1.1*1.35</f>
        <v>92.070000000000007</v>
      </c>
      <c r="AL91" s="927">
        <f>450*1.35*Chiler_Price[[#This Row],[NO. Of Compressors]]</f>
        <v>607.5</v>
      </c>
      <c r="AM91" s="927">
        <f>Chiler_Price[[#This Row],[NO. of Cond. Fans]]*62*1.1*1.35</f>
        <v>92.070000000000007</v>
      </c>
      <c r="AN91" s="927">
        <f t="shared" si="3"/>
        <v>1282.5</v>
      </c>
      <c r="AO91" s="927">
        <f t="shared" si="4"/>
        <v>1.3515999999999999</v>
      </c>
      <c r="AP91" s="927">
        <f t="shared" si="5"/>
        <v>2430</v>
      </c>
      <c r="AQ91" s="927">
        <f>560*1.35*Chiler_Price[[#This Row],[NO. Of Evap. Cooler ]]</f>
        <v>756</v>
      </c>
      <c r="AR91" s="927">
        <f>100*1.35*Chiler_Price[[#This Row],[NO. Of Evap. Cooler ]]</f>
        <v>135</v>
      </c>
      <c r="AS91" s="944">
        <v>286</v>
      </c>
      <c r="AT91" s="712"/>
      <c r="AU91" s="712"/>
      <c r="BC91" s="712"/>
      <c r="BD91" s="712"/>
      <c r="BE91" s="712"/>
      <c r="BF91" s="712"/>
      <c r="BG91" s="712"/>
      <c r="BI91" s="712"/>
    </row>
    <row r="92" spans="1:61" ht="12.75">
      <c r="A92" s="939" t="s">
        <v>2026</v>
      </c>
      <c r="B92" s="940">
        <v>0</v>
      </c>
      <c r="C92" s="927">
        <v>0</v>
      </c>
      <c r="D92" s="927">
        <v>0</v>
      </c>
      <c r="E92" s="927">
        <v>1</v>
      </c>
      <c r="F92" s="927">
        <v>5.8</v>
      </c>
      <c r="G92" s="927">
        <v>1</v>
      </c>
      <c r="H92" s="927">
        <v>1</v>
      </c>
      <c r="I92" s="927">
        <f>Chiler_Price[[#This Row],[NO. of Cond Coils]]</f>
        <v>1</v>
      </c>
      <c r="J92" s="927">
        <v>4.5</v>
      </c>
      <c r="K92" s="927">
        <v>1</v>
      </c>
      <c r="L92" s="927"/>
      <c r="M92" s="927"/>
      <c r="N92" s="938">
        <v>0</v>
      </c>
      <c r="O92" s="941">
        <v>3631.1000000000004</v>
      </c>
      <c r="P92" s="928"/>
      <c r="Q92" s="928">
        <v>0</v>
      </c>
      <c r="R92" s="927">
        <f>125*1.35*Chiler_Price[[#This Row],[NO. of Cond Coils]]</f>
        <v>168.75</v>
      </c>
      <c r="S92" s="929">
        <f>Chiler_Price[[#This Row],[Cond. Coils Area (FT)]]*4*Naming!$M$62</f>
        <v>519.67999999999995</v>
      </c>
      <c r="T92" s="929">
        <f>5*Chiler_Price[[#This Row],[Cond. Coils Area (FT)]]</f>
        <v>29</v>
      </c>
      <c r="U92" s="929">
        <f>7*Chiler_Price[[#This Row],[Cond. Coils Area (FT)]]</f>
        <v>40.6</v>
      </c>
      <c r="V92" s="928">
        <f>Chiler_Price[[#This Row],[Cond. Coils Area (FT)]]*Naming!$I$93</f>
        <v>110.2</v>
      </c>
      <c r="W92" s="930">
        <f>Chiler_Price[[#This Row],[Cond. Coils Area (FT)]]*Naming!$I$96</f>
        <v>154.28</v>
      </c>
      <c r="X92" s="928">
        <f>1.5*Chiler_Price[[#This Row],[Cond. Coils Area (FT)]]</f>
        <v>8.6999999999999993</v>
      </c>
      <c r="Y92" s="927">
        <f>1500*1.35*Chiler_Price[[#This Row],[NO. Of Compressors]]</f>
        <v>2025.0000000000002</v>
      </c>
      <c r="Z92" s="927">
        <f>400*1.35*Chiler_Price[[#This Row],[NO. Of Compressors]]</f>
        <v>540</v>
      </c>
      <c r="AA92" s="927">
        <f>650*1.35*Chiler_Price[[#This Row],[NO. Of Evap. Cooler ]]</f>
        <v>877.50000000000011</v>
      </c>
      <c r="AB92" s="927">
        <f>650*4*1.35*Chiler_Price[[#This Row],[NO. Of Evap. Cooler ]]</f>
        <v>3510.0000000000005</v>
      </c>
      <c r="AC92" s="927">
        <f>560*1.35*Chiler_Price[[#This Row],[NO. Of Evap. Cooler ]]</f>
        <v>756</v>
      </c>
      <c r="AD92" s="927">
        <v>0</v>
      </c>
      <c r="AE92" s="927">
        <f>700*1.35*Chiler_Price[[#This Row],[NO. Of Compressors]]</f>
        <v>945.00000000000011</v>
      </c>
      <c r="AF92" s="927">
        <f>100*1.35*Chiler_Price[[#This Row],[NO. Of Compressors]]</f>
        <v>135</v>
      </c>
      <c r="AG92" s="927">
        <f>100*1.35*Chiler_Price[[#This Row],[NO. Of Compressors]]</f>
        <v>135</v>
      </c>
      <c r="AH92" s="927">
        <f>600*1.35*Chiler_Price[[#This Row],[NO. Of Compressors]]</f>
        <v>810</v>
      </c>
      <c r="AI92" s="927">
        <v>405</v>
      </c>
      <c r="AJ92" s="927">
        <v>0</v>
      </c>
      <c r="AK92" s="927">
        <f>Chiler_Price[[#This Row],[NO. of Cond. Fans]]*62*1.1*1.35</f>
        <v>92.070000000000007</v>
      </c>
      <c r="AL92" s="927">
        <f>450*1.35*Chiler_Price[[#This Row],[NO. Of Compressors]]</f>
        <v>607.5</v>
      </c>
      <c r="AM92" s="927">
        <f>Chiler_Price[[#This Row],[NO. of Cond. Fans]]*62*1.1*1.35</f>
        <v>92.070000000000007</v>
      </c>
      <c r="AN92" s="927">
        <f t="shared" si="3"/>
        <v>1282.5</v>
      </c>
      <c r="AO92" s="927">
        <f t="shared" si="4"/>
        <v>1.3515999999999999</v>
      </c>
      <c r="AP92" s="927">
        <f t="shared" si="5"/>
        <v>2430</v>
      </c>
      <c r="AQ92" s="927">
        <f>560*1.35*Chiler_Price[[#This Row],[NO. Of Evap. Cooler ]]</f>
        <v>756</v>
      </c>
      <c r="AR92" s="927">
        <f>100*1.35*Chiler_Price[[#This Row],[NO. Of Evap. Cooler ]]</f>
        <v>135</v>
      </c>
      <c r="AS92" s="944">
        <v>286</v>
      </c>
      <c r="AT92" s="712"/>
      <c r="AU92" s="712"/>
      <c r="BC92" s="712"/>
      <c r="BD92" s="712"/>
      <c r="BE92" s="712"/>
      <c r="BF92" s="712"/>
      <c r="BG92" s="712"/>
      <c r="BI92" s="712"/>
    </row>
    <row r="93" spans="1:61" ht="12.75">
      <c r="A93" s="939" t="s">
        <v>2027</v>
      </c>
      <c r="B93" s="927" t="s">
        <v>2028</v>
      </c>
      <c r="C93" s="927" t="s">
        <v>2028</v>
      </c>
      <c r="D93" s="927">
        <v>0</v>
      </c>
      <c r="E93" s="927">
        <v>1</v>
      </c>
      <c r="F93" s="927">
        <v>7</v>
      </c>
      <c r="G93" s="927">
        <v>1</v>
      </c>
      <c r="H93" s="927">
        <v>1</v>
      </c>
      <c r="I93" s="927">
        <f>Chiler_Price[[#This Row],[NO. of Cond Coils]]</f>
        <v>1</v>
      </c>
      <c r="J93" s="927">
        <v>5</v>
      </c>
      <c r="K93" s="927">
        <v>1</v>
      </c>
      <c r="L93" s="927"/>
      <c r="M93" s="927"/>
      <c r="N93" s="938">
        <v>0</v>
      </c>
      <c r="O93" s="941">
        <v>3804.9</v>
      </c>
      <c r="P93" s="928"/>
      <c r="Q93" s="928">
        <v>0</v>
      </c>
      <c r="R93" s="927">
        <f>125*1.35*Chiler_Price[[#This Row],[NO. of Cond Coils]]</f>
        <v>168.75</v>
      </c>
      <c r="S93" s="929">
        <f>Chiler_Price[[#This Row],[Cond. Coils Area (FT)]]*4*Naming!$M$62</f>
        <v>627.19999999999993</v>
      </c>
      <c r="T93" s="929">
        <f>5*Chiler_Price[[#This Row],[Cond. Coils Area (FT)]]</f>
        <v>35</v>
      </c>
      <c r="U93" s="929">
        <f>7*Chiler_Price[[#This Row],[Cond. Coils Area (FT)]]</f>
        <v>49</v>
      </c>
      <c r="V93" s="928">
        <f>Chiler_Price[[#This Row],[Cond. Coils Area (FT)]]*Naming!$I$93</f>
        <v>133</v>
      </c>
      <c r="W93" s="930">
        <f>Chiler_Price[[#This Row],[Cond. Coils Area (FT)]]*Naming!$I$96</f>
        <v>186.20000000000002</v>
      </c>
      <c r="X93" s="928">
        <f>1.5*Chiler_Price[[#This Row],[Cond. Coils Area (FT)]]</f>
        <v>10.5</v>
      </c>
      <c r="Y93" s="927">
        <f>1500*1.35*Chiler_Price[[#This Row],[NO. Of Compressors]]</f>
        <v>2025.0000000000002</v>
      </c>
      <c r="Z93" s="927">
        <f>400*1.35*Chiler_Price[[#This Row],[NO. Of Compressors]]</f>
        <v>540</v>
      </c>
      <c r="AA93" s="927">
        <f>650*1.35*Chiler_Price[[#This Row],[NO. Of Evap. Cooler ]]</f>
        <v>877.50000000000011</v>
      </c>
      <c r="AB93" s="927">
        <f>650*4*1.35*Chiler_Price[[#This Row],[NO. Of Evap. Cooler ]]</f>
        <v>3510.0000000000005</v>
      </c>
      <c r="AC93" s="927">
        <f>560*1.35*Chiler_Price[[#This Row],[NO. Of Evap. Cooler ]]</f>
        <v>756</v>
      </c>
      <c r="AD93" s="927">
        <v>0</v>
      </c>
      <c r="AE93" s="927">
        <f>700*1.35*Chiler_Price[[#This Row],[NO. Of Compressors]]</f>
        <v>945.00000000000011</v>
      </c>
      <c r="AF93" s="927">
        <f>100*1.35*Chiler_Price[[#This Row],[NO. Of Compressors]]</f>
        <v>135</v>
      </c>
      <c r="AG93" s="927">
        <f>100*1.35*Chiler_Price[[#This Row],[NO. Of Compressors]]</f>
        <v>135</v>
      </c>
      <c r="AH93" s="927">
        <f>600*1.35*Chiler_Price[[#This Row],[NO. Of Compressors]]</f>
        <v>810</v>
      </c>
      <c r="AI93" s="927">
        <v>405</v>
      </c>
      <c r="AJ93" s="927">
        <v>0</v>
      </c>
      <c r="AK93" s="927">
        <f>Chiler_Price[[#This Row],[NO. of Cond. Fans]]*62*1.1*1.35</f>
        <v>92.070000000000007</v>
      </c>
      <c r="AL93" s="927">
        <f>450*1.35*Chiler_Price[[#This Row],[NO. Of Compressors]]</f>
        <v>607.5</v>
      </c>
      <c r="AM93" s="927">
        <f>Chiler_Price[[#This Row],[NO. of Cond. Fans]]*62*1.1*1.35</f>
        <v>92.070000000000007</v>
      </c>
      <c r="AN93" s="927">
        <f t="shared" si="3"/>
        <v>1282.5</v>
      </c>
      <c r="AO93" s="927">
        <f t="shared" si="4"/>
        <v>1.3515999999999999</v>
      </c>
      <c r="AP93" s="927">
        <f t="shared" si="5"/>
        <v>2430</v>
      </c>
      <c r="AQ93" s="927">
        <f>560*1.35*Chiler_Price[[#This Row],[NO. Of Evap. Cooler ]]</f>
        <v>756</v>
      </c>
      <c r="AR93" s="927">
        <f>100*1.35*Chiler_Price[[#This Row],[NO. Of Evap. Cooler ]]</f>
        <v>135</v>
      </c>
      <c r="AS93" s="944">
        <v>286</v>
      </c>
      <c r="AT93" s="712"/>
      <c r="AU93" s="712"/>
      <c r="BC93" s="712"/>
      <c r="BD93" s="712"/>
      <c r="BE93" s="712"/>
      <c r="BF93" s="712"/>
      <c r="BG93" s="712"/>
      <c r="BI93" s="712"/>
    </row>
    <row r="94" spans="1:61" ht="12.75">
      <c r="A94" s="939" t="s">
        <v>2029</v>
      </c>
      <c r="B94" s="927" t="s">
        <v>2030</v>
      </c>
      <c r="C94" s="927" t="s">
        <v>2030</v>
      </c>
      <c r="D94" s="927">
        <v>0</v>
      </c>
      <c r="E94" s="927">
        <v>1</v>
      </c>
      <c r="F94" s="927">
        <v>8.4</v>
      </c>
      <c r="G94" s="927">
        <v>1</v>
      </c>
      <c r="H94" s="927">
        <v>1</v>
      </c>
      <c r="I94" s="927">
        <f>Chiler_Price[[#This Row],[NO. of Cond Coils]]</f>
        <v>1</v>
      </c>
      <c r="J94" s="927">
        <v>8</v>
      </c>
      <c r="K94" s="927">
        <v>1</v>
      </c>
      <c r="L94" s="927"/>
      <c r="M94" s="927"/>
      <c r="N94" s="938">
        <v>0</v>
      </c>
      <c r="O94" s="941">
        <v>4160.2000000000007</v>
      </c>
      <c r="P94" s="928"/>
      <c r="Q94" s="928">
        <v>0</v>
      </c>
      <c r="R94" s="927">
        <f>125*1.35*Chiler_Price[[#This Row],[NO. of Cond Coils]]</f>
        <v>168.75</v>
      </c>
      <c r="S94" s="929">
        <f>Chiler_Price[[#This Row],[Cond. Coils Area (FT)]]*4*Naming!$M$62</f>
        <v>752.64</v>
      </c>
      <c r="T94" s="929">
        <f>5*Chiler_Price[[#This Row],[Cond. Coils Area (FT)]]</f>
        <v>42</v>
      </c>
      <c r="U94" s="929">
        <f>7*Chiler_Price[[#This Row],[Cond. Coils Area (FT)]]</f>
        <v>58.800000000000004</v>
      </c>
      <c r="V94" s="928">
        <f>Chiler_Price[[#This Row],[Cond. Coils Area (FT)]]*Naming!$I$93</f>
        <v>159.6</v>
      </c>
      <c r="W94" s="930">
        <f>Chiler_Price[[#This Row],[Cond. Coils Area (FT)]]*Naming!$I$96</f>
        <v>223.44000000000003</v>
      </c>
      <c r="X94" s="928">
        <f>1.5*Chiler_Price[[#This Row],[Cond. Coils Area (FT)]]</f>
        <v>12.600000000000001</v>
      </c>
      <c r="Y94" s="927">
        <f>1500*1.35*Chiler_Price[[#This Row],[NO. Of Compressors]]</f>
        <v>2025.0000000000002</v>
      </c>
      <c r="Z94" s="927">
        <f>400*1.35*Chiler_Price[[#This Row],[NO. Of Compressors]]</f>
        <v>540</v>
      </c>
      <c r="AA94" s="927">
        <f>650*1.35*Chiler_Price[[#This Row],[NO. Of Evap. Cooler ]]</f>
        <v>877.50000000000011</v>
      </c>
      <c r="AB94" s="927">
        <f>650*4*1.35*Chiler_Price[[#This Row],[NO. Of Evap. Cooler ]]</f>
        <v>3510.0000000000005</v>
      </c>
      <c r="AC94" s="927">
        <f>560*1.35*Chiler_Price[[#This Row],[NO. Of Evap. Cooler ]]</f>
        <v>756</v>
      </c>
      <c r="AD94" s="927">
        <v>0</v>
      </c>
      <c r="AE94" s="927">
        <f>700*1.35*Chiler_Price[[#This Row],[NO. Of Compressors]]</f>
        <v>945.00000000000011</v>
      </c>
      <c r="AF94" s="927">
        <f>100*1.35*Chiler_Price[[#This Row],[NO. Of Compressors]]</f>
        <v>135</v>
      </c>
      <c r="AG94" s="927">
        <f>100*1.35*Chiler_Price[[#This Row],[NO. Of Compressors]]</f>
        <v>135</v>
      </c>
      <c r="AH94" s="927">
        <f>600*1.35*Chiler_Price[[#This Row],[NO. Of Compressors]]</f>
        <v>810</v>
      </c>
      <c r="AI94" s="927">
        <v>405</v>
      </c>
      <c r="AJ94" s="927">
        <v>0</v>
      </c>
      <c r="AK94" s="927">
        <f>Chiler_Price[[#This Row],[NO. of Cond. Fans]]*62*1.1*1.35</f>
        <v>92.070000000000007</v>
      </c>
      <c r="AL94" s="927">
        <f>450*1.35*Chiler_Price[[#This Row],[NO. Of Compressors]]</f>
        <v>607.5</v>
      </c>
      <c r="AM94" s="927">
        <f>Chiler_Price[[#This Row],[NO. of Cond. Fans]]*62*1.1*1.35</f>
        <v>92.070000000000007</v>
      </c>
      <c r="AN94" s="927">
        <f t="shared" si="3"/>
        <v>1282.5</v>
      </c>
      <c r="AO94" s="927">
        <f t="shared" si="4"/>
        <v>1.3515999999999999</v>
      </c>
      <c r="AP94" s="927">
        <f t="shared" si="5"/>
        <v>2430</v>
      </c>
      <c r="AQ94" s="927">
        <f>560*1.35*Chiler_Price[[#This Row],[NO. Of Evap. Cooler ]]</f>
        <v>756</v>
      </c>
      <c r="AR94" s="927">
        <f>100*1.35*Chiler_Price[[#This Row],[NO. Of Evap. Cooler ]]</f>
        <v>135</v>
      </c>
      <c r="AS94" s="944">
        <v>286</v>
      </c>
      <c r="AT94" s="712"/>
      <c r="AU94" s="712"/>
      <c r="BC94" s="712"/>
      <c r="BD94" s="712"/>
      <c r="BE94" s="712"/>
      <c r="BF94" s="712"/>
      <c r="BG94" s="712"/>
      <c r="BI94" s="712"/>
    </row>
    <row r="95" spans="1:61" ht="12.75">
      <c r="A95" s="939" t="s">
        <v>2031</v>
      </c>
      <c r="B95" s="927" t="s">
        <v>2032</v>
      </c>
      <c r="C95" s="927" t="s">
        <v>2032</v>
      </c>
      <c r="D95" s="927">
        <v>0</v>
      </c>
      <c r="E95" s="927">
        <v>1</v>
      </c>
      <c r="F95" s="927">
        <v>14.3</v>
      </c>
      <c r="G95" s="927">
        <v>1</v>
      </c>
      <c r="H95" s="927">
        <v>1</v>
      </c>
      <c r="I95" s="927">
        <f>Chiler_Price[[#This Row],[NO. of Cond Coils]]</f>
        <v>1</v>
      </c>
      <c r="J95" s="927">
        <v>10.5</v>
      </c>
      <c r="K95" s="927">
        <v>1</v>
      </c>
      <c r="L95" s="927"/>
      <c r="M95" s="927"/>
      <c r="N95" s="938">
        <v>0</v>
      </c>
      <c r="O95" s="941">
        <v>5122.7000000000007</v>
      </c>
      <c r="P95" s="928"/>
      <c r="Q95" s="928">
        <v>0</v>
      </c>
      <c r="R95" s="927">
        <f>125*1.35*Chiler_Price[[#This Row],[NO. of Cond Coils]]</f>
        <v>168.75</v>
      </c>
      <c r="S95" s="929">
        <f>Chiler_Price[[#This Row],[Cond. Coils Area (FT)]]*4*Naming!$M$62</f>
        <v>1281.28</v>
      </c>
      <c r="T95" s="929">
        <f>5*Chiler_Price[[#This Row],[Cond. Coils Area (FT)]]</f>
        <v>71.5</v>
      </c>
      <c r="U95" s="929">
        <f>7*Chiler_Price[[#This Row],[Cond. Coils Area (FT)]]</f>
        <v>100.10000000000001</v>
      </c>
      <c r="V95" s="928">
        <f>Chiler_Price[[#This Row],[Cond. Coils Area (FT)]]*Naming!$I$93</f>
        <v>271.7</v>
      </c>
      <c r="W95" s="930">
        <f>Chiler_Price[[#This Row],[Cond. Coils Area (FT)]]*Naming!$I$96</f>
        <v>380.38000000000005</v>
      </c>
      <c r="X95" s="928">
        <f>1.5*Chiler_Price[[#This Row],[Cond. Coils Area (FT)]]</f>
        <v>21.450000000000003</v>
      </c>
      <c r="Y95" s="927">
        <f>1500*1.35*Chiler_Price[[#This Row],[NO. Of Compressors]]</f>
        <v>2025.0000000000002</v>
      </c>
      <c r="Z95" s="927">
        <f>400*1.35*Chiler_Price[[#This Row],[NO. Of Compressors]]</f>
        <v>540</v>
      </c>
      <c r="AA95" s="927">
        <f>650*1.35*Chiler_Price[[#This Row],[NO. Of Evap. Cooler ]]</f>
        <v>877.50000000000011</v>
      </c>
      <c r="AB95" s="927">
        <f>650*4*1.35*Chiler_Price[[#This Row],[NO. Of Evap. Cooler ]]</f>
        <v>3510.0000000000005</v>
      </c>
      <c r="AC95" s="927">
        <f>560*1.35*Chiler_Price[[#This Row],[NO. Of Evap. Cooler ]]</f>
        <v>756</v>
      </c>
      <c r="AD95" s="927">
        <v>0</v>
      </c>
      <c r="AE95" s="927">
        <f>700*1.35*Chiler_Price[[#This Row],[NO. Of Compressors]]</f>
        <v>945.00000000000011</v>
      </c>
      <c r="AF95" s="927">
        <f>100*1.35*Chiler_Price[[#This Row],[NO. Of Compressors]]</f>
        <v>135</v>
      </c>
      <c r="AG95" s="927">
        <f>100*1.35*Chiler_Price[[#This Row],[NO. Of Compressors]]</f>
        <v>135</v>
      </c>
      <c r="AH95" s="927">
        <f>600*1.35*Chiler_Price[[#This Row],[NO. Of Compressors]]</f>
        <v>810</v>
      </c>
      <c r="AI95" s="927">
        <v>405</v>
      </c>
      <c r="AJ95" s="927">
        <v>0</v>
      </c>
      <c r="AK95" s="927">
        <f>Chiler_Price[[#This Row],[NO. of Cond. Fans]]*62*1.1*1.35</f>
        <v>92.070000000000007</v>
      </c>
      <c r="AL95" s="927">
        <f>450*1.35*Chiler_Price[[#This Row],[NO. Of Compressors]]</f>
        <v>607.5</v>
      </c>
      <c r="AM95" s="927">
        <f>Chiler_Price[[#This Row],[NO. of Cond. Fans]]*62*1.1*1.35</f>
        <v>92.070000000000007</v>
      </c>
      <c r="AN95" s="927">
        <f t="shared" si="3"/>
        <v>1282.5</v>
      </c>
      <c r="AO95" s="927">
        <f t="shared" si="4"/>
        <v>1.3515999999999999</v>
      </c>
      <c r="AP95" s="927">
        <f t="shared" si="5"/>
        <v>2430</v>
      </c>
      <c r="AQ95" s="927">
        <f>560*1.35*Chiler_Price[[#This Row],[NO. Of Evap. Cooler ]]</f>
        <v>756</v>
      </c>
      <c r="AR95" s="927">
        <f>100*1.35*Chiler_Price[[#This Row],[NO. Of Evap. Cooler ]]</f>
        <v>135</v>
      </c>
      <c r="AS95" s="944">
        <v>286</v>
      </c>
      <c r="AT95" s="712"/>
      <c r="AU95" s="712"/>
      <c r="BC95" s="712"/>
      <c r="BD95" s="712"/>
      <c r="BE95" s="712"/>
      <c r="BF95" s="712"/>
      <c r="BG95" s="712"/>
      <c r="BI95" s="712"/>
    </row>
    <row r="96" spans="1:61" ht="12.75">
      <c r="A96" s="939" t="s">
        <v>2033</v>
      </c>
      <c r="B96" s="927" t="s">
        <v>2034</v>
      </c>
      <c r="C96" s="927" t="s">
        <v>2034</v>
      </c>
      <c r="D96" s="927">
        <v>0</v>
      </c>
      <c r="E96" s="927">
        <v>1</v>
      </c>
      <c r="F96" s="927">
        <v>15.5</v>
      </c>
      <c r="G96" s="927">
        <v>1</v>
      </c>
      <c r="H96" s="927">
        <v>1</v>
      </c>
      <c r="I96" s="927">
        <f>Chiler_Price[[#This Row],[NO. of Cond Coils]]</f>
        <v>1</v>
      </c>
      <c r="J96" s="927">
        <v>12</v>
      </c>
      <c r="K96" s="927">
        <v>1</v>
      </c>
      <c r="L96" s="927"/>
      <c r="M96" s="927"/>
      <c r="N96" s="938">
        <v>0</v>
      </c>
      <c r="O96" s="941">
        <v>5253.6</v>
      </c>
      <c r="P96" s="928"/>
      <c r="Q96" s="928">
        <v>0</v>
      </c>
      <c r="R96" s="927">
        <f>125*1.35*Chiler_Price[[#This Row],[NO. of Cond Coils]]</f>
        <v>168.75</v>
      </c>
      <c r="S96" s="929">
        <f>Chiler_Price[[#This Row],[Cond. Coils Area (FT)]]*4*Naming!$M$62</f>
        <v>1388.8</v>
      </c>
      <c r="T96" s="929">
        <f>5*Chiler_Price[[#This Row],[Cond. Coils Area (FT)]]</f>
        <v>77.5</v>
      </c>
      <c r="U96" s="929">
        <f>7*Chiler_Price[[#This Row],[Cond. Coils Area (FT)]]</f>
        <v>108.5</v>
      </c>
      <c r="V96" s="928">
        <f>Chiler_Price[[#This Row],[Cond. Coils Area (FT)]]*Naming!$I$93</f>
        <v>294.5</v>
      </c>
      <c r="W96" s="930">
        <f>Chiler_Price[[#This Row],[Cond. Coils Area (FT)]]*Naming!$I$96</f>
        <v>412.3</v>
      </c>
      <c r="X96" s="928">
        <f>1.5*Chiler_Price[[#This Row],[Cond. Coils Area (FT)]]</f>
        <v>23.25</v>
      </c>
      <c r="Y96" s="927">
        <f>1500*1.35*Chiler_Price[[#This Row],[NO. Of Compressors]]</f>
        <v>2025.0000000000002</v>
      </c>
      <c r="Z96" s="927">
        <f>400*1.35*Chiler_Price[[#This Row],[NO. Of Compressors]]</f>
        <v>540</v>
      </c>
      <c r="AA96" s="927">
        <f>650*1.35*Chiler_Price[[#This Row],[NO. Of Evap. Cooler ]]</f>
        <v>877.50000000000011</v>
      </c>
      <c r="AB96" s="927">
        <f>650*4*1.35*Chiler_Price[[#This Row],[NO. Of Evap. Cooler ]]</f>
        <v>3510.0000000000005</v>
      </c>
      <c r="AC96" s="927">
        <f>560*1.35*Chiler_Price[[#This Row],[NO. Of Evap. Cooler ]]</f>
        <v>756</v>
      </c>
      <c r="AD96" s="927">
        <v>0</v>
      </c>
      <c r="AE96" s="927">
        <f>700*1.35*Chiler_Price[[#This Row],[NO. Of Compressors]]</f>
        <v>945.00000000000011</v>
      </c>
      <c r="AF96" s="927">
        <f>100*1.35*Chiler_Price[[#This Row],[NO. Of Compressors]]</f>
        <v>135</v>
      </c>
      <c r="AG96" s="927">
        <f>100*1.35*Chiler_Price[[#This Row],[NO. Of Compressors]]</f>
        <v>135</v>
      </c>
      <c r="AH96" s="927">
        <f>600*1.35*Chiler_Price[[#This Row],[NO. Of Compressors]]</f>
        <v>810</v>
      </c>
      <c r="AI96" s="927">
        <v>405</v>
      </c>
      <c r="AJ96" s="927">
        <v>0</v>
      </c>
      <c r="AK96" s="927">
        <f>Chiler_Price[[#This Row],[NO. of Cond. Fans]]*62*1.1*1.35</f>
        <v>92.070000000000007</v>
      </c>
      <c r="AL96" s="927">
        <f>450*1.35*Chiler_Price[[#This Row],[NO. Of Compressors]]</f>
        <v>607.5</v>
      </c>
      <c r="AM96" s="927">
        <f>Chiler_Price[[#This Row],[NO. of Cond. Fans]]*62*1.1*1.35</f>
        <v>92.070000000000007</v>
      </c>
      <c r="AN96" s="927">
        <f t="shared" si="3"/>
        <v>1282.5</v>
      </c>
      <c r="AO96" s="927">
        <f t="shared" si="4"/>
        <v>1.3515999999999999</v>
      </c>
      <c r="AP96" s="927">
        <f t="shared" si="5"/>
        <v>2430</v>
      </c>
      <c r="AQ96" s="927">
        <f>560*1.35*Chiler_Price[[#This Row],[NO. Of Evap. Cooler ]]</f>
        <v>756</v>
      </c>
      <c r="AR96" s="927">
        <f>100*1.35*Chiler_Price[[#This Row],[NO. Of Evap. Cooler ]]</f>
        <v>135</v>
      </c>
      <c r="AS96" s="944">
        <v>286</v>
      </c>
      <c r="AT96" s="712"/>
      <c r="AU96" s="712"/>
      <c r="BC96" s="712"/>
      <c r="BD96" s="712"/>
      <c r="BE96" s="712"/>
      <c r="BF96" s="712"/>
      <c r="BG96" s="712"/>
      <c r="BI96" s="712"/>
    </row>
    <row r="97" spans="1:61" ht="12.75">
      <c r="A97" s="939" t="s">
        <v>2035</v>
      </c>
      <c r="B97" s="927" t="s">
        <v>2036</v>
      </c>
      <c r="C97" s="927" t="s">
        <v>2036</v>
      </c>
      <c r="D97" s="927">
        <v>0</v>
      </c>
      <c r="E97" s="927">
        <v>1</v>
      </c>
      <c r="F97" s="927">
        <v>17</v>
      </c>
      <c r="G97" s="927">
        <v>1</v>
      </c>
      <c r="H97" s="927">
        <v>1</v>
      </c>
      <c r="I97" s="927">
        <f>Chiler_Price[[#This Row],[NO. of Cond Coils]]</f>
        <v>1</v>
      </c>
      <c r="J97" s="927">
        <v>15</v>
      </c>
      <c r="K97" s="927">
        <v>1</v>
      </c>
      <c r="L97" s="927"/>
      <c r="M97" s="927"/>
      <c r="N97" s="938">
        <v>0</v>
      </c>
      <c r="O97" s="941">
        <v>6392.1</v>
      </c>
      <c r="P97" s="928"/>
      <c r="Q97" s="928">
        <v>0</v>
      </c>
      <c r="R97" s="927">
        <f>125*1.35*Chiler_Price[[#This Row],[NO. of Cond Coils]]</f>
        <v>168.75</v>
      </c>
      <c r="S97" s="929">
        <f>Chiler_Price[[#This Row],[Cond. Coils Area (FT)]]*4*Naming!$M$62</f>
        <v>1523.1999999999998</v>
      </c>
      <c r="T97" s="929">
        <f>5*Chiler_Price[[#This Row],[Cond. Coils Area (FT)]]</f>
        <v>85</v>
      </c>
      <c r="U97" s="929">
        <f>7*Chiler_Price[[#This Row],[Cond. Coils Area (FT)]]</f>
        <v>119</v>
      </c>
      <c r="V97" s="928">
        <f>Chiler_Price[[#This Row],[Cond. Coils Area (FT)]]*Naming!$I$93</f>
        <v>323</v>
      </c>
      <c r="W97" s="930">
        <f>Chiler_Price[[#This Row],[Cond. Coils Area (FT)]]*Naming!$I$96</f>
        <v>452.20000000000005</v>
      </c>
      <c r="X97" s="928">
        <f>1.5*Chiler_Price[[#This Row],[Cond. Coils Area (FT)]]</f>
        <v>25.5</v>
      </c>
      <c r="Y97" s="927">
        <f>1500*1.35*Chiler_Price[[#This Row],[NO. Of Compressors]]</f>
        <v>2025.0000000000002</v>
      </c>
      <c r="Z97" s="927">
        <f>400*1.35*Chiler_Price[[#This Row],[NO. Of Compressors]]</f>
        <v>540</v>
      </c>
      <c r="AA97" s="927">
        <f>650*1.35*Chiler_Price[[#This Row],[NO. Of Evap. Cooler ]]</f>
        <v>877.50000000000011</v>
      </c>
      <c r="AB97" s="927">
        <f>650*4*1.35*Chiler_Price[[#This Row],[NO. Of Evap. Cooler ]]</f>
        <v>3510.0000000000005</v>
      </c>
      <c r="AC97" s="927">
        <f>560*1.35*Chiler_Price[[#This Row],[NO. Of Evap. Cooler ]]</f>
        <v>756</v>
      </c>
      <c r="AD97" s="927">
        <v>0</v>
      </c>
      <c r="AE97" s="927">
        <f>700*1.35*Chiler_Price[[#This Row],[NO. Of Compressors]]</f>
        <v>945.00000000000011</v>
      </c>
      <c r="AF97" s="927">
        <f>100*1.35*Chiler_Price[[#This Row],[NO. Of Compressors]]</f>
        <v>135</v>
      </c>
      <c r="AG97" s="927">
        <f>100*1.35*Chiler_Price[[#This Row],[NO. Of Compressors]]</f>
        <v>135</v>
      </c>
      <c r="AH97" s="927">
        <f>600*1.35*Chiler_Price[[#This Row],[NO. Of Compressors]]</f>
        <v>810</v>
      </c>
      <c r="AI97" s="927">
        <v>405</v>
      </c>
      <c r="AJ97" s="927">
        <v>0</v>
      </c>
      <c r="AK97" s="927">
        <f>Chiler_Price[[#This Row],[NO. of Cond. Fans]]*62*1.1*1.35</f>
        <v>92.070000000000007</v>
      </c>
      <c r="AL97" s="927">
        <f>450*1.35*Chiler_Price[[#This Row],[NO. Of Compressors]]</f>
        <v>607.5</v>
      </c>
      <c r="AM97" s="927">
        <f>Chiler_Price[[#This Row],[NO. of Cond. Fans]]*62*1.1*1.35</f>
        <v>92.070000000000007</v>
      </c>
      <c r="AN97" s="927">
        <f t="shared" si="3"/>
        <v>1282.5</v>
      </c>
      <c r="AO97" s="927">
        <f t="shared" si="4"/>
        <v>1.3515999999999999</v>
      </c>
      <c r="AP97" s="927">
        <f t="shared" si="5"/>
        <v>2430</v>
      </c>
      <c r="AQ97" s="927">
        <f>560*1.35*Chiler_Price[[#This Row],[NO. Of Evap. Cooler ]]</f>
        <v>756</v>
      </c>
      <c r="AR97" s="927">
        <f>100*1.35*Chiler_Price[[#This Row],[NO. Of Evap. Cooler ]]</f>
        <v>135</v>
      </c>
      <c r="AS97" s="944">
        <v>286</v>
      </c>
      <c r="AT97" s="712"/>
      <c r="AU97" s="712"/>
      <c r="BC97" s="712"/>
      <c r="BD97" s="712"/>
      <c r="BE97" s="712"/>
      <c r="BF97" s="712"/>
      <c r="BG97" s="712"/>
      <c r="BI97" s="712"/>
    </row>
    <row r="98" spans="1:61" ht="12.75">
      <c r="A98" s="939" t="s">
        <v>2037</v>
      </c>
      <c r="B98" s="927" t="s">
        <v>2038</v>
      </c>
      <c r="C98" s="927" t="s">
        <v>2038</v>
      </c>
      <c r="D98" s="927">
        <v>0</v>
      </c>
      <c r="E98" s="927">
        <v>2</v>
      </c>
      <c r="F98" s="927">
        <v>24</v>
      </c>
      <c r="G98" s="927">
        <v>2</v>
      </c>
      <c r="H98" s="927">
        <v>1</v>
      </c>
      <c r="I98" s="927">
        <f>Chiler_Price[[#This Row],[NO. of Cond Coils]]</f>
        <v>2</v>
      </c>
      <c r="J98" s="927">
        <v>10.5</v>
      </c>
      <c r="K98" s="927">
        <v>2</v>
      </c>
      <c r="L98" s="927"/>
      <c r="M98" s="927"/>
      <c r="N98" s="938">
        <v>0</v>
      </c>
      <c r="O98" s="941">
        <v>8387.5</v>
      </c>
      <c r="P98" s="928"/>
      <c r="Q98" s="928">
        <v>0</v>
      </c>
      <c r="R98" s="927">
        <f>125*1.35*Chiler_Price[[#This Row],[NO. of Cond Coils]]</f>
        <v>337.5</v>
      </c>
      <c r="S98" s="929">
        <f>Chiler_Price[[#This Row],[Cond. Coils Area (FT)]]*4*Naming!$M$62</f>
        <v>2150.3999999999996</v>
      </c>
      <c r="T98" s="929">
        <f>5*Chiler_Price[[#This Row],[Cond. Coils Area (FT)]]</f>
        <v>120</v>
      </c>
      <c r="U98" s="929">
        <f>7*Chiler_Price[[#This Row],[Cond. Coils Area (FT)]]</f>
        <v>168</v>
      </c>
      <c r="V98" s="928">
        <f>Chiler_Price[[#This Row],[Cond. Coils Area (FT)]]*Naming!$I$93</f>
        <v>456</v>
      </c>
      <c r="W98" s="930">
        <f>Chiler_Price[[#This Row],[Cond. Coils Area (FT)]]*Naming!$I$96</f>
        <v>638.40000000000009</v>
      </c>
      <c r="X98" s="928">
        <f>1.5*Chiler_Price[[#This Row],[Cond. Coils Area (FT)]]</f>
        <v>36</v>
      </c>
      <c r="Y98" s="927">
        <f>1500*1.35*Chiler_Price[[#This Row],[NO. Of Compressors]]</f>
        <v>4050.0000000000005</v>
      </c>
      <c r="Z98" s="927">
        <f>400*1.35*Chiler_Price[[#This Row],[NO. Of Compressors]]</f>
        <v>1080</v>
      </c>
      <c r="AA98" s="927">
        <f>650*1.35*Chiler_Price[[#This Row],[NO. Of Evap. Cooler ]]</f>
        <v>877.50000000000011</v>
      </c>
      <c r="AB98" s="927">
        <f>650*4*1.35*Chiler_Price[[#This Row],[NO. Of Evap. Cooler ]]</f>
        <v>3510.0000000000005</v>
      </c>
      <c r="AC98" s="927">
        <f>560*1.35*Chiler_Price[[#This Row],[NO. Of Evap. Cooler ]]</f>
        <v>756</v>
      </c>
      <c r="AD98" s="927">
        <v>0</v>
      </c>
      <c r="AE98" s="927">
        <f>700*1.35*Chiler_Price[[#This Row],[NO. Of Compressors]]</f>
        <v>1890.0000000000002</v>
      </c>
      <c r="AF98" s="927">
        <f>100*1.35*Chiler_Price[[#This Row],[NO. Of Compressors]]</f>
        <v>270</v>
      </c>
      <c r="AG98" s="927">
        <f>100*1.35*Chiler_Price[[#This Row],[NO. Of Compressors]]</f>
        <v>270</v>
      </c>
      <c r="AH98" s="927">
        <f>600*1.35*Chiler_Price[[#This Row],[NO. Of Compressors]]</f>
        <v>1620</v>
      </c>
      <c r="AI98" s="927">
        <v>405</v>
      </c>
      <c r="AJ98" s="927">
        <v>0</v>
      </c>
      <c r="AK98" s="927">
        <f>Chiler_Price[[#This Row],[NO. of Cond. Fans]]*62*1.1*1.35</f>
        <v>184.14000000000001</v>
      </c>
      <c r="AL98" s="927">
        <f>450*1.35*Chiler_Price[[#This Row],[NO. Of Compressors]]</f>
        <v>1215</v>
      </c>
      <c r="AM98" s="927">
        <f>Chiler_Price[[#This Row],[NO. of Cond. Fans]]*62*1.1*1.35</f>
        <v>184.14000000000001</v>
      </c>
      <c r="AN98" s="927">
        <f t="shared" si="3"/>
        <v>1282.5</v>
      </c>
      <c r="AO98" s="927">
        <f t="shared" si="4"/>
        <v>1.3515999999999999</v>
      </c>
      <c r="AP98" s="927">
        <f t="shared" si="5"/>
        <v>2430</v>
      </c>
      <c r="AQ98" s="927">
        <f>560*1.35*Chiler_Price[[#This Row],[NO. Of Evap. Cooler ]]</f>
        <v>756</v>
      </c>
      <c r="AR98" s="927">
        <f>100*1.35*Chiler_Price[[#This Row],[NO. Of Evap. Cooler ]]</f>
        <v>135</v>
      </c>
      <c r="AS98" s="944">
        <v>286</v>
      </c>
      <c r="AT98" s="712"/>
      <c r="AU98" s="712"/>
      <c r="BC98" s="712"/>
      <c r="BD98" s="712"/>
      <c r="BE98" s="712"/>
      <c r="BF98" s="712"/>
      <c r="BG98" s="712"/>
      <c r="BI98" s="712"/>
    </row>
    <row r="99" spans="1:61" ht="12.75">
      <c r="A99" s="939" t="s">
        <v>2039</v>
      </c>
      <c r="B99" s="927" t="s">
        <v>2040</v>
      </c>
      <c r="C99" s="927" t="s">
        <v>2040</v>
      </c>
      <c r="D99" s="927">
        <v>0</v>
      </c>
      <c r="E99" s="927">
        <v>2</v>
      </c>
      <c r="F99" s="927">
        <v>28</v>
      </c>
      <c r="G99" s="927">
        <v>2</v>
      </c>
      <c r="H99" s="927">
        <v>1</v>
      </c>
      <c r="I99" s="927">
        <f>Chiler_Price[[#This Row],[NO. of Cond Coils]]</f>
        <v>2</v>
      </c>
      <c r="J99" s="927">
        <v>12</v>
      </c>
      <c r="K99" s="927">
        <v>2</v>
      </c>
      <c r="L99" s="927"/>
      <c r="M99" s="927"/>
      <c r="N99" s="938">
        <v>0</v>
      </c>
      <c r="O99" s="941">
        <v>9549.1</v>
      </c>
      <c r="P99" s="928"/>
      <c r="Q99" s="928">
        <v>0</v>
      </c>
      <c r="R99" s="927">
        <f>125*1.35*Chiler_Price[[#This Row],[NO. of Cond Coils]]</f>
        <v>337.5</v>
      </c>
      <c r="S99" s="929">
        <f>Chiler_Price[[#This Row],[Cond. Coils Area (FT)]]*4*Naming!$M$62</f>
        <v>2508.7999999999997</v>
      </c>
      <c r="T99" s="929">
        <f>5*Chiler_Price[[#This Row],[Cond. Coils Area (FT)]]</f>
        <v>140</v>
      </c>
      <c r="U99" s="929">
        <f>7*Chiler_Price[[#This Row],[Cond. Coils Area (FT)]]</f>
        <v>196</v>
      </c>
      <c r="V99" s="928">
        <f>Chiler_Price[[#This Row],[Cond. Coils Area (FT)]]*Naming!$I$93</f>
        <v>532</v>
      </c>
      <c r="W99" s="930">
        <f>Chiler_Price[[#This Row],[Cond. Coils Area (FT)]]*Naming!$I$96</f>
        <v>744.80000000000007</v>
      </c>
      <c r="X99" s="928">
        <f>1.5*Chiler_Price[[#This Row],[Cond. Coils Area (FT)]]</f>
        <v>42</v>
      </c>
      <c r="Y99" s="927">
        <f>1500*1.35*Chiler_Price[[#This Row],[NO. Of Compressors]]</f>
        <v>4050.0000000000005</v>
      </c>
      <c r="Z99" s="927">
        <f>400*1.35*Chiler_Price[[#This Row],[NO. Of Compressors]]</f>
        <v>1080</v>
      </c>
      <c r="AA99" s="927">
        <f>650*1.35*Chiler_Price[[#This Row],[NO. Of Evap. Cooler ]]</f>
        <v>877.50000000000011</v>
      </c>
      <c r="AB99" s="927">
        <f>650*4*1.35*Chiler_Price[[#This Row],[NO. Of Evap. Cooler ]]</f>
        <v>3510.0000000000005</v>
      </c>
      <c r="AC99" s="927">
        <f>560*1.35*Chiler_Price[[#This Row],[NO. Of Evap. Cooler ]]</f>
        <v>756</v>
      </c>
      <c r="AD99" s="927">
        <v>0</v>
      </c>
      <c r="AE99" s="927">
        <f>700*1.35*Chiler_Price[[#This Row],[NO. Of Compressors]]</f>
        <v>1890.0000000000002</v>
      </c>
      <c r="AF99" s="927">
        <f>100*1.35*Chiler_Price[[#This Row],[NO. Of Compressors]]</f>
        <v>270</v>
      </c>
      <c r="AG99" s="927">
        <f>100*1.35*Chiler_Price[[#This Row],[NO. Of Compressors]]</f>
        <v>270</v>
      </c>
      <c r="AH99" s="927">
        <f>600*1.35*Chiler_Price[[#This Row],[NO. Of Compressors]]</f>
        <v>1620</v>
      </c>
      <c r="AI99" s="927">
        <v>405</v>
      </c>
      <c r="AJ99" s="927">
        <v>0</v>
      </c>
      <c r="AK99" s="927">
        <f>Chiler_Price[[#This Row],[NO. of Cond. Fans]]*62*1.1*1.35</f>
        <v>184.14000000000001</v>
      </c>
      <c r="AL99" s="927">
        <f>450*1.35*Chiler_Price[[#This Row],[NO. Of Compressors]]</f>
        <v>1215</v>
      </c>
      <c r="AM99" s="927">
        <f>Chiler_Price[[#This Row],[NO. of Cond. Fans]]*62*1.1*1.35</f>
        <v>184.14000000000001</v>
      </c>
      <c r="AN99" s="927">
        <f t="shared" si="3"/>
        <v>1282.5</v>
      </c>
      <c r="AO99" s="927">
        <f t="shared" si="4"/>
        <v>1.3515999999999999</v>
      </c>
      <c r="AP99" s="927">
        <f t="shared" si="5"/>
        <v>2430</v>
      </c>
      <c r="AQ99" s="927">
        <f>560*1.35*Chiler_Price[[#This Row],[NO. Of Evap. Cooler ]]</f>
        <v>756</v>
      </c>
      <c r="AR99" s="927">
        <f>100*1.35*Chiler_Price[[#This Row],[NO. Of Evap. Cooler ]]</f>
        <v>135</v>
      </c>
      <c r="AS99" s="944">
        <v>286</v>
      </c>
      <c r="AT99" s="712"/>
      <c r="AU99" s="712"/>
      <c r="BC99" s="712"/>
      <c r="BD99" s="712"/>
      <c r="BE99" s="712"/>
      <c r="BF99" s="712"/>
      <c r="BG99" s="712"/>
      <c r="BI99" s="712"/>
    </row>
    <row r="100" spans="1:61" ht="12.75">
      <c r="A100" s="939" t="s">
        <v>2041</v>
      </c>
      <c r="B100" s="927" t="s">
        <v>2042</v>
      </c>
      <c r="C100" s="927" t="s">
        <v>2042</v>
      </c>
      <c r="D100" s="927">
        <v>0</v>
      </c>
      <c r="E100" s="927">
        <v>2</v>
      </c>
      <c r="F100" s="927">
        <v>31</v>
      </c>
      <c r="G100" s="927">
        <v>2</v>
      </c>
      <c r="H100" s="927">
        <v>1</v>
      </c>
      <c r="I100" s="927">
        <f>Chiler_Price[[#This Row],[NO. of Cond Coils]]</f>
        <v>2</v>
      </c>
      <c r="J100" s="927">
        <v>15</v>
      </c>
      <c r="K100" s="927">
        <v>2</v>
      </c>
      <c r="L100" s="927"/>
      <c r="M100" s="927"/>
      <c r="N100" s="938">
        <v>0</v>
      </c>
      <c r="O100" s="941">
        <v>10308.1</v>
      </c>
      <c r="P100" s="928"/>
      <c r="Q100" s="928">
        <v>0</v>
      </c>
      <c r="R100" s="927">
        <f>125*1.35*Chiler_Price[[#This Row],[NO. of Cond Coils]]</f>
        <v>337.5</v>
      </c>
      <c r="S100" s="929">
        <f>Chiler_Price[[#This Row],[Cond. Coils Area (FT)]]*4*Naming!$M$62</f>
        <v>2777.6</v>
      </c>
      <c r="T100" s="929">
        <f>5*Chiler_Price[[#This Row],[Cond. Coils Area (FT)]]</f>
        <v>155</v>
      </c>
      <c r="U100" s="929">
        <f>7*Chiler_Price[[#This Row],[Cond. Coils Area (FT)]]</f>
        <v>217</v>
      </c>
      <c r="V100" s="928">
        <f>Chiler_Price[[#This Row],[Cond. Coils Area (FT)]]*Naming!$I$93</f>
        <v>589</v>
      </c>
      <c r="W100" s="930">
        <f>Chiler_Price[[#This Row],[Cond. Coils Area (FT)]]*Naming!$I$96</f>
        <v>824.6</v>
      </c>
      <c r="X100" s="928">
        <f>1.5*Chiler_Price[[#This Row],[Cond. Coils Area (FT)]]</f>
        <v>46.5</v>
      </c>
      <c r="Y100" s="927">
        <f>1500*1.35*Chiler_Price[[#This Row],[NO. Of Compressors]]</f>
        <v>4050.0000000000005</v>
      </c>
      <c r="Z100" s="927">
        <f>400*1.35*Chiler_Price[[#This Row],[NO. Of Compressors]]</f>
        <v>1080</v>
      </c>
      <c r="AA100" s="927">
        <f>650*1.35*Chiler_Price[[#This Row],[NO. Of Evap. Cooler ]]</f>
        <v>877.50000000000011</v>
      </c>
      <c r="AB100" s="927">
        <f>650*4*1.35*Chiler_Price[[#This Row],[NO. Of Evap. Cooler ]]</f>
        <v>3510.0000000000005</v>
      </c>
      <c r="AC100" s="927">
        <f>560*1.35*Chiler_Price[[#This Row],[NO. Of Evap. Cooler ]]</f>
        <v>756</v>
      </c>
      <c r="AD100" s="927">
        <v>0</v>
      </c>
      <c r="AE100" s="927">
        <f>700*1.35*Chiler_Price[[#This Row],[NO. Of Compressors]]</f>
        <v>1890.0000000000002</v>
      </c>
      <c r="AF100" s="927">
        <f>100*1.35*Chiler_Price[[#This Row],[NO. Of Compressors]]</f>
        <v>270</v>
      </c>
      <c r="AG100" s="927">
        <f>100*1.35*Chiler_Price[[#This Row],[NO. Of Compressors]]</f>
        <v>270</v>
      </c>
      <c r="AH100" s="927">
        <f>600*1.35*Chiler_Price[[#This Row],[NO. Of Compressors]]</f>
        <v>1620</v>
      </c>
      <c r="AI100" s="927">
        <v>405</v>
      </c>
      <c r="AJ100" s="927">
        <v>0</v>
      </c>
      <c r="AK100" s="927">
        <f>Chiler_Price[[#This Row],[NO. of Cond. Fans]]*62*1.1*1.35</f>
        <v>184.14000000000001</v>
      </c>
      <c r="AL100" s="927">
        <f>450*1.35*Chiler_Price[[#This Row],[NO. Of Compressors]]</f>
        <v>1215</v>
      </c>
      <c r="AM100" s="927">
        <f>Chiler_Price[[#This Row],[NO. of Cond. Fans]]*62*1.1*1.35</f>
        <v>184.14000000000001</v>
      </c>
      <c r="AN100" s="927">
        <f t="shared" si="3"/>
        <v>1282.5</v>
      </c>
      <c r="AO100" s="927">
        <f t="shared" si="4"/>
        <v>1.3515999999999999</v>
      </c>
      <c r="AP100" s="927">
        <f t="shared" si="5"/>
        <v>2430</v>
      </c>
      <c r="AQ100" s="927">
        <f>560*1.35*Chiler_Price[[#This Row],[NO. Of Evap. Cooler ]]</f>
        <v>756</v>
      </c>
      <c r="AR100" s="927">
        <f>100*1.35*Chiler_Price[[#This Row],[NO. Of Evap. Cooler ]]</f>
        <v>135</v>
      </c>
      <c r="AS100" s="944">
        <v>286</v>
      </c>
      <c r="AT100" s="712"/>
      <c r="AU100" s="712"/>
      <c r="BC100" s="712"/>
      <c r="BD100" s="712"/>
      <c r="BE100" s="712"/>
      <c r="BF100" s="712"/>
      <c r="BG100" s="712"/>
      <c r="BI100" s="712"/>
    </row>
    <row r="101" spans="1:61" ht="12.75">
      <c r="A101" s="939" t="s">
        <v>2043</v>
      </c>
      <c r="B101" s="940">
        <v>0</v>
      </c>
      <c r="C101" s="927">
        <v>0</v>
      </c>
      <c r="D101" s="927">
        <v>0</v>
      </c>
      <c r="E101" s="927">
        <v>3</v>
      </c>
      <c r="F101" s="927">
        <v>31</v>
      </c>
      <c r="G101" s="927">
        <v>3</v>
      </c>
      <c r="H101" s="927">
        <v>1</v>
      </c>
      <c r="I101" s="927">
        <f>Chiler_Price[[#This Row],[NO. of Cond Coils]]</f>
        <v>3</v>
      </c>
      <c r="J101" s="927">
        <v>10.5</v>
      </c>
      <c r="K101" s="927">
        <v>2</v>
      </c>
      <c r="L101" s="927">
        <v>12</v>
      </c>
      <c r="M101" s="927">
        <v>1</v>
      </c>
      <c r="N101" s="938">
        <v>0</v>
      </c>
      <c r="O101" s="941">
        <v>12675.300000000001</v>
      </c>
      <c r="P101" s="928"/>
      <c r="Q101" s="928">
        <v>0</v>
      </c>
      <c r="R101" s="927">
        <f>125*1.35*Chiler_Price[[#This Row],[NO. of Cond Coils]]</f>
        <v>506.25</v>
      </c>
      <c r="S101" s="929">
        <f>Chiler_Price[[#This Row],[Cond. Coils Area (FT)]]*4*Naming!$M$62</f>
        <v>2777.6</v>
      </c>
      <c r="T101" s="929">
        <f>5*Chiler_Price[[#This Row],[Cond. Coils Area (FT)]]</f>
        <v>155</v>
      </c>
      <c r="U101" s="929">
        <f>7*Chiler_Price[[#This Row],[Cond. Coils Area (FT)]]</f>
        <v>217</v>
      </c>
      <c r="V101" s="928">
        <f>Chiler_Price[[#This Row],[Cond. Coils Area (FT)]]*Naming!$I$93</f>
        <v>589</v>
      </c>
      <c r="W101" s="930">
        <f>Chiler_Price[[#This Row],[Cond. Coils Area (FT)]]*Naming!$I$96</f>
        <v>824.6</v>
      </c>
      <c r="X101" s="928">
        <f>1.5*Chiler_Price[[#This Row],[Cond. Coils Area (FT)]]</f>
        <v>46.5</v>
      </c>
      <c r="Y101" s="927">
        <f>1500*1.35*Chiler_Price[[#This Row],[NO. Of Compressors]]</f>
        <v>6075.0000000000009</v>
      </c>
      <c r="Z101" s="927">
        <f>400*1.35*Chiler_Price[[#This Row],[NO. Of Compressors]]</f>
        <v>1620</v>
      </c>
      <c r="AA101" s="927">
        <f>650*1.35*Chiler_Price[[#This Row],[NO. Of Evap. Cooler ]]</f>
        <v>877.50000000000011</v>
      </c>
      <c r="AB101" s="927">
        <f>650*4*1.35*Chiler_Price[[#This Row],[NO. Of Evap. Cooler ]]</f>
        <v>3510.0000000000005</v>
      </c>
      <c r="AC101" s="927">
        <f>560*1.35*Chiler_Price[[#This Row],[NO. Of Evap. Cooler ]]</f>
        <v>756</v>
      </c>
      <c r="AD101" s="927">
        <v>0</v>
      </c>
      <c r="AE101" s="927">
        <f>700*1.35*Chiler_Price[[#This Row],[NO. Of Compressors]]</f>
        <v>2835.0000000000005</v>
      </c>
      <c r="AF101" s="927">
        <f>100*1.35*Chiler_Price[[#This Row],[NO. Of Compressors]]</f>
        <v>405</v>
      </c>
      <c r="AG101" s="927">
        <f>100*1.35*Chiler_Price[[#This Row],[NO. Of Compressors]]</f>
        <v>405</v>
      </c>
      <c r="AH101" s="927">
        <f>600*1.35*Chiler_Price[[#This Row],[NO. Of Compressors]]</f>
        <v>2430</v>
      </c>
      <c r="AI101" s="927">
        <v>405</v>
      </c>
      <c r="AJ101" s="927">
        <v>0</v>
      </c>
      <c r="AK101" s="927">
        <f>Chiler_Price[[#This Row],[NO. of Cond. Fans]]*62*1.1*1.35</f>
        <v>276.21000000000004</v>
      </c>
      <c r="AL101" s="927">
        <f>450*1.35*Chiler_Price[[#This Row],[NO. Of Compressors]]</f>
        <v>1822.5</v>
      </c>
      <c r="AM101" s="927">
        <f>Chiler_Price[[#This Row],[NO. of Cond. Fans]]*62*1.1*1.35</f>
        <v>276.21000000000004</v>
      </c>
      <c r="AN101" s="927">
        <f t="shared" si="3"/>
        <v>1282.5</v>
      </c>
      <c r="AO101" s="927">
        <f t="shared" si="4"/>
        <v>1.3515999999999999</v>
      </c>
      <c r="AP101" s="927">
        <f t="shared" si="5"/>
        <v>2430</v>
      </c>
      <c r="AQ101" s="927">
        <f>560*1.35*Chiler_Price[[#This Row],[NO. Of Evap. Cooler ]]</f>
        <v>756</v>
      </c>
      <c r="AR101" s="927">
        <f>100*1.35*Chiler_Price[[#This Row],[NO. Of Evap. Cooler ]]</f>
        <v>135</v>
      </c>
      <c r="AS101" s="944">
        <v>286</v>
      </c>
      <c r="AT101" s="712"/>
      <c r="AU101" s="712"/>
      <c r="BC101" s="712"/>
      <c r="BD101" s="712"/>
      <c r="BE101" s="712"/>
      <c r="BF101" s="712"/>
      <c r="BG101" s="712"/>
      <c r="BI101" s="712"/>
    </row>
    <row r="102" spans="1:61" ht="12.75">
      <c r="A102" s="939" t="s">
        <v>2044</v>
      </c>
      <c r="B102" s="927" t="s">
        <v>2045</v>
      </c>
      <c r="C102" s="927" t="s">
        <v>2045</v>
      </c>
      <c r="D102" s="927">
        <v>0</v>
      </c>
      <c r="E102" s="927">
        <v>3</v>
      </c>
      <c r="F102" s="927">
        <v>42</v>
      </c>
      <c r="G102" s="927">
        <v>3</v>
      </c>
      <c r="H102" s="927">
        <v>1</v>
      </c>
      <c r="I102" s="927">
        <f>Chiler_Price[[#This Row],[NO. of Cond Coils]]</f>
        <v>3</v>
      </c>
      <c r="J102" s="927">
        <v>12</v>
      </c>
      <c r="K102" s="927">
        <v>3</v>
      </c>
      <c r="L102" s="927"/>
      <c r="M102" s="927"/>
      <c r="N102" s="938">
        <v>0</v>
      </c>
      <c r="O102" s="941">
        <v>12859.000000000002</v>
      </c>
      <c r="P102" s="928"/>
      <c r="Q102" s="928">
        <v>0</v>
      </c>
      <c r="R102" s="927">
        <f>125*1.35*Chiler_Price[[#This Row],[NO. of Cond Coils]]</f>
        <v>506.25</v>
      </c>
      <c r="S102" s="929">
        <f>Chiler_Price[[#This Row],[Cond. Coils Area (FT)]]*4*Naming!$M$62</f>
        <v>3763.2</v>
      </c>
      <c r="T102" s="929">
        <f>5*Chiler_Price[[#This Row],[Cond. Coils Area (FT)]]</f>
        <v>210</v>
      </c>
      <c r="U102" s="929">
        <f>7*Chiler_Price[[#This Row],[Cond. Coils Area (FT)]]</f>
        <v>294</v>
      </c>
      <c r="V102" s="928">
        <f>Chiler_Price[[#This Row],[Cond. Coils Area (FT)]]*Naming!$I$93</f>
        <v>798</v>
      </c>
      <c r="W102" s="930">
        <f>Chiler_Price[[#This Row],[Cond. Coils Area (FT)]]*Naming!$I$96</f>
        <v>1117.2</v>
      </c>
      <c r="X102" s="928">
        <f>1.5*Chiler_Price[[#This Row],[Cond. Coils Area (FT)]]</f>
        <v>63</v>
      </c>
      <c r="Y102" s="927">
        <f>1500*1.35*Chiler_Price[[#This Row],[NO. Of Compressors]]</f>
        <v>6075.0000000000009</v>
      </c>
      <c r="Z102" s="927">
        <f>400*1.35*Chiler_Price[[#This Row],[NO. Of Compressors]]</f>
        <v>1620</v>
      </c>
      <c r="AA102" s="927">
        <f>650*1.35*Chiler_Price[[#This Row],[NO. Of Evap. Cooler ]]</f>
        <v>877.50000000000011</v>
      </c>
      <c r="AB102" s="927">
        <f>650*4*1.35*Chiler_Price[[#This Row],[NO. Of Evap. Cooler ]]</f>
        <v>3510.0000000000005</v>
      </c>
      <c r="AC102" s="927">
        <f>560*1.35*Chiler_Price[[#This Row],[NO. Of Evap. Cooler ]]</f>
        <v>756</v>
      </c>
      <c r="AD102" s="927">
        <v>0</v>
      </c>
      <c r="AE102" s="927">
        <f>700*1.35*Chiler_Price[[#This Row],[NO. Of Compressors]]</f>
        <v>2835.0000000000005</v>
      </c>
      <c r="AF102" s="927">
        <f>100*1.35*Chiler_Price[[#This Row],[NO. Of Compressors]]</f>
        <v>405</v>
      </c>
      <c r="AG102" s="927">
        <f>100*1.35*Chiler_Price[[#This Row],[NO. Of Compressors]]</f>
        <v>405</v>
      </c>
      <c r="AH102" s="927">
        <f>600*1.35*Chiler_Price[[#This Row],[NO. Of Compressors]]</f>
        <v>2430</v>
      </c>
      <c r="AI102" s="927">
        <v>405</v>
      </c>
      <c r="AJ102" s="927">
        <v>0</v>
      </c>
      <c r="AK102" s="927">
        <f>Chiler_Price[[#This Row],[NO. of Cond. Fans]]*62*1.1*1.35</f>
        <v>276.21000000000004</v>
      </c>
      <c r="AL102" s="927">
        <f>450*1.35*Chiler_Price[[#This Row],[NO. Of Compressors]]</f>
        <v>1822.5</v>
      </c>
      <c r="AM102" s="927">
        <f>Chiler_Price[[#This Row],[NO. of Cond. Fans]]*62*1.1*1.35</f>
        <v>276.21000000000004</v>
      </c>
      <c r="AN102" s="927">
        <f t="shared" si="3"/>
        <v>1282.5</v>
      </c>
      <c r="AO102" s="927">
        <f t="shared" si="4"/>
        <v>1.3515999999999999</v>
      </c>
      <c r="AP102" s="927">
        <f t="shared" si="5"/>
        <v>2430</v>
      </c>
      <c r="AQ102" s="927">
        <f>560*1.35*Chiler_Price[[#This Row],[NO. Of Evap. Cooler ]]</f>
        <v>756</v>
      </c>
      <c r="AR102" s="927">
        <f>100*1.35*Chiler_Price[[#This Row],[NO. Of Evap. Cooler ]]</f>
        <v>135</v>
      </c>
      <c r="AS102" s="944">
        <v>286</v>
      </c>
      <c r="AT102" s="712"/>
      <c r="AU102" s="712"/>
      <c r="BC102" s="712"/>
      <c r="BD102" s="712"/>
      <c r="BE102" s="712"/>
      <c r="BF102" s="712"/>
      <c r="BG102" s="712"/>
      <c r="BI102" s="712"/>
    </row>
    <row r="103" spans="1:61" ht="12.75">
      <c r="A103" s="939" t="s">
        <v>2046</v>
      </c>
      <c r="B103" s="927" t="s">
        <v>2047</v>
      </c>
      <c r="C103" s="927" t="s">
        <v>2047</v>
      </c>
      <c r="D103" s="927">
        <v>0</v>
      </c>
      <c r="E103" s="927">
        <v>4</v>
      </c>
      <c r="F103" s="927">
        <v>41</v>
      </c>
      <c r="G103" s="927">
        <v>3</v>
      </c>
      <c r="H103" s="927">
        <v>1</v>
      </c>
      <c r="I103" s="927">
        <f>Chiler_Price[[#This Row],[NO. of Cond Coils]]</f>
        <v>4</v>
      </c>
      <c r="J103" s="927">
        <v>10.5</v>
      </c>
      <c r="K103" s="927">
        <v>4</v>
      </c>
      <c r="L103" s="927"/>
      <c r="M103" s="927"/>
      <c r="N103" s="938">
        <v>0</v>
      </c>
      <c r="O103" s="941">
        <v>14044.800000000001</v>
      </c>
      <c r="P103" s="928"/>
      <c r="Q103" s="928">
        <v>0</v>
      </c>
      <c r="R103" s="927">
        <f>125*1.35*Chiler_Price[[#This Row],[NO. of Cond Coils]]</f>
        <v>675</v>
      </c>
      <c r="S103" s="929">
        <f>Chiler_Price[[#This Row],[Cond. Coils Area (FT)]]*4*Naming!$M$62</f>
        <v>3673.6</v>
      </c>
      <c r="T103" s="929">
        <f>5*Chiler_Price[[#This Row],[Cond. Coils Area (FT)]]</f>
        <v>205</v>
      </c>
      <c r="U103" s="929">
        <f>7*Chiler_Price[[#This Row],[Cond. Coils Area (FT)]]</f>
        <v>287</v>
      </c>
      <c r="V103" s="928">
        <f>Chiler_Price[[#This Row],[Cond. Coils Area (FT)]]*Naming!$I$93</f>
        <v>779</v>
      </c>
      <c r="W103" s="930">
        <f>Chiler_Price[[#This Row],[Cond. Coils Area (FT)]]*Naming!$I$96</f>
        <v>1090.6000000000001</v>
      </c>
      <c r="X103" s="928">
        <f>1.5*Chiler_Price[[#This Row],[Cond. Coils Area (FT)]]</f>
        <v>61.5</v>
      </c>
      <c r="Y103" s="927">
        <f>1500*1.35*Chiler_Price[[#This Row],[NO. Of Compressors]]</f>
        <v>6075.0000000000009</v>
      </c>
      <c r="Z103" s="927">
        <f>400*1.35*Chiler_Price[[#This Row],[NO. Of Compressors]]</f>
        <v>1620</v>
      </c>
      <c r="AA103" s="927">
        <f>650*1.35*Chiler_Price[[#This Row],[NO. Of Evap. Cooler ]]</f>
        <v>877.50000000000011</v>
      </c>
      <c r="AB103" s="927">
        <f>650*4*1.35*Chiler_Price[[#This Row],[NO. Of Evap. Cooler ]]</f>
        <v>3510.0000000000005</v>
      </c>
      <c r="AC103" s="927">
        <f>560*1.35*Chiler_Price[[#This Row],[NO. Of Evap. Cooler ]]</f>
        <v>756</v>
      </c>
      <c r="AD103" s="927">
        <v>0</v>
      </c>
      <c r="AE103" s="927">
        <f>700*1.35*Chiler_Price[[#This Row],[NO. Of Compressors]]</f>
        <v>2835.0000000000005</v>
      </c>
      <c r="AF103" s="927">
        <f>100*1.35*Chiler_Price[[#This Row],[NO. Of Compressors]]</f>
        <v>405</v>
      </c>
      <c r="AG103" s="927">
        <f>100*1.35*Chiler_Price[[#This Row],[NO. Of Compressors]]</f>
        <v>405</v>
      </c>
      <c r="AH103" s="927">
        <f>600*1.35*Chiler_Price[[#This Row],[NO. Of Compressors]]</f>
        <v>2430</v>
      </c>
      <c r="AI103" s="927">
        <v>405</v>
      </c>
      <c r="AJ103" s="927">
        <v>0</v>
      </c>
      <c r="AK103" s="927">
        <f>Chiler_Price[[#This Row],[NO. of Cond. Fans]]*62*1.1*1.35</f>
        <v>368.28000000000003</v>
      </c>
      <c r="AL103" s="927">
        <f>450*1.35*Chiler_Price[[#This Row],[NO. Of Compressors]]</f>
        <v>1822.5</v>
      </c>
      <c r="AM103" s="927">
        <f>Chiler_Price[[#This Row],[NO. of Cond. Fans]]*62*1.1*1.35</f>
        <v>368.28000000000003</v>
      </c>
      <c r="AN103" s="927">
        <f t="shared" si="3"/>
        <v>1282.5</v>
      </c>
      <c r="AO103" s="927">
        <f t="shared" si="4"/>
        <v>1.3515999999999999</v>
      </c>
      <c r="AP103" s="927">
        <f t="shared" si="5"/>
        <v>2430</v>
      </c>
      <c r="AQ103" s="927">
        <f>560*1.35*Chiler_Price[[#This Row],[NO. Of Evap. Cooler ]]</f>
        <v>756</v>
      </c>
      <c r="AR103" s="927">
        <f>100*1.35*Chiler_Price[[#This Row],[NO. Of Evap. Cooler ]]</f>
        <v>135</v>
      </c>
      <c r="AS103" s="944">
        <v>286</v>
      </c>
      <c r="AT103" s="712"/>
      <c r="AU103" s="712"/>
      <c r="BC103" s="712"/>
      <c r="BD103" s="712"/>
      <c r="BE103" s="712"/>
      <c r="BF103" s="712"/>
      <c r="BG103" s="712"/>
      <c r="BI103" s="712"/>
    </row>
    <row r="104" spans="1:61" ht="12.75">
      <c r="A104" s="939" t="s">
        <v>2048</v>
      </c>
      <c r="B104" s="940">
        <v>0</v>
      </c>
      <c r="C104" s="927">
        <v>0</v>
      </c>
      <c r="D104" s="927">
        <v>0</v>
      </c>
      <c r="E104" s="927">
        <v>4</v>
      </c>
      <c r="F104" s="927">
        <v>58.1</v>
      </c>
      <c r="G104" s="927">
        <v>3</v>
      </c>
      <c r="H104" s="927">
        <v>1</v>
      </c>
      <c r="I104" s="927">
        <f>Chiler_Price[[#This Row],[NO. of Cond Coils]]</f>
        <v>4</v>
      </c>
      <c r="J104" s="927">
        <v>15</v>
      </c>
      <c r="K104" s="927">
        <v>3</v>
      </c>
      <c r="L104" s="927"/>
      <c r="M104" s="927"/>
      <c r="N104" s="938">
        <v>0</v>
      </c>
      <c r="O104" s="941">
        <v>14822.500000000002</v>
      </c>
      <c r="P104" s="928"/>
      <c r="Q104" s="928">
        <v>0</v>
      </c>
      <c r="R104" s="927">
        <f>125*1.35*Chiler_Price[[#This Row],[NO. of Cond Coils]]</f>
        <v>675</v>
      </c>
      <c r="S104" s="929">
        <f>Chiler_Price[[#This Row],[Cond. Coils Area (FT)]]*4*Naming!$M$62</f>
        <v>5205.76</v>
      </c>
      <c r="T104" s="929">
        <f>5*Chiler_Price[[#This Row],[Cond. Coils Area (FT)]]</f>
        <v>290.5</v>
      </c>
      <c r="U104" s="929">
        <f>7*Chiler_Price[[#This Row],[Cond. Coils Area (FT)]]</f>
        <v>406.7</v>
      </c>
      <c r="V104" s="928">
        <f>Chiler_Price[[#This Row],[Cond. Coils Area (FT)]]*Naming!$I$93</f>
        <v>1103.9000000000001</v>
      </c>
      <c r="W104" s="930">
        <f>Chiler_Price[[#This Row],[Cond. Coils Area (FT)]]*Naming!$I$96</f>
        <v>1545.46</v>
      </c>
      <c r="X104" s="928">
        <f>1.5*Chiler_Price[[#This Row],[Cond. Coils Area (FT)]]</f>
        <v>87.15</v>
      </c>
      <c r="Y104" s="927">
        <f>1500*1.35*Chiler_Price[[#This Row],[NO. Of Compressors]]</f>
        <v>6075.0000000000009</v>
      </c>
      <c r="Z104" s="927">
        <f>400*1.35*Chiler_Price[[#This Row],[NO. Of Compressors]]</f>
        <v>1620</v>
      </c>
      <c r="AA104" s="927">
        <f>650*1.35*Chiler_Price[[#This Row],[NO. Of Evap. Cooler ]]</f>
        <v>877.50000000000011</v>
      </c>
      <c r="AB104" s="927">
        <f>650*4*1.35*Chiler_Price[[#This Row],[NO. Of Evap. Cooler ]]</f>
        <v>3510.0000000000005</v>
      </c>
      <c r="AC104" s="927">
        <f>560*1.35*Chiler_Price[[#This Row],[NO. Of Evap. Cooler ]]</f>
        <v>756</v>
      </c>
      <c r="AD104" s="927">
        <v>0</v>
      </c>
      <c r="AE104" s="927">
        <f>700*1.35*Chiler_Price[[#This Row],[NO. Of Compressors]]</f>
        <v>2835.0000000000005</v>
      </c>
      <c r="AF104" s="927">
        <f>100*1.35*Chiler_Price[[#This Row],[NO. Of Compressors]]</f>
        <v>405</v>
      </c>
      <c r="AG104" s="927">
        <f>100*1.35*Chiler_Price[[#This Row],[NO. Of Compressors]]</f>
        <v>405</v>
      </c>
      <c r="AH104" s="927">
        <f>600*1.35*Chiler_Price[[#This Row],[NO. Of Compressors]]</f>
        <v>2430</v>
      </c>
      <c r="AI104" s="927">
        <v>405</v>
      </c>
      <c r="AJ104" s="927">
        <v>0</v>
      </c>
      <c r="AK104" s="927">
        <f>Chiler_Price[[#This Row],[NO. of Cond. Fans]]*62*1.1*1.35</f>
        <v>368.28000000000003</v>
      </c>
      <c r="AL104" s="927">
        <f>450*1.35*Chiler_Price[[#This Row],[NO. Of Compressors]]</f>
        <v>1822.5</v>
      </c>
      <c r="AM104" s="927">
        <f>Chiler_Price[[#This Row],[NO. of Cond. Fans]]*62*1.1*1.35</f>
        <v>368.28000000000003</v>
      </c>
      <c r="AN104" s="927">
        <f t="shared" si="3"/>
        <v>1282.5</v>
      </c>
      <c r="AO104" s="927">
        <f t="shared" si="4"/>
        <v>1.3515999999999999</v>
      </c>
      <c r="AP104" s="927">
        <f t="shared" si="5"/>
        <v>2430</v>
      </c>
      <c r="AQ104" s="927">
        <f>560*1.35*Chiler_Price[[#This Row],[NO. Of Evap. Cooler ]]</f>
        <v>756</v>
      </c>
      <c r="AR104" s="927">
        <f>100*1.35*Chiler_Price[[#This Row],[NO. Of Evap. Cooler ]]</f>
        <v>135</v>
      </c>
      <c r="AS104" s="944">
        <v>286</v>
      </c>
      <c r="AT104" s="712"/>
      <c r="AU104" s="712"/>
      <c r="BC104" s="712"/>
      <c r="BD104" s="712"/>
      <c r="BE104" s="712"/>
      <c r="BF104" s="712"/>
      <c r="BG104" s="712"/>
      <c r="BI104" s="712"/>
    </row>
    <row r="105" spans="1:61" ht="12.75">
      <c r="A105" s="939" t="s">
        <v>2049</v>
      </c>
      <c r="B105" s="927" t="s">
        <v>2050</v>
      </c>
      <c r="C105" s="927" t="s">
        <v>2050</v>
      </c>
      <c r="D105" s="927">
        <v>0</v>
      </c>
      <c r="E105" s="927">
        <v>4</v>
      </c>
      <c r="F105" s="927">
        <v>58.1</v>
      </c>
      <c r="G105" s="927">
        <v>3</v>
      </c>
      <c r="H105" s="927">
        <v>1</v>
      </c>
      <c r="I105" s="927">
        <f>Chiler_Price[[#This Row],[NO. of Cond Coils]]</f>
        <v>4</v>
      </c>
      <c r="J105" s="927">
        <v>12</v>
      </c>
      <c r="K105" s="927">
        <v>4</v>
      </c>
      <c r="L105" s="927"/>
      <c r="M105" s="927"/>
      <c r="N105" s="938">
        <v>0</v>
      </c>
      <c r="O105" s="941">
        <v>15926.900000000001</v>
      </c>
      <c r="P105" s="928"/>
      <c r="Q105" s="928">
        <v>0</v>
      </c>
      <c r="R105" s="927">
        <f>125*1.35*Chiler_Price[[#This Row],[NO. of Cond Coils]]</f>
        <v>675</v>
      </c>
      <c r="S105" s="929">
        <f>Chiler_Price[[#This Row],[Cond. Coils Area (FT)]]*4*Naming!$M$62</f>
        <v>5205.76</v>
      </c>
      <c r="T105" s="929">
        <f>5*Chiler_Price[[#This Row],[Cond. Coils Area (FT)]]</f>
        <v>290.5</v>
      </c>
      <c r="U105" s="929">
        <f>7*Chiler_Price[[#This Row],[Cond. Coils Area (FT)]]</f>
        <v>406.7</v>
      </c>
      <c r="V105" s="928">
        <f>Chiler_Price[[#This Row],[Cond. Coils Area (FT)]]*Naming!$I$93</f>
        <v>1103.9000000000001</v>
      </c>
      <c r="W105" s="930">
        <f>Chiler_Price[[#This Row],[Cond. Coils Area (FT)]]*Naming!$I$96</f>
        <v>1545.46</v>
      </c>
      <c r="X105" s="928">
        <f>1.5*Chiler_Price[[#This Row],[Cond. Coils Area (FT)]]</f>
        <v>87.15</v>
      </c>
      <c r="Y105" s="927">
        <f>1500*1.35*Chiler_Price[[#This Row],[NO. Of Compressors]]</f>
        <v>6075.0000000000009</v>
      </c>
      <c r="Z105" s="927">
        <f>400*1.35*Chiler_Price[[#This Row],[NO. Of Compressors]]</f>
        <v>1620</v>
      </c>
      <c r="AA105" s="927">
        <f>650*1.35*Chiler_Price[[#This Row],[NO. Of Evap. Cooler ]]</f>
        <v>877.50000000000011</v>
      </c>
      <c r="AB105" s="927">
        <f>650*4*1.35*Chiler_Price[[#This Row],[NO. Of Evap. Cooler ]]</f>
        <v>3510.0000000000005</v>
      </c>
      <c r="AC105" s="927">
        <f>560*1.35*Chiler_Price[[#This Row],[NO. Of Evap. Cooler ]]</f>
        <v>756</v>
      </c>
      <c r="AD105" s="927">
        <v>0</v>
      </c>
      <c r="AE105" s="927">
        <f>700*1.35*Chiler_Price[[#This Row],[NO. Of Compressors]]</f>
        <v>2835.0000000000005</v>
      </c>
      <c r="AF105" s="927">
        <f>100*1.35*Chiler_Price[[#This Row],[NO. Of Compressors]]</f>
        <v>405</v>
      </c>
      <c r="AG105" s="927">
        <f>100*1.35*Chiler_Price[[#This Row],[NO. Of Compressors]]</f>
        <v>405</v>
      </c>
      <c r="AH105" s="927">
        <f>600*1.35*Chiler_Price[[#This Row],[NO. Of Compressors]]</f>
        <v>2430</v>
      </c>
      <c r="AI105" s="927">
        <v>405</v>
      </c>
      <c r="AJ105" s="927">
        <v>0</v>
      </c>
      <c r="AK105" s="927">
        <f>Chiler_Price[[#This Row],[NO. of Cond. Fans]]*62*1.1*1.35</f>
        <v>368.28000000000003</v>
      </c>
      <c r="AL105" s="927">
        <f>450*1.35*Chiler_Price[[#This Row],[NO. Of Compressors]]</f>
        <v>1822.5</v>
      </c>
      <c r="AM105" s="927">
        <f>Chiler_Price[[#This Row],[NO. of Cond. Fans]]*62*1.1*1.35</f>
        <v>368.28000000000003</v>
      </c>
      <c r="AN105" s="927">
        <f t="shared" si="3"/>
        <v>1282.5</v>
      </c>
      <c r="AO105" s="927">
        <f t="shared" si="4"/>
        <v>1.3515999999999999</v>
      </c>
      <c r="AP105" s="927">
        <f t="shared" si="5"/>
        <v>2430</v>
      </c>
      <c r="AQ105" s="927">
        <f>560*1.35*Chiler_Price[[#This Row],[NO. Of Evap. Cooler ]]</f>
        <v>756</v>
      </c>
      <c r="AR105" s="927">
        <f>100*1.35*Chiler_Price[[#This Row],[NO. Of Evap. Cooler ]]</f>
        <v>135</v>
      </c>
      <c r="AS105" s="944">
        <v>286</v>
      </c>
      <c r="AT105" s="712"/>
      <c r="AU105" s="712"/>
      <c r="BC105" s="712"/>
      <c r="BD105" s="712"/>
      <c r="BE105" s="712"/>
      <c r="BF105" s="712"/>
      <c r="BG105" s="712"/>
      <c r="BI105" s="712"/>
    </row>
    <row r="106" spans="1:61" ht="12.75">
      <c r="A106" s="939" t="s">
        <v>2051</v>
      </c>
      <c r="B106" s="927" t="s">
        <v>2052</v>
      </c>
      <c r="C106" s="927" t="s">
        <v>2052</v>
      </c>
      <c r="D106" s="927">
        <v>0</v>
      </c>
      <c r="E106" s="927">
        <v>4</v>
      </c>
      <c r="F106" s="927">
        <v>58.1</v>
      </c>
      <c r="G106" s="927">
        <v>3</v>
      </c>
      <c r="H106" s="927">
        <v>1</v>
      </c>
      <c r="I106" s="927">
        <f>Chiler_Price[[#This Row],[NO. of Cond Coils]]</f>
        <v>4</v>
      </c>
      <c r="J106" s="927">
        <v>12</v>
      </c>
      <c r="K106" s="927">
        <v>2</v>
      </c>
      <c r="L106" s="927">
        <v>15</v>
      </c>
      <c r="M106" s="927">
        <v>2</v>
      </c>
      <c r="N106" s="938">
        <v>0</v>
      </c>
      <c r="O106" s="941">
        <v>18349.100000000002</v>
      </c>
      <c r="P106" s="928"/>
      <c r="Q106" s="928">
        <v>0</v>
      </c>
      <c r="R106" s="927">
        <f>125*1.35*Chiler_Price[[#This Row],[NO. of Cond Coils]]</f>
        <v>675</v>
      </c>
      <c r="S106" s="929">
        <f>Chiler_Price[[#This Row],[Cond. Coils Area (FT)]]*4*Naming!$M$62</f>
        <v>5205.76</v>
      </c>
      <c r="T106" s="929">
        <f>5*Chiler_Price[[#This Row],[Cond. Coils Area (FT)]]</f>
        <v>290.5</v>
      </c>
      <c r="U106" s="929">
        <f>7*Chiler_Price[[#This Row],[Cond. Coils Area (FT)]]</f>
        <v>406.7</v>
      </c>
      <c r="V106" s="928">
        <f>Chiler_Price[[#This Row],[Cond. Coils Area (FT)]]*Naming!$I$93</f>
        <v>1103.9000000000001</v>
      </c>
      <c r="W106" s="930">
        <f>Chiler_Price[[#This Row],[Cond. Coils Area (FT)]]*Naming!$I$96</f>
        <v>1545.46</v>
      </c>
      <c r="X106" s="928">
        <f>1.5*Chiler_Price[[#This Row],[Cond. Coils Area (FT)]]</f>
        <v>87.15</v>
      </c>
      <c r="Y106" s="927">
        <f>1500*1.35*Chiler_Price[[#This Row],[NO. Of Compressors]]</f>
        <v>6075.0000000000009</v>
      </c>
      <c r="Z106" s="927">
        <f>400*1.35*Chiler_Price[[#This Row],[NO. Of Compressors]]</f>
        <v>1620</v>
      </c>
      <c r="AA106" s="927">
        <f>650*1.35*Chiler_Price[[#This Row],[NO. Of Evap. Cooler ]]</f>
        <v>877.50000000000011</v>
      </c>
      <c r="AB106" s="927">
        <f>650*4*1.35*Chiler_Price[[#This Row],[NO. Of Evap. Cooler ]]</f>
        <v>3510.0000000000005</v>
      </c>
      <c r="AC106" s="927">
        <f>560*1.35*Chiler_Price[[#This Row],[NO. Of Evap. Cooler ]]</f>
        <v>756</v>
      </c>
      <c r="AD106" s="927">
        <v>0</v>
      </c>
      <c r="AE106" s="927">
        <f>700*1.35*Chiler_Price[[#This Row],[NO. Of Compressors]]</f>
        <v>2835.0000000000005</v>
      </c>
      <c r="AF106" s="927">
        <f>100*1.35*Chiler_Price[[#This Row],[NO. Of Compressors]]</f>
        <v>405</v>
      </c>
      <c r="AG106" s="927">
        <f>100*1.35*Chiler_Price[[#This Row],[NO. Of Compressors]]</f>
        <v>405</v>
      </c>
      <c r="AH106" s="927">
        <f>600*1.35*Chiler_Price[[#This Row],[NO. Of Compressors]]</f>
        <v>2430</v>
      </c>
      <c r="AI106" s="927">
        <v>405</v>
      </c>
      <c r="AJ106" s="927">
        <v>0</v>
      </c>
      <c r="AK106" s="927">
        <f>Chiler_Price[[#This Row],[NO. of Cond. Fans]]*62*1.1*1.35</f>
        <v>368.28000000000003</v>
      </c>
      <c r="AL106" s="927">
        <f>450*1.35*Chiler_Price[[#This Row],[NO. Of Compressors]]</f>
        <v>1822.5</v>
      </c>
      <c r="AM106" s="927">
        <f>Chiler_Price[[#This Row],[NO. of Cond. Fans]]*62*1.1*1.35</f>
        <v>368.28000000000003</v>
      </c>
      <c r="AN106" s="927">
        <f t="shared" si="3"/>
        <v>1282.5</v>
      </c>
      <c r="AO106" s="927">
        <f t="shared" si="4"/>
        <v>1.3515999999999999</v>
      </c>
      <c r="AP106" s="927">
        <f t="shared" si="5"/>
        <v>2430</v>
      </c>
      <c r="AQ106" s="927">
        <f>560*1.35*Chiler_Price[[#This Row],[NO. Of Evap. Cooler ]]</f>
        <v>756</v>
      </c>
      <c r="AR106" s="927">
        <f>100*1.35*Chiler_Price[[#This Row],[NO. Of Evap. Cooler ]]</f>
        <v>135</v>
      </c>
      <c r="AS106" s="944">
        <v>286</v>
      </c>
      <c r="AT106" s="712"/>
      <c r="AU106" s="712"/>
      <c r="BC106" s="712"/>
      <c r="BD106" s="712"/>
      <c r="BE106" s="712"/>
      <c r="BF106" s="712"/>
      <c r="BG106" s="712"/>
      <c r="BI106" s="712"/>
    </row>
    <row r="107" spans="1:61" ht="12.75">
      <c r="A107" s="1533" t="s">
        <v>2053</v>
      </c>
      <c r="B107" s="1529" t="s">
        <v>2054</v>
      </c>
      <c r="C107" s="1529" t="s">
        <v>2054</v>
      </c>
      <c r="D107" s="1529">
        <v>0</v>
      </c>
      <c r="E107" s="1529">
        <v>4</v>
      </c>
      <c r="F107" s="1529">
        <v>58.1</v>
      </c>
      <c r="G107" s="1529">
        <v>3</v>
      </c>
      <c r="H107" s="1529">
        <v>1</v>
      </c>
      <c r="I107" s="1529">
        <f>Chiler_Price[[#This Row],[NO. of Cond Coils]]</f>
        <v>4</v>
      </c>
      <c r="J107" s="1529">
        <v>15</v>
      </c>
      <c r="K107" s="1529">
        <v>4</v>
      </c>
      <c r="L107" s="1529"/>
      <c r="M107" s="1529"/>
      <c r="N107" s="938">
        <v>0</v>
      </c>
      <c r="O107" s="1527">
        <v>19990.300000000003</v>
      </c>
      <c r="P107" s="1528"/>
      <c r="Q107" s="1528">
        <v>0</v>
      </c>
      <c r="R107" s="1529">
        <f>125*1.35*Chiler_Price[[#This Row],[NO. of Cond Coils]]</f>
        <v>675</v>
      </c>
      <c r="S107" s="1530">
        <f>Chiler_Price[[#This Row],[Cond. Coils Area (FT)]]*4*Naming!$M$62</f>
        <v>5205.76</v>
      </c>
      <c r="T107" s="1530">
        <f>5*Chiler_Price[[#This Row],[Cond. Coils Area (FT)]]</f>
        <v>290.5</v>
      </c>
      <c r="U107" s="1530">
        <f>7*Chiler_Price[[#This Row],[Cond. Coils Area (FT)]]</f>
        <v>406.7</v>
      </c>
      <c r="V107" s="1528">
        <f>Chiler_Price[[#This Row],[Cond. Coils Area (FT)]]*Naming!$I$93</f>
        <v>1103.9000000000001</v>
      </c>
      <c r="W107" s="1531">
        <f>Chiler_Price[[#This Row],[Cond. Coils Area (FT)]]*Naming!$I$96</f>
        <v>1545.46</v>
      </c>
      <c r="X107" s="1528">
        <f>1.5*Chiler_Price[[#This Row],[Cond. Coils Area (FT)]]</f>
        <v>87.15</v>
      </c>
      <c r="Y107" s="1529">
        <f>1500*1.35*Chiler_Price[[#This Row],[NO. Of Compressors]]</f>
        <v>6075.0000000000009</v>
      </c>
      <c r="Z107" s="1529">
        <f>400*1.35*Chiler_Price[[#This Row],[NO. Of Compressors]]</f>
        <v>1620</v>
      </c>
      <c r="AA107" s="1529">
        <f>650*1.35*Chiler_Price[[#This Row],[NO. Of Evap. Cooler ]]</f>
        <v>877.50000000000011</v>
      </c>
      <c r="AB107" s="1529">
        <f>650*4*1.35*Chiler_Price[[#This Row],[NO. Of Evap. Cooler ]]</f>
        <v>3510.0000000000005</v>
      </c>
      <c r="AC107" s="1529">
        <f>560*1.35*Chiler_Price[[#This Row],[NO. Of Evap. Cooler ]]</f>
        <v>756</v>
      </c>
      <c r="AD107" s="1529">
        <v>0</v>
      </c>
      <c r="AE107" s="1529">
        <f>700*1.35*Chiler_Price[[#This Row],[NO. Of Compressors]]</f>
        <v>2835.0000000000005</v>
      </c>
      <c r="AF107" s="1529">
        <f>100*1.35*Chiler_Price[[#This Row],[NO. Of Compressors]]</f>
        <v>405</v>
      </c>
      <c r="AG107" s="1529">
        <f>100*1.35*Chiler_Price[[#This Row],[NO. Of Compressors]]</f>
        <v>405</v>
      </c>
      <c r="AH107" s="1529">
        <f>600*1.35*Chiler_Price[[#This Row],[NO. Of Compressors]]</f>
        <v>2430</v>
      </c>
      <c r="AI107" s="1529">
        <v>405</v>
      </c>
      <c r="AJ107" s="1529">
        <v>0</v>
      </c>
      <c r="AK107" s="1529">
        <f>Chiler_Price[[#This Row],[NO. of Cond. Fans]]*62*1.1*1.35</f>
        <v>368.28000000000003</v>
      </c>
      <c r="AL107" s="1529">
        <f>450*1.35*Chiler_Price[[#This Row],[NO. Of Compressors]]</f>
        <v>1822.5</v>
      </c>
      <c r="AM107" s="1529">
        <f>Chiler_Price[[#This Row],[NO. of Cond. Fans]]*62*1.1*1.35</f>
        <v>368.28000000000003</v>
      </c>
      <c r="AN107" s="1529">
        <f t="shared" si="3"/>
        <v>1282.5</v>
      </c>
      <c r="AO107" s="1529">
        <f t="shared" si="4"/>
        <v>1.3515999999999999</v>
      </c>
      <c r="AP107" s="1529">
        <f t="shared" si="5"/>
        <v>2430</v>
      </c>
      <c r="AQ107" s="1529">
        <f>560*1.35*Chiler_Price[[#This Row],[NO. Of Evap. Cooler ]]</f>
        <v>756</v>
      </c>
      <c r="AR107" s="1529">
        <f>100*1.35*Chiler_Price[[#This Row],[NO. Of Evap. Cooler ]]</f>
        <v>135</v>
      </c>
      <c r="AS107" s="1532">
        <v>286</v>
      </c>
      <c r="AT107" s="712"/>
      <c r="AU107" s="712"/>
      <c r="BC107" s="712"/>
      <c r="BD107" s="712"/>
      <c r="BE107" s="712"/>
      <c r="BF107" s="712"/>
      <c r="BG107" s="712"/>
      <c r="BI107" s="712"/>
    </row>
    <row r="108" spans="1:61" ht="12.75">
      <c r="A108" s="939" t="s">
        <v>2055</v>
      </c>
      <c r="B108" s="927" t="s">
        <v>1971</v>
      </c>
      <c r="C108" s="927" t="s">
        <v>1971</v>
      </c>
      <c r="D108" s="927">
        <v>0</v>
      </c>
      <c r="E108" s="927">
        <v>2</v>
      </c>
      <c r="F108" s="927">
        <v>68.599999999999994</v>
      </c>
      <c r="G108" s="927">
        <v>2</v>
      </c>
      <c r="H108" s="927">
        <v>1</v>
      </c>
      <c r="I108" s="927">
        <f>Chiler_Price[[#This Row],[NO. of Cond Coils]]</f>
        <v>2</v>
      </c>
      <c r="J108" s="927">
        <v>25</v>
      </c>
      <c r="K108" s="927">
        <v>1</v>
      </c>
      <c r="L108" s="927">
        <v>30</v>
      </c>
      <c r="M108" s="927">
        <v>1</v>
      </c>
      <c r="N108" s="938">
        <v>0</v>
      </c>
      <c r="O108" s="1534">
        <v>21008</v>
      </c>
      <c r="P108" s="1534">
        <v>18256</v>
      </c>
      <c r="Q108" s="928">
        <v>0</v>
      </c>
      <c r="R108" s="927">
        <f>125*1.35*Chiler_Price[[#This Row],[NO. of Cond Coils]]</f>
        <v>337.5</v>
      </c>
      <c r="S108" s="929">
        <f>Chiler_Price[[#This Row],[Cond. Coils Area (FT)]]*4*Naming!$M$62</f>
        <v>6146.5599999999995</v>
      </c>
      <c r="T108" s="929">
        <f>5*Chiler_Price[[#This Row],[Cond. Coils Area (FT)]]</f>
        <v>343</v>
      </c>
      <c r="U108" s="929">
        <f>7*Chiler_Price[[#This Row],[Cond. Coils Area (FT)]]</f>
        <v>480.19999999999993</v>
      </c>
      <c r="V108" s="928">
        <f>Chiler_Price[[#This Row],[Cond. Coils Area (FT)]]*Naming!$I$93</f>
        <v>1303.3999999999999</v>
      </c>
      <c r="W108" s="930">
        <f>Chiler_Price[[#This Row],[Cond. Coils Area (FT)]]*Naming!$I$96</f>
        <v>1824.76</v>
      </c>
      <c r="X108" s="928">
        <f>1.5*Chiler_Price[[#This Row],[Cond. Coils Area (FT)]]</f>
        <v>102.89999999999999</v>
      </c>
      <c r="Y108" s="927">
        <f>1500*1.35*Chiler_Price[[#This Row],[NO. Of Compressors]]</f>
        <v>4050.0000000000005</v>
      </c>
      <c r="Z108" s="927">
        <f>400*1.35*Chiler_Price[[#This Row],[NO. Of Compressors]]</f>
        <v>1080</v>
      </c>
      <c r="AA108" s="927">
        <f>650*1.35*Chiler_Price[[#This Row],[NO. Of Evap. Cooler ]]</f>
        <v>877.50000000000011</v>
      </c>
      <c r="AB108" s="927">
        <f>650*4*1.35*Chiler_Price[[#This Row],[NO. Of Evap. Cooler ]]</f>
        <v>3510.0000000000005</v>
      </c>
      <c r="AC108" s="927">
        <f>560*1.35*Chiler_Price[[#This Row],[NO. Of Evap. Cooler ]]</f>
        <v>756</v>
      </c>
      <c r="AD108" s="927">
        <v>0</v>
      </c>
      <c r="AE108" s="927">
        <f>700*1.35*Chiler_Price[[#This Row],[NO. Of Compressors]]</f>
        <v>1890.0000000000002</v>
      </c>
      <c r="AF108" s="927">
        <f>100*1.35*Chiler_Price[[#This Row],[NO. Of Compressors]]</f>
        <v>270</v>
      </c>
      <c r="AG108" s="927">
        <f>100*1.35*Chiler_Price[[#This Row],[NO. Of Compressors]]</f>
        <v>270</v>
      </c>
      <c r="AH108" s="927">
        <f>600*1.35*Chiler_Price[[#This Row],[NO. Of Compressors]]</f>
        <v>1620</v>
      </c>
      <c r="AI108" s="927">
        <v>405</v>
      </c>
      <c r="AJ108" s="927">
        <v>0</v>
      </c>
      <c r="AK108" s="927">
        <f>Chiler_Price[[#This Row],[NO. of Cond. Fans]]*62*1.1*1.35</f>
        <v>184.14000000000001</v>
      </c>
      <c r="AL108" s="927">
        <f>450*1.35*Chiler_Price[[#This Row],[NO. Of Compressors]]</f>
        <v>1215</v>
      </c>
      <c r="AM108" s="927">
        <f>Chiler_Price[[#This Row],[NO. of Cond. Fans]]*62*1.1*1.35</f>
        <v>184.14000000000001</v>
      </c>
      <c r="AN108" s="927">
        <f t="shared" si="3"/>
        <v>1282.5</v>
      </c>
      <c r="AO108" s="927">
        <f t="shared" si="4"/>
        <v>1.3515999999999999</v>
      </c>
      <c r="AP108" s="927">
        <f t="shared" si="5"/>
        <v>2430</v>
      </c>
      <c r="AQ108" s="927">
        <f>560*1.35*Chiler_Price[[#This Row],[NO. Of Evap. Cooler ]]</f>
        <v>756</v>
      </c>
      <c r="AR108" s="927">
        <f>100*1.35*Chiler_Price[[#This Row],[NO. Of Evap. Cooler ]]</f>
        <v>135</v>
      </c>
      <c r="AS108" s="944">
        <v>286</v>
      </c>
      <c r="AT108" s="712"/>
      <c r="AU108" s="712"/>
      <c r="BC108" s="712"/>
      <c r="BD108" s="712"/>
      <c r="BE108" s="712"/>
      <c r="BF108" s="712"/>
      <c r="BG108" s="712"/>
      <c r="BI108" s="712"/>
    </row>
    <row r="109" spans="1:61" ht="12.75">
      <c r="A109" s="939" t="s">
        <v>2056</v>
      </c>
      <c r="B109" s="927" t="s">
        <v>2057</v>
      </c>
      <c r="C109" s="927" t="s">
        <v>2057</v>
      </c>
      <c r="D109" s="927">
        <v>0</v>
      </c>
      <c r="E109" s="927">
        <v>2</v>
      </c>
      <c r="F109" s="927">
        <v>68.599999999999994</v>
      </c>
      <c r="G109" s="927">
        <v>2</v>
      </c>
      <c r="H109" s="927">
        <v>1</v>
      </c>
      <c r="I109" s="927">
        <f>Chiler_Price[[#This Row],[NO. of Cond Coils]]</f>
        <v>2</v>
      </c>
      <c r="J109" s="927">
        <v>30</v>
      </c>
      <c r="K109" s="927">
        <v>2</v>
      </c>
      <c r="L109" s="927"/>
      <c r="M109" s="927"/>
      <c r="N109" s="938">
        <v>0</v>
      </c>
      <c r="O109" s="1534">
        <v>21718</v>
      </c>
      <c r="P109" s="1534">
        <v>18956</v>
      </c>
      <c r="Q109" s="928">
        <v>0</v>
      </c>
      <c r="R109" s="927">
        <f>125*1.35*Chiler_Price[[#This Row],[NO. of Cond Coils]]</f>
        <v>337.5</v>
      </c>
      <c r="S109" s="929">
        <f>Chiler_Price[[#This Row],[Cond. Coils Area (FT)]]*4*Naming!$M$62</f>
        <v>6146.5599999999995</v>
      </c>
      <c r="T109" s="929">
        <f>5*Chiler_Price[[#This Row],[Cond. Coils Area (FT)]]</f>
        <v>343</v>
      </c>
      <c r="U109" s="929">
        <f>7*Chiler_Price[[#This Row],[Cond. Coils Area (FT)]]</f>
        <v>480.19999999999993</v>
      </c>
      <c r="V109" s="928">
        <f>Chiler_Price[[#This Row],[Cond. Coils Area (FT)]]*Naming!$I$93</f>
        <v>1303.3999999999999</v>
      </c>
      <c r="W109" s="930">
        <f>Chiler_Price[[#This Row],[Cond. Coils Area (FT)]]*Naming!$I$96</f>
        <v>1824.76</v>
      </c>
      <c r="X109" s="928">
        <f>1.5*Chiler_Price[[#This Row],[Cond. Coils Area (FT)]]</f>
        <v>102.89999999999999</v>
      </c>
      <c r="Y109" s="927">
        <f>1500*1.35*Chiler_Price[[#This Row],[NO. Of Compressors]]</f>
        <v>4050.0000000000005</v>
      </c>
      <c r="Z109" s="927">
        <f>400*1.35*Chiler_Price[[#This Row],[NO. Of Compressors]]</f>
        <v>1080</v>
      </c>
      <c r="AA109" s="927">
        <f>650*1.35*Chiler_Price[[#This Row],[NO. Of Evap. Cooler ]]</f>
        <v>877.50000000000011</v>
      </c>
      <c r="AB109" s="927">
        <f>650*4*1.35*Chiler_Price[[#This Row],[NO. Of Evap. Cooler ]]</f>
        <v>3510.0000000000005</v>
      </c>
      <c r="AC109" s="927">
        <f>560*1.35*Chiler_Price[[#This Row],[NO. Of Evap. Cooler ]]</f>
        <v>756</v>
      </c>
      <c r="AD109" s="927">
        <v>0</v>
      </c>
      <c r="AE109" s="927">
        <f>700*1.35*Chiler_Price[[#This Row],[NO. Of Compressors]]</f>
        <v>1890.0000000000002</v>
      </c>
      <c r="AF109" s="927">
        <f>100*1.35*Chiler_Price[[#This Row],[NO. Of Compressors]]</f>
        <v>270</v>
      </c>
      <c r="AG109" s="927">
        <f>100*1.35*Chiler_Price[[#This Row],[NO. Of Compressors]]</f>
        <v>270</v>
      </c>
      <c r="AH109" s="927">
        <f>600*1.35*Chiler_Price[[#This Row],[NO. Of Compressors]]</f>
        <v>1620</v>
      </c>
      <c r="AI109" s="927">
        <v>405</v>
      </c>
      <c r="AJ109" s="927">
        <v>0</v>
      </c>
      <c r="AK109" s="927">
        <f>Chiler_Price[[#This Row],[NO. of Cond. Fans]]*62*1.1*1.35</f>
        <v>184.14000000000001</v>
      </c>
      <c r="AL109" s="927">
        <f>450*1.35*Chiler_Price[[#This Row],[NO. Of Compressors]]</f>
        <v>1215</v>
      </c>
      <c r="AM109" s="927">
        <f>Chiler_Price[[#This Row],[NO. of Cond. Fans]]*62*1.1*1.35</f>
        <v>184.14000000000001</v>
      </c>
      <c r="AN109" s="927">
        <f t="shared" si="3"/>
        <v>1282.5</v>
      </c>
      <c r="AO109" s="927">
        <f t="shared" si="4"/>
        <v>1.3515999999999999</v>
      </c>
      <c r="AP109" s="927">
        <f t="shared" si="5"/>
        <v>2430</v>
      </c>
      <c r="AQ109" s="927">
        <f>560*1.35*Chiler_Price[[#This Row],[NO. Of Evap. Cooler ]]</f>
        <v>756</v>
      </c>
      <c r="AR109" s="927">
        <f>100*1.35*Chiler_Price[[#This Row],[NO. Of Evap. Cooler ]]</f>
        <v>135</v>
      </c>
      <c r="AS109" s="944">
        <v>286</v>
      </c>
      <c r="AT109" s="712"/>
      <c r="AU109" s="712"/>
      <c r="BC109" s="712"/>
      <c r="BD109" s="712"/>
      <c r="BE109" s="712"/>
      <c r="BF109" s="712"/>
      <c r="BG109" s="712"/>
      <c r="BI109" s="712"/>
    </row>
    <row r="110" spans="1:61" ht="12.75">
      <c r="A110" s="939" t="s">
        <v>2058</v>
      </c>
      <c r="B110" s="927" t="s">
        <v>1974</v>
      </c>
      <c r="C110" s="927" t="s">
        <v>1974</v>
      </c>
      <c r="D110" s="927">
        <v>0</v>
      </c>
      <c r="E110" s="927">
        <v>4</v>
      </c>
      <c r="F110" s="927">
        <v>137.19999999999999</v>
      </c>
      <c r="G110" s="927">
        <v>3</v>
      </c>
      <c r="H110" s="927">
        <v>1</v>
      </c>
      <c r="I110" s="927">
        <f>Chiler_Price[[#This Row],[NO. of Cond Coils]]</f>
        <v>4</v>
      </c>
      <c r="J110" s="927">
        <v>20</v>
      </c>
      <c r="K110" s="927">
        <v>2</v>
      </c>
      <c r="L110" s="927">
        <v>30</v>
      </c>
      <c r="M110" s="927">
        <v>1</v>
      </c>
      <c r="N110" s="938">
        <v>0</v>
      </c>
      <c r="O110" s="1534">
        <v>30640</v>
      </c>
      <c r="P110" s="1534">
        <v>26952</v>
      </c>
      <c r="Q110" s="928">
        <v>0</v>
      </c>
      <c r="R110" s="927">
        <f>125*1.35*Chiler_Price[[#This Row],[NO. of Cond Coils]]</f>
        <v>675</v>
      </c>
      <c r="S110" s="929">
        <f>Chiler_Price[[#This Row],[Cond. Coils Area (FT)]]*4*Naming!$M$62</f>
        <v>12293.119999999999</v>
      </c>
      <c r="T110" s="929">
        <f>5*Chiler_Price[[#This Row],[Cond. Coils Area (FT)]]</f>
        <v>686</v>
      </c>
      <c r="U110" s="929">
        <f>7*Chiler_Price[[#This Row],[Cond. Coils Area (FT)]]</f>
        <v>960.39999999999986</v>
      </c>
      <c r="V110" s="928">
        <f>Chiler_Price[[#This Row],[Cond. Coils Area (FT)]]*Naming!$I$93</f>
        <v>2606.7999999999997</v>
      </c>
      <c r="W110" s="930">
        <f>Chiler_Price[[#This Row],[Cond. Coils Area (FT)]]*Naming!$I$96</f>
        <v>3649.52</v>
      </c>
      <c r="X110" s="928">
        <f>1.5*Chiler_Price[[#This Row],[Cond. Coils Area (FT)]]</f>
        <v>205.79999999999998</v>
      </c>
      <c r="Y110" s="927">
        <f>1500*1.35*Chiler_Price[[#This Row],[NO. Of Compressors]]</f>
        <v>6075.0000000000009</v>
      </c>
      <c r="Z110" s="927">
        <f>400*1.35*Chiler_Price[[#This Row],[NO. Of Compressors]]</f>
        <v>1620</v>
      </c>
      <c r="AA110" s="927">
        <f>650*1.35*Chiler_Price[[#This Row],[NO. Of Evap. Cooler ]]</f>
        <v>877.50000000000011</v>
      </c>
      <c r="AB110" s="927">
        <f>650*4*1.35*Chiler_Price[[#This Row],[NO. Of Evap. Cooler ]]</f>
        <v>3510.0000000000005</v>
      </c>
      <c r="AC110" s="927">
        <f>560*1.35*Chiler_Price[[#This Row],[NO. Of Evap. Cooler ]]</f>
        <v>756</v>
      </c>
      <c r="AD110" s="927">
        <v>0</v>
      </c>
      <c r="AE110" s="927">
        <f>700*1.35*Chiler_Price[[#This Row],[NO. Of Compressors]]</f>
        <v>2835.0000000000005</v>
      </c>
      <c r="AF110" s="927">
        <f>100*1.35*Chiler_Price[[#This Row],[NO. Of Compressors]]</f>
        <v>405</v>
      </c>
      <c r="AG110" s="927">
        <f>100*1.35*Chiler_Price[[#This Row],[NO. Of Compressors]]</f>
        <v>405</v>
      </c>
      <c r="AH110" s="927">
        <f>600*1.35*Chiler_Price[[#This Row],[NO. Of Compressors]]</f>
        <v>2430</v>
      </c>
      <c r="AI110" s="927">
        <v>405</v>
      </c>
      <c r="AJ110" s="927">
        <v>0</v>
      </c>
      <c r="AK110" s="927">
        <f>Chiler_Price[[#This Row],[NO. of Cond. Fans]]*62*1.1*1.35</f>
        <v>368.28000000000003</v>
      </c>
      <c r="AL110" s="927">
        <f>450*1.35*Chiler_Price[[#This Row],[NO. Of Compressors]]</f>
        <v>1822.5</v>
      </c>
      <c r="AM110" s="927">
        <f>Chiler_Price[[#This Row],[NO. of Cond. Fans]]*62*1.1*1.35</f>
        <v>368.28000000000003</v>
      </c>
      <c r="AN110" s="927">
        <f t="shared" si="3"/>
        <v>1282.5</v>
      </c>
      <c r="AO110" s="927">
        <f t="shared" si="4"/>
        <v>1.3515999999999999</v>
      </c>
      <c r="AP110" s="927">
        <f t="shared" si="5"/>
        <v>2430</v>
      </c>
      <c r="AQ110" s="927">
        <f>560*1.35*Chiler_Price[[#This Row],[NO. Of Evap. Cooler ]]</f>
        <v>756</v>
      </c>
      <c r="AR110" s="927">
        <f>100*1.35*Chiler_Price[[#This Row],[NO. Of Evap. Cooler ]]</f>
        <v>135</v>
      </c>
      <c r="AS110" s="944">
        <v>286</v>
      </c>
      <c r="AT110" s="712"/>
      <c r="AU110" s="712"/>
      <c r="BC110" s="712"/>
      <c r="BD110" s="712"/>
      <c r="BE110" s="712"/>
      <c r="BF110" s="712"/>
      <c r="BG110" s="712"/>
      <c r="BI110" s="712"/>
    </row>
    <row r="111" spans="1:61" ht="12.75">
      <c r="A111" s="939" t="s">
        <v>2059</v>
      </c>
      <c r="B111" s="927" t="s">
        <v>2060</v>
      </c>
      <c r="C111" s="927" t="s">
        <v>2060</v>
      </c>
      <c r="D111" s="927">
        <v>0</v>
      </c>
      <c r="E111" s="927">
        <v>4</v>
      </c>
      <c r="F111" s="927">
        <v>137.19999999999999</v>
      </c>
      <c r="G111" s="927">
        <v>4</v>
      </c>
      <c r="H111" s="927">
        <v>1</v>
      </c>
      <c r="I111" s="927">
        <f>Chiler_Price[[#This Row],[NO. of Cond Coils]]</f>
        <v>4</v>
      </c>
      <c r="J111" s="927">
        <v>20</v>
      </c>
      <c r="K111" s="927">
        <v>4</v>
      </c>
      <c r="L111" s="927"/>
      <c r="M111" s="927"/>
      <c r="N111" s="938">
        <v>0</v>
      </c>
      <c r="O111" s="1534">
        <v>34256</v>
      </c>
      <c r="P111" s="1534">
        <v>30518</v>
      </c>
      <c r="Q111" s="928">
        <v>0</v>
      </c>
      <c r="R111" s="927">
        <f>125*1.35*Chiler_Price[[#This Row],[NO. of Cond Coils]]</f>
        <v>675</v>
      </c>
      <c r="S111" s="929">
        <f>Chiler_Price[[#This Row],[Cond. Coils Area (FT)]]*4*Naming!$M$62</f>
        <v>12293.119999999999</v>
      </c>
      <c r="T111" s="929">
        <f>5*Chiler_Price[[#This Row],[Cond. Coils Area (FT)]]</f>
        <v>686</v>
      </c>
      <c r="U111" s="929">
        <f>7*Chiler_Price[[#This Row],[Cond. Coils Area (FT)]]</f>
        <v>960.39999999999986</v>
      </c>
      <c r="V111" s="928">
        <f>Chiler_Price[[#This Row],[Cond. Coils Area (FT)]]*Naming!$I$93</f>
        <v>2606.7999999999997</v>
      </c>
      <c r="W111" s="930">
        <f>Chiler_Price[[#This Row],[Cond. Coils Area (FT)]]*Naming!$I$96</f>
        <v>3649.52</v>
      </c>
      <c r="X111" s="928">
        <f>1.5*Chiler_Price[[#This Row],[Cond. Coils Area (FT)]]</f>
        <v>205.79999999999998</v>
      </c>
      <c r="Y111" s="927">
        <f>1500*1.35*Chiler_Price[[#This Row],[NO. Of Compressors]]</f>
        <v>8100.0000000000009</v>
      </c>
      <c r="Z111" s="927">
        <f>400*1.35*Chiler_Price[[#This Row],[NO. Of Compressors]]</f>
        <v>2160</v>
      </c>
      <c r="AA111" s="927">
        <f>650*1.35*Chiler_Price[[#This Row],[NO. Of Evap. Cooler ]]</f>
        <v>877.50000000000011</v>
      </c>
      <c r="AB111" s="927">
        <f>650*4*1.35*Chiler_Price[[#This Row],[NO. Of Evap. Cooler ]]</f>
        <v>3510.0000000000005</v>
      </c>
      <c r="AC111" s="927">
        <f>560*1.35*Chiler_Price[[#This Row],[NO. Of Evap. Cooler ]]</f>
        <v>756</v>
      </c>
      <c r="AD111" s="927">
        <v>0</v>
      </c>
      <c r="AE111" s="927">
        <f>700*1.35*Chiler_Price[[#This Row],[NO. Of Compressors]]</f>
        <v>3780.0000000000005</v>
      </c>
      <c r="AF111" s="927">
        <f>100*1.35*Chiler_Price[[#This Row],[NO. Of Compressors]]</f>
        <v>540</v>
      </c>
      <c r="AG111" s="927">
        <f>100*1.35*Chiler_Price[[#This Row],[NO. Of Compressors]]</f>
        <v>540</v>
      </c>
      <c r="AH111" s="927">
        <f>600*1.35*Chiler_Price[[#This Row],[NO. Of Compressors]]</f>
        <v>3240</v>
      </c>
      <c r="AI111" s="927">
        <v>405</v>
      </c>
      <c r="AJ111" s="927">
        <v>0</v>
      </c>
      <c r="AK111" s="927">
        <f>Chiler_Price[[#This Row],[NO. of Cond. Fans]]*62*1.1*1.35</f>
        <v>368.28000000000003</v>
      </c>
      <c r="AL111" s="927">
        <f>450*1.35*Chiler_Price[[#This Row],[NO. Of Compressors]]</f>
        <v>2430</v>
      </c>
      <c r="AM111" s="927">
        <f>Chiler_Price[[#This Row],[NO. of Cond. Fans]]*62*1.1*1.35</f>
        <v>368.28000000000003</v>
      </c>
      <c r="AN111" s="927">
        <f t="shared" si="3"/>
        <v>1282.5</v>
      </c>
      <c r="AO111" s="927">
        <f t="shared" si="4"/>
        <v>1.3515999999999999</v>
      </c>
      <c r="AP111" s="927">
        <f t="shared" si="5"/>
        <v>2430</v>
      </c>
      <c r="AQ111" s="927">
        <f>560*1.35*Chiler_Price[[#This Row],[NO. Of Evap. Cooler ]]</f>
        <v>756</v>
      </c>
      <c r="AR111" s="927">
        <f>100*1.35*Chiler_Price[[#This Row],[NO. Of Evap. Cooler ]]</f>
        <v>135</v>
      </c>
      <c r="AS111" s="944">
        <v>286</v>
      </c>
      <c r="AT111" s="712"/>
      <c r="AU111" s="712"/>
      <c r="BC111" s="712"/>
      <c r="BD111" s="712"/>
      <c r="BE111" s="712"/>
      <c r="BF111" s="712"/>
      <c r="BG111" s="712"/>
      <c r="BI111" s="712"/>
    </row>
    <row r="112" spans="1:61" ht="12.75">
      <c r="A112" s="939" t="s">
        <v>2061</v>
      </c>
      <c r="B112" s="927" t="s">
        <v>1978</v>
      </c>
      <c r="C112" s="927" t="s">
        <v>1979</v>
      </c>
      <c r="D112" s="927">
        <v>0</v>
      </c>
      <c r="E112" s="927">
        <v>4</v>
      </c>
      <c r="F112" s="927">
        <v>137.19999999999999</v>
      </c>
      <c r="G112" s="927">
        <v>4</v>
      </c>
      <c r="H112" s="927">
        <v>1</v>
      </c>
      <c r="I112" s="927">
        <f>Chiler_Price[[#This Row],[NO. of Cond Coils]]</f>
        <v>4</v>
      </c>
      <c r="J112" s="927">
        <v>20</v>
      </c>
      <c r="K112" s="927">
        <v>2</v>
      </c>
      <c r="L112" s="927">
        <v>25</v>
      </c>
      <c r="M112" s="927">
        <v>2</v>
      </c>
      <c r="N112" s="938">
        <v>0</v>
      </c>
      <c r="O112" s="1534">
        <v>35950</v>
      </c>
      <c r="P112" s="1534">
        <v>30530</v>
      </c>
      <c r="Q112" s="928">
        <v>0</v>
      </c>
      <c r="R112" s="927">
        <f>125*1.35*Chiler_Price[[#This Row],[NO. of Cond Coils]]</f>
        <v>675</v>
      </c>
      <c r="S112" s="929">
        <f>Chiler_Price[[#This Row],[Cond. Coils Area (FT)]]*4*Naming!$M$62</f>
        <v>12293.119999999999</v>
      </c>
      <c r="T112" s="929">
        <f>5*Chiler_Price[[#This Row],[Cond. Coils Area (FT)]]</f>
        <v>686</v>
      </c>
      <c r="U112" s="929">
        <f>7*Chiler_Price[[#This Row],[Cond. Coils Area (FT)]]</f>
        <v>960.39999999999986</v>
      </c>
      <c r="V112" s="928">
        <f>Chiler_Price[[#This Row],[Cond. Coils Area (FT)]]*Naming!$I$93</f>
        <v>2606.7999999999997</v>
      </c>
      <c r="W112" s="930">
        <f>Chiler_Price[[#This Row],[Cond. Coils Area (FT)]]*Naming!$I$96</f>
        <v>3649.52</v>
      </c>
      <c r="X112" s="928">
        <f>1.5*Chiler_Price[[#This Row],[Cond. Coils Area (FT)]]</f>
        <v>205.79999999999998</v>
      </c>
      <c r="Y112" s="927">
        <f>1500*1.35*Chiler_Price[[#This Row],[NO. Of Compressors]]</f>
        <v>8100.0000000000009</v>
      </c>
      <c r="Z112" s="927">
        <f>400*1.35*Chiler_Price[[#This Row],[NO. Of Compressors]]</f>
        <v>2160</v>
      </c>
      <c r="AA112" s="927">
        <f>650*1.35*Chiler_Price[[#This Row],[NO. Of Evap. Cooler ]]</f>
        <v>877.50000000000011</v>
      </c>
      <c r="AB112" s="927">
        <f>650*4*1.35*Chiler_Price[[#This Row],[NO. Of Evap. Cooler ]]</f>
        <v>3510.0000000000005</v>
      </c>
      <c r="AC112" s="927">
        <f>560*1.35*Chiler_Price[[#This Row],[NO. Of Evap. Cooler ]]</f>
        <v>756</v>
      </c>
      <c r="AD112" s="927">
        <v>0</v>
      </c>
      <c r="AE112" s="927">
        <f>700*1.35*Chiler_Price[[#This Row],[NO. Of Compressors]]</f>
        <v>3780.0000000000005</v>
      </c>
      <c r="AF112" s="927">
        <f>100*1.35*Chiler_Price[[#This Row],[NO. Of Compressors]]</f>
        <v>540</v>
      </c>
      <c r="AG112" s="927">
        <f>100*1.35*Chiler_Price[[#This Row],[NO. Of Compressors]]</f>
        <v>540</v>
      </c>
      <c r="AH112" s="927">
        <f>600*1.35*Chiler_Price[[#This Row],[NO. Of Compressors]]</f>
        <v>3240</v>
      </c>
      <c r="AI112" s="927">
        <v>405</v>
      </c>
      <c r="AJ112" s="927">
        <v>0</v>
      </c>
      <c r="AK112" s="927">
        <f>Chiler_Price[[#This Row],[NO. of Cond. Fans]]*62*1.1*1.35</f>
        <v>368.28000000000003</v>
      </c>
      <c r="AL112" s="927">
        <f>450*1.35*Chiler_Price[[#This Row],[NO. Of Compressors]]</f>
        <v>2430</v>
      </c>
      <c r="AM112" s="927">
        <f>Chiler_Price[[#This Row],[NO. of Cond. Fans]]*62*1.1*1.35</f>
        <v>368.28000000000003</v>
      </c>
      <c r="AN112" s="927">
        <f t="shared" si="3"/>
        <v>1282.5</v>
      </c>
      <c r="AO112" s="927">
        <f t="shared" si="4"/>
        <v>1.3515999999999999</v>
      </c>
      <c r="AP112" s="927">
        <f t="shared" si="5"/>
        <v>2430</v>
      </c>
      <c r="AQ112" s="927">
        <f>560*1.35*Chiler_Price[[#This Row],[NO. Of Evap. Cooler ]]</f>
        <v>756</v>
      </c>
      <c r="AR112" s="927">
        <f>100*1.35*Chiler_Price[[#This Row],[NO. Of Evap. Cooler ]]</f>
        <v>135</v>
      </c>
      <c r="AS112" s="944">
        <v>286</v>
      </c>
      <c r="AT112" s="712"/>
      <c r="AU112" s="712"/>
      <c r="BC112" s="712"/>
      <c r="BD112" s="712"/>
      <c r="BE112" s="712"/>
      <c r="BF112" s="712"/>
      <c r="BG112" s="712"/>
      <c r="BI112" s="712"/>
    </row>
    <row r="113" spans="1:61" ht="12.75">
      <c r="A113" s="939" t="s">
        <v>2062</v>
      </c>
      <c r="B113" s="927" t="s">
        <v>1981</v>
      </c>
      <c r="C113" s="927" t="s">
        <v>1981</v>
      </c>
      <c r="D113" s="927">
        <v>0</v>
      </c>
      <c r="E113" s="927">
        <v>4</v>
      </c>
      <c r="F113" s="927">
        <v>137.19999999999999</v>
      </c>
      <c r="G113" s="927">
        <v>4</v>
      </c>
      <c r="H113" s="927">
        <v>1</v>
      </c>
      <c r="I113" s="927">
        <f>Chiler_Price[[#This Row],[NO. of Cond Coils]]</f>
        <v>4</v>
      </c>
      <c r="J113" s="927">
        <v>25</v>
      </c>
      <c r="K113" s="927">
        <v>4</v>
      </c>
      <c r="L113" s="927"/>
      <c r="M113" s="927"/>
      <c r="N113" s="938">
        <v>0</v>
      </c>
      <c r="O113" s="1534">
        <v>37280</v>
      </c>
      <c r="P113" s="1534">
        <v>32731</v>
      </c>
      <c r="Q113" s="928">
        <v>0</v>
      </c>
      <c r="R113" s="927">
        <f>125*1.35*Chiler_Price[[#This Row],[NO. of Cond Coils]]</f>
        <v>675</v>
      </c>
      <c r="S113" s="929">
        <f>Chiler_Price[[#This Row],[Cond. Coils Area (FT)]]*4*Naming!$M$62</f>
        <v>12293.119999999999</v>
      </c>
      <c r="T113" s="929">
        <f>5*Chiler_Price[[#This Row],[Cond. Coils Area (FT)]]</f>
        <v>686</v>
      </c>
      <c r="U113" s="929">
        <f>7*Chiler_Price[[#This Row],[Cond. Coils Area (FT)]]</f>
        <v>960.39999999999986</v>
      </c>
      <c r="V113" s="928">
        <f>Chiler_Price[[#This Row],[Cond. Coils Area (FT)]]*Naming!$I$93</f>
        <v>2606.7999999999997</v>
      </c>
      <c r="W113" s="930">
        <f>Chiler_Price[[#This Row],[Cond. Coils Area (FT)]]*Naming!$I$96</f>
        <v>3649.52</v>
      </c>
      <c r="X113" s="928">
        <f>1.5*Chiler_Price[[#This Row],[Cond. Coils Area (FT)]]</f>
        <v>205.79999999999998</v>
      </c>
      <c r="Y113" s="927">
        <f>1500*1.35*Chiler_Price[[#This Row],[NO. Of Compressors]]</f>
        <v>8100.0000000000009</v>
      </c>
      <c r="Z113" s="927">
        <f>400*1.35*Chiler_Price[[#This Row],[NO. Of Compressors]]</f>
        <v>2160</v>
      </c>
      <c r="AA113" s="927">
        <f>650*1.35*Chiler_Price[[#This Row],[NO. Of Evap. Cooler ]]</f>
        <v>877.50000000000011</v>
      </c>
      <c r="AB113" s="927">
        <f>650*4*1.35*Chiler_Price[[#This Row],[NO. Of Evap. Cooler ]]</f>
        <v>3510.0000000000005</v>
      </c>
      <c r="AC113" s="927">
        <f>560*1.35*Chiler_Price[[#This Row],[NO. Of Evap. Cooler ]]</f>
        <v>756</v>
      </c>
      <c r="AD113" s="927">
        <v>0</v>
      </c>
      <c r="AE113" s="927">
        <f>700*1.35*Chiler_Price[[#This Row],[NO. Of Compressors]]</f>
        <v>3780.0000000000005</v>
      </c>
      <c r="AF113" s="927">
        <f>100*1.35*Chiler_Price[[#This Row],[NO. Of Compressors]]</f>
        <v>540</v>
      </c>
      <c r="AG113" s="927">
        <f>100*1.35*Chiler_Price[[#This Row],[NO. Of Compressors]]</f>
        <v>540</v>
      </c>
      <c r="AH113" s="927">
        <f>600*1.35*Chiler_Price[[#This Row],[NO. Of Compressors]]</f>
        <v>3240</v>
      </c>
      <c r="AI113" s="927">
        <v>405</v>
      </c>
      <c r="AJ113" s="927">
        <v>0</v>
      </c>
      <c r="AK113" s="927">
        <f>Chiler_Price[[#This Row],[NO. of Cond. Fans]]*62*1.1*1.35</f>
        <v>368.28000000000003</v>
      </c>
      <c r="AL113" s="927">
        <f>450*1.35*Chiler_Price[[#This Row],[NO. Of Compressors]]</f>
        <v>2430</v>
      </c>
      <c r="AM113" s="927">
        <f>Chiler_Price[[#This Row],[NO. of Cond. Fans]]*62*1.1*1.35</f>
        <v>368.28000000000003</v>
      </c>
      <c r="AN113" s="927">
        <f t="shared" si="3"/>
        <v>1282.5</v>
      </c>
      <c r="AO113" s="927">
        <f t="shared" si="4"/>
        <v>1.3515999999999999</v>
      </c>
      <c r="AP113" s="927">
        <f t="shared" si="5"/>
        <v>2430</v>
      </c>
      <c r="AQ113" s="927">
        <f>560*1.35*Chiler_Price[[#This Row],[NO. Of Evap. Cooler ]]</f>
        <v>756</v>
      </c>
      <c r="AR113" s="927">
        <f>100*1.35*Chiler_Price[[#This Row],[NO. Of Evap. Cooler ]]</f>
        <v>135</v>
      </c>
      <c r="AS113" s="944">
        <v>286</v>
      </c>
      <c r="AT113" s="712"/>
      <c r="AU113" s="712"/>
      <c r="BC113" s="712"/>
      <c r="BD113" s="712"/>
      <c r="BE113" s="712"/>
      <c r="BF113" s="712"/>
      <c r="BG113" s="712"/>
      <c r="BI113" s="712"/>
    </row>
    <row r="114" spans="1:61" ht="15.75" customHeight="1">
      <c r="A114" s="939" t="s">
        <v>2063</v>
      </c>
      <c r="B114" s="927" t="s">
        <v>1985</v>
      </c>
      <c r="C114" s="927" t="s">
        <v>1985</v>
      </c>
      <c r="D114" s="927">
        <v>0</v>
      </c>
      <c r="E114" s="927">
        <v>4</v>
      </c>
      <c r="F114" s="927">
        <v>137.19999999999999</v>
      </c>
      <c r="G114" s="927">
        <v>4</v>
      </c>
      <c r="H114" s="927">
        <v>1</v>
      </c>
      <c r="I114" s="927">
        <f>Chiler_Price[[#This Row],[NO. of Cond Coils]]</f>
        <v>4</v>
      </c>
      <c r="J114" s="927">
        <v>25</v>
      </c>
      <c r="K114" s="927">
        <v>2</v>
      </c>
      <c r="L114" s="927">
        <v>30</v>
      </c>
      <c r="M114" s="927">
        <v>2</v>
      </c>
      <c r="N114" s="938">
        <v>0</v>
      </c>
      <c r="O114" s="1534">
        <v>38700</v>
      </c>
      <c r="P114" s="1534">
        <v>34130</v>
      </c>
      <c r="Q114" s="928">
        <v>0</v>
      </c>
      <c r="R114" s="927">
        <f>125*1.35*Chiler_Price[[#This Row],[NO. of Cond Coils]]</f>
        <v>675</v>
      </c>
      <c r="S114" s="929">
        <f>Chiler_Price[[#This Row],[Cond. Coils Area (FT)]]*4*Naming!$M$62</f>
        <v>12293.119999999999</v>
      </c>
      <c r="T114" s="929">
        <f>5*Chiler_Price[[#This Row],[Cond. Coils Area (FT)]]</f>
        <v>686</v>
      </c>
      <c r="U114" s="929">
        <f>7*Chiler_Price[[#This Row],[Cond. Coils Area (FT)]]</f>
        <v>960.39999999999986</v>
      </c>
      <c r="V114" s="928">
        <f>Chiler_Price[[#This Row],[Cond. Coils Area (FT)]]*Naming!$I$93</f>
        <v>2606.7999999999997</v>
      </c>
      <c r="W114" s="930">
        <f>Chiler_Price[[#This Row],[Cond. Coils Area (FT)]]*Naming!$I$96</f>
        <v>3649.52</v>
      </c>
      <c r="X114" s="928">
        <f>1.5*Chiler_Price[[#This Row],[Cond. Coils Area (FT)]]</f>
        <v>205.79999999999998</v>
      </c>
      <c r="Y114" s="927">
        <f>1500*1.35*Chiler_Price[[#This Row],[NO. Of Compressors]]</f>
        <v>8100.0000000000009</v>
      </c>
      <c r="Z114" s="927">
        <f>400*1.35*Chiler_Price[[#This Row],[NO. Of Compressors]]</f>
        <v>2160</v>
      </c>
      <c r="AA114" s="927">
        <f>650*1.35*Chiler_Price[[#This Row],[NO. Of Evap. Cooler ]]</f>
        <v>877.50000000000011</v>
      </c>
      <c r="AB114" s="927">
        <f>650*4*1.35*Chiler_Price[[#This Row],[NO. Of Evap. Cooler ]]</f>
        <v>3510.0000000000005</v>
      </c>
      <c r="AC114" s="927">
        <f>560*1.35*Chiler_Price[[#This Row],[NO. Of Evap. Cooler ]]</f>
        <v>756</v>
      </c>
      <c r="AD114" s="927">
        <v>0</v>
      </c>
      <c r="AE114" s="927">
        <f>700*1.35*Chiler_Price[[#This Row],[NO. Of Compressors]]</f>
        <v>3780.0000000000005</v>
      </c>
      <c r="AF114" s="927">
        <f>100*1.35*Chiler_Price[[#This Row],[NO. Of Compressors]]</f>
        <v>540</v>
      </c>
      <c r="AG114" s="927">
        <f>100*1.35*Chiler_Price[[#This Row],[NO. Of Compressors]]</f>
        <v>540</v>
      </c>
      <c r="AH114" s="927">
        <f>600*1.35*Chiler_Price[[#This Row],[NO. Of Compressors]]</f>
        <v>3240</v>
      </c>
      <c r="AI114" s="927">
        <v>405</v>
      </c>
      <c r="AJ114" s="927">
        <v>0</v>
      </c>
      <c r="AK114" s="927">
        <f>Chiler_Price[[#This Row],[NO. of Cond. Fans]]*62*1.1*1.35</f>
        <v>368.28000000000003</v>
      </c>
      <c r="AL114" s="927">
        <f>450*1.35*Chiler_Price[[#This Row],[NO. Of Compressors]]</f>
        <v>2430</v>
      </c>
      <c r="AM114" s="927">
        <f>Chiler_Price[[#This Row],[NO. of Cond. Fans]]*62*1.1*1.35</f>
        <v>368.28000000000003</v>
      </c>
      <c r="AN114" s="927">
        <f t="shared" si="3"/>
        <v>1282.5</v>
      </c>
      <c r="AO114" s="927">
        <f t="shared" si="4"/>
        <v>1.3515999999999999</v>
      </c>
      <c r="AP114" s="927">
        <f t="shared" si="5"/>
        <v>2430</v>
      </c>
      <c r="AQ114" s="927">
        <f>560*1.35*Chiler_Price[[#This Row],[NO. Of Evap. Cooler ]]</f>
        <v>756</v>
      </c>
      <c r="AR114" s="927">
        <f>100*1.35*Chiler_Price[[#This Row],[NO. Of Evap. Cooler ]]</f>
        <v>135</v>
      </c>
      <c r="AS114" s="944">
        <v>286</v>
      </c>
      <c r="AT114" s="712"/>
      <c r="AU114" s="712"/>
      <c r="BC114" s="712"/>
      <c r="BD114" s="712"/>
      <c r="BE114" s="712"/>
      <c r="BF114" s="712"/>
      <c r="BG114" s="712"/>
      <c r="BI114" s="712"/>
    </row>
    <row r="115" spans="1:61" ht="12.75">
      <c r="A115" s="939" t="s">
        <v>2064</v>
      </c>
      <c r="B115" s="927" t="s">
        <v>2065</v>
      </c>
      <c r="C115" s="927" t="s">
        <v>2065</v>
      </c>
      <c r="D115" s="927">
        <v>0</v>
      </c>
      <c r="E115" s="927">
        <v>4</v>
      </c>
      <c r="F115" s="927">
        <v>137.19999999999999</v>
      </c>
      <c r="G115" s="927">
        <v>4</v>
      </c>
      <c r="H115" s="927">
        <v>1</v>
      </c>
      <c r="I115" s="927">
        <f>Chiler_Price[[#This Row],[NO. of Cond Coils]]</f>
        <v>4</v>
      </c>
      <c r="J115" s="927">
        <v>25</v>
      </c>
      <c r="K115" s="927">
        <v>1</v>
      </c>
      <c r="L115" s="927">
        <v>30</v>
      </c>
      <c r="M115" s="927">
        <v>3</v>
      </c>
      <c r="N115" s="938">
        <v>0</v>
      </c>
      <c r="O115" s="1534">
        <v>39409</v>
      </c>
      <c r="P115" s="1534">
        <v>34830</v>
      </c>
      <c r="Q115" s="928">
        <v>0</v>
      </c>
      <c r="R115" s="927">
        <f>125*1.35*Chiler_Price[[#This Row],[NO. of Cond Coils]]</f>
        <v>675</v>
      </c>
      <c r="S115" s="929">
        <f>Chiler_Price[[#This Row],[Cond. Coils Area (FT)]]*4*Naming!$M$62</f>
        <v>12293.119999999999</v>
      </c>
      <c r="T115" s="929">
        <f>5*Chiler_Price[[#This Row],[Cond. Coils Area (FT)]]</f>
        <v>686</v>
      </c>
      <c r="U115" s="929">
        <f>7*Chiler_Price[[#This Row],[Cond. Coils Area (FT)]]</f>
        <v>960.39999999999986</v>
      </c>
      <c r="V115" s="928">
        <f>Chiler_Price[[#This Row],[Cond. Coils Area (FT)]]*Naming!$I$93</f>
        <v>2606.7999999999997</v>
      </c>
      <c r="W115" s="930">
        <f>Chiler_Price[[#This Row],[Cond. Coils Area (FT)]]*Naming!$I$96</f>
        <v>3649.52</v>
      </c>
      <c r="X115" s="928">
        <f>1.5*Chiler_Price[[#This Row],[Cond. Coils Area (FT)]]</f>
        <v>205.79999999999998</v>
      </c>
      <c r="Y115" s="927">
        <f>1500*1.35*Chiler_Price[[#This Row],[NO. Of Compressors]]</f>
        <v>8100.0000000000009</v>
      </c>
      <c r="Z115" s="927">
        <f>400*1.35*Chiler_Price[[#This Row],[NO. Of Compressors]]</f>
        <v>2160</v>
      </c>
      <c r="AA115" s="927">
        <f>650*1.35*Chiler_Price[[#This Row],[NO. Of Evap. Cooler ]]</f>
        <v>877.50000000000011</v>
      </c>
      <c r="AB115" s="927">
        <f>650*4*1.35*Chiler_Price[[#This Row],[NO. Of Evap. Cooler ]]</f>
        <v>3510.0000000000005</v>
      </c>
      <c r="AC115" s="927">
        <f>560*1.35*Chiler_Price[[#This Row],[NO. Of Evap. Cooler ]]</f>
        <v>756</v>
      </c>
      <c r="AD115" s="927">
        <v>0</v>
      </c>
      <c r="AE115" s="927">
        <f>700*1.35*Chiler_Price[[#This Row],[NO. Of Compressors]]</f>
        <v>3780.0000000000005</v>
      </c>
      <c r="AF115" s="927">
        <f>100*1.35*Chiler_Price[[#This Row],[NO. Of Compressors]]</f>
        <v>540</v>
      </c>
      <c r="AG115" s="927">
        <f>100*1.35*Chiler_Price[[#This Row],[NO. Of Compressors]]</f>
        <v>540</v>
      </c>
      <c r="AH115" s="927">
        <f>600*1.35*Chiler_Price[[#This Row],[NO. Of Compressors]]</f>
        <v>3240</v>
      </c>
      <c r="AI115" s="927">
        <v>405</v>
      </c>
      <c r="AJ115" s="927">
        <v>0</v>
      </c>
      <c r="AK115" s="927">
        <f>Chiler_Price[[#This Row],[NO. of Cond. Fans]]*62*1.1*1.35</f>
        <v>368.28000000000003</v>
      </c>
      <c r="AL115" s="927">
        <f>450*1.35*Chiler_Price[[#This Row],[NO. Of Compressors]]</f>
        <v>2430</v>
      </c>
      <c r="AM115" s="927">
        <f>Chiler_Price[[#This Row],[NO. of Cond. Fans]]*62*1.1*1.35</f>
        <v>368.28000000000003</v>
      </c>
      <c r="AN115" s="927">
        <f t="shared" si="3"/>
        <v>1282.5</v>
      </c>
      <c r="AO115" s="927">
        <f t="shared" si="4"/>
        <v>1.3515999999999999</v>
      </c>
      <c r="AP115" s="927">
        <f t="shared" si="5"/>
        <v>2430</v>
      </c>
      <c r="AQ115" s="927">
        <f>560*1.35*Chiler_Price[[#This Row],[NO. Of Evap. Cooler ]]</f>
        <v>756</v>
      </c>
      <c r="AR115" s="927">
        <f>100*1.35*Chiler_Price[[#This Row],[NO. Of Evap. Cooler ]]</f>
        <v>135</v>
      </c>
      <c r="AS115" s="944">
        <v>286</v>
      </c>
      <c r="AT115" s="712"/>
      <c r="AU115" s="712"/>
      <c r="BC115" s="712"/>
      <c r="BD115" s="712"/>
      <c r="BE115" s="712"/>
      <c r="BF115" s="712"/>
      <c r="BG115" s="712"/>
      <c r="BI115" s="712"/>
    </row>
    <row r="116" spans="1:61" ht="12.75">
      <c r="A116" s="939" t="s">
        <v>2067</v>
      </c>
      <c r="B116" s="927" t="s">
        <v>2068</v>
      </c>
      <c r="C116" s="927" t="s">
        <v>2068</v>
      </c>
      <c r="D116" s="927">
        <v>0</v>
      </c>
      <c r="E116" s="927">
        <v>6</v>
      </c>
      <c r="F116" s="927">
        <v>205.8</v>
      </c>
      <c r="G116" s="927">
        <v>6</v>
      </c>
      <c r="H116" s="927">
        <v>1</v>
      </c>
      <c r="I116" s="927">
        <f>Chiler_Price[[#This Row],[NO. of Cond Coils]]</f>
        <v>6</v>
      </c>
      <c r="J116" s="927">
        <v>20</v>
      </c>
      <c r="K116" s="927">
        <v>4</v>
      </c>
      <c r="L116" s="927">
        <v>25</v>
      </c>
      <c r="M116" s="927">
        <v>2</v>
      </c>
      <c r="N116" s="938">
        <v>0</v>
      </c>
      <c r="O116" s="1534">
        <v>41162</v>
      </c>
      <c r="P116" s="1534">
        <v>36558</v>
      </c>
      <c r="Q116" s="928">
        <v>0</v>
      </c>
      <c r="R116" s="927">
        <f>125*1.35*Chiler_Price[[#This Row],[NO. of Cond Coils]]</f>
        <v>1012.5</v>
      </c>
      <c r="S116" s="929">
        <f>Chiler_Price[[#This Row],[Cond. Coils Area (FT)]]*4*Naming!$M$62</f>
        <v>18439.68</v>
      </c>
      <c r="T116" s="929">
        <f>5*Chiler_Price[[#This Row],[Cond. Coils Area (FT)]]</f>
        <v>1029</v>
      </c>
      <c r="U116" s="929">
        <f>7*Chiler_Price[[#This Row],[Cond. Coils Area (FT)]]</f>
        <v>1440.6000000000001</v>
      </c>
      <c r="V116" s="928">
        <f>Chiler_Price[[#This Row],[Cond. Coils Area (FT)]]*Naming!$I$93</f>
        <v>3910.2000000000003</v>
      </c>
      <c r="W116" s="930">
        <f>Chiler_Price[[#This Row],[Cond. Coils Area (FT)]]*Naming!$I$96</f>
        <v>5474.2800000000007</v>
      </c>
      <c r="X116" s="928">
        <f>1.5*Chiler_Price[[#This Row],[Cond. Coils Area (FT)]]</f>
        <v>308.70000000000005</v>
      </c>
      <c r="Y116" s="927">
        <f>1500*1.35*Chiler_Price[[#This Row],[NO. Of Compressors]]</f>
        <v>12150.000000000002</v>
      </c>
      <c r="Z116" s="927">
        <f>400*1.35*Chiler_Price[[#This Row],[NO. Of Compressors]]</f>
        <v>3240</v>
      </c>
      <c r="AA116" s="927">
        <f>650*1.35*Chiler_Price[[#This Row],[NO. Of Evap. Cooler ]]</f>
        <v>877.50000000000011</v>
      </c>
      <c r="AB116" s="927">
        <f>650*4*1.35*Chiler_Price[[#This Row],[NO. Of Evap. Cooler ]]</f>
        <v>3510.0000000000005</v>
      </c>
      <c r="AC116" s="927">
        <f>560*1.35*Chiler_Price[[#This Row],[NO. Of Evap. Cooler ]]</f>
        <v>756</v>
      </c>
      <c r="AD116" s="927">
        <v>0</v>
      </c>
      <c r="AE116" s="927">
        <f>700*1.35*Chiler_Price[[#This Row],[NO. Of Compressors]]</f>
        <v>5670.0000000000009</v>
      </c>
      <c r="AF116" s="927">
        <f>100*1.35*Chiler_Price[[#This Row],[NO. Of Compressors]]</f>
        <v>810</v>
      </c>
      <c r="AG116" s="927">
        <f>100*1.35*Chiler_Price[[#This Row],[NO. Of Compressors]]</f>
        <v>810</v>
      </c>
      <c r="AH116" s="927">
        <f>600*1.35*Chiler_Price[[#This Row],[NO. Of Compressors]]</f>
        <v>4860</v>
      </c>
      <c r="AI116" s="927">
        <v>405</v>
      </c>
      <c r="AJ116" s="927">
        <v>0</v>
      </c>
      <c r="AK116" s="927">
        <f>Chiler_Price[[#This Row],[NO. of Cond. Fans]]*62*1.1*1.35</f>
        <v>552.42000000000007</v>
      </c>
      <c r="AL116" s="927">
        <f>450*1.35*Chiler_Price[[#This Row],[NO. Of Compressors]]</f>
        <v>3645</v>
      </c>
      <c r="AM116" s="927">
        <f>Chiler_Price[[#This Row],[NO. of Cond. Fans]]*62*1.1*1.35</f>
        <v>552.42000000000007</v>
      </c>
      <c r="AN116" s="927">
        <f t="shared" si="3"/>
        <v>1282.5</v>
      </c>
      <c r="AO116" s="927">
        <f t="shared" si="4"/>
        <v>1.3515999999999999</v>
      </c>
      <c r="AP116" s="927">
        <f t="shared" si="5"/>
        <v>2430</v>
      </c>
      <c r="AQ116" s="927">
        <f>560*1.35*Chiler_Price[[#This Row],[NO. Of Evap. Cooler ]]</f>
        <v>756</v>
      </c>
      <c r="AR116" s="927">
        <f>100*1.35*Chiler_Price[[#This Row],[NO. Of Evap. Cooler ]]</f>
        <v>135</v>
      </c>
      <c r="AS116" s="944">
        <v>286</v>
      </c>
      <c r="AT116" s="712"/>
      <c r="AU116" s="712"/>
      <c r="BC116" s="712"/>
      <c r="BD116" s="712"/>
      <c r="BE116" s="712"/>
      <c r="BF116" s="712"/>
      <c r="BG116" s="712"/>
      <c r="BI116" s="712"/>
    </row>
    <row r="117" spans="1:61" ht="12.75">
      <c r="A117" s="939" t="s">
        <v>2069</v>
      </c>
      <c r="B117" s="927" t="s">
        <v>1992</v>
      </c>
      <c r="C117" s="927" t="s">
        <v>1992</v>
      </c>
      <c r="D117" s="927">
        <v>0</v>
      </c>
      <c r="E117" s="927">
        <v>6</v>
      </c>
      <c r="F117" s="927">
        <v>205.8</v>
      </c>
      <c r="G117" s="927">
        <v>6</v>
      </c>
      <c r="H117" s="927">
        <v>1</v>
      </c>
      <c r="I117" s="927">
        <f>Chiler_Price[[#This Row],[NO. of Cond Coils]]</f>
        <v>6</v>
      </c>
      <c r="J117" s="927">
        <v>25</v>
      </c>
      <c r="K117" s="927">
        <v>4</v>
      </c>
      <c r="L117" s="927">
        <v>30</v>
      </c>
      <c r="M117" s="927">
        <v>2</v>
      </c>
      <c r="N117" s="938">
        <v>0</v>
      </c>
      <c r="O117" s="1534">
        <v>46376</v>
      </c>
      <c r="P117" s="1534">
        <v>41183</v>
      </c>
      <c r="Q117" s="928">
        <v>0</v>
      </c>
      <c r="R117" s="927">
        <f>125*1.35*Chiler_Price[[#This Row],[NO. of Cond Coils]]</f>
        <v>1012.5</v>
      </c>
      <c r="S117" s="929">
        <f>Chiler_Price[[#This Row],[Cond. Coils Area (FT)]]*4*Naming!$M$62</f>
        <v>18439.68</v>
      </c>
      <c r="T117" s="929">
        <f>5*Chiler_Price[[#This Row],[Cond. Coils Area (FT)]]</f>
        <v>1029</v>
      </c>
      <c r="U117" s="929">
        <f>7*Chiler_Price[[#This Row],[Cond. Coils Area (FT)]]</f>
        <v>1440.6000000000001</v>
      </c>
      <c r="V117" s="928">
        <f>Chiler_Price[[#This Row],[Cond. Coils Area (FT)]]*Naming!$I$93</f>
        <v>3910.2000000000003</v>
      </c>
      <c r="W117" s="930">
        <f>Chiler_Price[[#This Row],[Cond. Coils Area (FT)]]*Naming!$I$96</f>
        <v>5474.2800000000007</v>
      </c>
      <c r="X117" s="928">
        <f>1.5*Chiler_Price[[#This Row],[Cond. Coils Area (FT)]]</f>
        <v>308.70000000000005</v>
      </c>
      <c r="Y117" s="927">
        <f>1500*1.35*Chiler_Price[[#This Row],[NO. Of Compressors]]</f>
        <v>12150.000000000002</v>
      </c>
      <c r="Z117" s="927">
        <f>400*1.35*Chiler_Price[[#This Row],[NO. Of Compressors]]</f>
        <v>3240</v>
      </c>
      <c r="AA117" s="927">
        <f>650*1.35*Chiler_Price[[#This Row],[NO. Of Evap. Cooler ]]</f>
        <v>877.50000000000011</v>
      </c>
      <c r="AB117" s="927">
        <f>650*4*1.35*Chiler_Price[[#This Row],[NO. Of Evap. Cooler ]]</f>
        <v>3510.0000000000005</v>
      </c>
      <c r="AC117" s="927">
        <f>560*1.35*Chiler_Price[[#This Row],[NO. Of Evap. Cooler ]]</f>
        <v>756</v>
      </c>
      <c r="AD117" s="927">
        <v>0</v>
      </c>
      <c r="AE117" s="927">
        <f>700*1.35*Chiler_Price[[#This Row],[NO. Of Compressors]]</f>
        <v>5670.0000000000009</v>
      </c>
      <c r="AF117" s="927">
        <f>100*1.35*Chiler_Price[[#This Row],[NO. Of Compressors]]</f>
        <v>810</v>
      </c>
      <c r="AG117" s="927">
        <f>100*1.35*Chiler_Price[[#This Row],[NO. Of Compressors]]</f>
        <v>810</v>
      </c>
      <c r="AH117" s="927">
        <f>600*1.35*Chiler_Price[[#This Row],[NO. Of Compressors]]</f>
        <v>4860</v>
      </c>
      <c r="AI117" s="927">
        <v>405</v>
      </c>
      <c r="AJ117" s="927">
        <v>0</v>
      </c>
      <c r="AK117" s="927">
        <f>Chiler_Price[[#This Row],[NO. of Cond. Fans]]*62*1.1*1.35</f>
        <v>552.42000000000007</v>
      </c>
      <c r="AL117" s="927">
        <f>450*1.35*Chiler_Price[[#This Row],[NO. Of Compressors]]</f>
        <v>3645</v>
      </c>
      <c r="AM117" s="927">
        <f>Chiler_Price[[#This Row],[NO. of Cond. Fans]]*62*1.1*1.35</f>
        <v>552.42000000000007</v>
      </c>
      <c r="AN117" s="927">
        <f t="shared" si="3"/>
        <v>1282.5</v>
      </c>
      <c r="AO117" s="927">
        <f t="shared" si="4"/>
        <v>1.3515999999999999</v>
      </c>
      <c r="AP117" s="927">
        <f t="shared" si="5"/>
        <v>2430</v>
      </c>
      <c r="AQ117" s="927">
        <f>560*1.35*Chiler_Price[[#This Row],[NO. Of Evap. Cooler ]]</f>
        <v>756</v>
      </c>
      <c r="AR117" s="927">
        <f>100*1.35*Chiler_Price[[#This Row],[NO. Of Evap. Cooler ]]</f>
        <v>135</v>
      </c>
      <c r="AS117" s="944">
        <v>286</v>
      </c>
      <c r="AT117" s="712"/>
      <c r="AU117" s="712"/>
      <c r="BC117" s="712"/>
      <c r="BD117" s="712"/>
      <c r="BE117" s="712"/>
      <c r="BF117" s="712"/>
      <c r="BG117" s="712"/>
      <c r="BI117" s="712"/>
    </row>
    <row r="118" spans="1:61" ht="12.75">
      <c r="A118" s="939" t="s">
        <v>2070</v>
      </c>
      <c r="B118" s="927" t="s">
        <v>1994</v>
      </c>
      <c r="C118" s="927" t="s">
        <v>1994</v>
      </c>
      <c r="D118" s="927">
        <v>0</v>
      </c>
      <c r="E118" s="927">
        <v>6</v>
      </c>
      <c r="F118" s="927">
        <v>205.8</v>
      </c>
      <c r="G118" s="927">
        <v>6</v>
      </c>
      <c r="H118" s="927">
        <v>1</v>
      </c>
      <c r="I118" s="927">
        <f>Chiler_Price[[#This Row],[NO. of Cond Coils]]</f>
        <v>6</v>
      </c>
      <c r="J118" s="927">
        <v>25</v>
      </c>
      <c r="K118" s="927">
        <v>3</v>
      </c>
      <c r="L118" s="927">
        <v>30</v>
      </c>
      <c r="M118" s="927">
        <v>3</v>
      </c>
      <c r="N118" s="938">
        <v>0</v>
      </c>
      <c r="O118" s="1534">
        <v>54197</v>
      </c>
      <c r="P118" s="1534">
        <v>48378</v>
      </c>
      <c r="Q118" s="928">
        <v>0</v>
      </c>
      <c r="R118" s="927">
        <f>125*1.35*Chiler_Price[[#This Row],[NO. of Cond Coils]]</f>
        <v>1012.5</v>
      </c>
      <c r="S118" s="929">
        <f>Chiler_Price[[#This Row],[Cond. Coils Area (FT)]]*4*Naming!$M$62</f>
        <v>18439.68</v>
      </c>
      <c r="T118" s="929">
        <f>5*Chiler_Price[[#This Row],[Cond. Coils Area (FT)]]</f>
        <v>1029</v>
      </c>
      <c r="U118" s="929">
        <f>7*Chiler_Price[[#This Row],[Cond. Coils Area (FT)]]</f>
        <v>1440.6000000000001</v>
      </c>
      <c r="V118" s="928">
        <f>Chiler_Price[[#This Row],[Cond. Coils Area (FT)]]*Naming!$I$93</f>
        <v>3910.2000000000003</v>
      </c>
      <c r="W118" s="930">
        <f>Chiler_Price[[#This Row],[Cond. Coils Area (FT)]]*Naming!$I$96</f>
        <v>5474.2800000000007</v>
      </c>
      <c r="X118" s="928">
        <f>1.5*Chiler_Price[[#This Row],[Cond. Coils Area (FT)]]</f>
        <v>308.70000000000005</v>
      </c>
      <c r="Y118" s="927">
        <f>1500*1.35*Chiler_Price[[#This Row],[NO. Of Compressors]]</f>
        <v>12150.000000000002</v>
      </c>
      <c r="Z118" s="927">
        <f>400*1.35*Chiler_Price[[#This Row],[NO. Of Compressors]]</f>
        <v>3240</v>
      </c>
      <c r="AA118" s="927">
        <f>650*1.35*Chiler_Price[[#This Row],[NO. Of Evap. Cooler ]]</f>
        <v>877.50000000000011</v>
      </c>
      <c r="AB118" s="927">
        <f>650*4*1.35*Chiler_Price[[#This Row],[NO. Of Evap. Cooler ]]</f>
        <v>3510.0000000000005</v>
      </c>
      <c r="AC118" s="927">
        <f>560*1.35*Chiler_Price[[#This Row],[NO. Of Evap. Cooler ]]</f>
        <v>756</v>
      </c>
      <c r="AD118" s="927">
        <v>0</v>
      </c>
      <c r="AE118" s="927">
        <f>700*1.35*Chiler_Price[[#This Row],[NO. Of Compressors]]</f>
        <v>5670.0000000000009</v>
      </c>
      <c r="AF118" s="927">
        <f>100*1.35*Chiler_Price[[#This Row],[NO. Of Compressors]]</f>
        <v>810</v>
      </c>
      <c r="AG118" s="927">
        <f>100*1.35*Chiler_Price[[#This Row],[NO. Of Compressors]]</f>
        <v>810</v>
      </c>
      <c r="AH118" s="927">
        <f>600*1.35*Chiler_Price[[#This Row],[NO. Of Compressors]]</f>
        <v>4860</v>
      </c>
      <c r="AI118" s="927">
        <v>405</v>
      </c>
      <c r="AJ118" s="927">
        <v>0</v>
      </c>
      <c r="AK118" s="927">
        <f>Chiler_Price[[#This Row],[NO. of Cond. Fans]]*62*1.1*1.35</f>
        <v>552.42000000000007</v>
      </c>
      <c r="AL118" s="927">
        <f>450*1.35*Chiler_Price[[#This Row],[NO. Of Compressors]]</f>
        <v>3645</v>
      </c>
      <c r="AM118" s="927">
        <f>Chiler_Price[[#This Row],[NO. of Cond. Fans]]*62*1.1*1.35</f>
        <v>552.42000000000007</v>
      </c>
      <c r="AN118" s="927">
        <f t="shared" si="3"/>
        <v>1282.5</v>
      </c>
      <c r="AO118" s="927">
        <f t="shared" si="4"/>
        <v>1.3515999999999999</v>
      </c>
      <c r="AP118" s="927">
        <f t="shared" si="5"/>
        <v>2430</v>
      </c>
      <c r="AQ118" s="927">
        <f>560*1.35*Chiler_Price[[#This Row],[NO. Of Evap. Cooler ]]</f>
        <v>756</v>
      </c>
      <c r="AR118" s="927">
        <f>100*1.35*Chiler_Price[[#This Row],[NO. Of Evap. Cooler ]]</f>
        <v>135</v>
      </c>
      <c r="AS118" s="944">
        <v>286</v>
      </c>
      <c r="AT118" s="712"/>
      <c r="AU118" s="712"/>
      <c r="BC118" s="712"/>
      <c r="BD118" s="712"/>
      <c r="BE118" s="712"/>
      <c r="BF118" s="712"/>
      <c r="BG118" s="712"/>
      <c r="BI118" s="712"/>
    </row>
    <row r="119" spans="1:61" ht="12.75">
      <c r="A119" s="939" t="s">
        <v>2071</v>
      </c>
      <c r="B119" s="927" t="s">
        <v>2072</v>
      </c>
      <c r="C119" s="927" t="s">
        <v>2072</v>
      </c>
      <c r="D119" s="927">
        <v>0</v>
      </c>
      <c r="E119" s="927">
        <v>8</v>
      </c>
      <c r="F119" s="927">
        <v>205.8</v>
      </c>
      <c r="G119" s="927">
        <v>6</v>
      </c>
      <c r="H119" s="927">
        <v>1</v>
      </c>
      <c r="I119" s="927">
        <f>Chiler_Price[[#This Row],[NO. of Cond Coils]]</f>
        <v>8</v>
      </c>
      <c r="J119" s="927">
        <v>30</v>
      </c>
      <c r="K119" s="927">
        <v>6</v>
      </c>
      <c r="L119" s="927"/>
      <c r="M119" s="927"/>
      <c r="N119" s="938">
        <v>0</v>
      </c>
      <c r="O119" s="1534">
        <v>58668</v>
      </c>
      <c r="P119" s="1534">
        <v>51806</v>
      </c>
      <c r="Q119" s="928">
        <v>0</v>
      </c>
      <c r="R119" s="927">
        <f>125*1.35*Chiler_Price[[#This Row],[NO. of Cond Coils]]</f>
        <v>1350</v>
      </c>
      <c r="S119" s="929">
        <f>Chiler_Price[[#This Row],[Cond. Coils Area (FT)]]*4*Naming!$M$62</f>
        <v>18439.68</v>
      </c>
      <c r="T119" s="929">
        <f>5*Chiler_Price[[#This Row],[Cond. Coils Area (FT)]]</f>
        <v>1029</v>
      </c>
      <c r="U119" s="929">
        <f>7*Chiler_Price[[#This Row],[Cond. Coils Area (FT)]]</f>
        <v>1440.6000000000001</v>
      </c>
      <c r="V119" s="928">
        <f>Chiler_Price[[#This Row],[Cond. Coils Area (FT)]]*Naming!$I$93</f>
        <v>3910.2000000000003</v>
      </c>
      <c r="W119" s="930">
        <f>Chiler_Price[[#This Row],[Cond. Coils Area (FT)]]*Naming!$I$96</f>
        <v>5474.2800000000007</v>
      </c>
      <c r="X119" s="928">
        <f>1.5*Chiler_Price[[#This Row],[Cond. Coils Area (FT)]]</f>
        <v>308.70000000000005</v>
      </c>
      <c r="Y119" s="927">
        <f>1500*1.35*Chiler_Price[[#This Row],[NO. Of Compressors]]</f>
        <v>12150.000000000002</v>
      </c>
      <c r="Z119" s="927">
        <f>400*1.35*Chiler_Price[[#This Row],[NO. Of Compressors]]</f>
        <v>3240</v>
      </c>
      <c r="AA119" s="927">
        <f>650*1.35*Chiler_Price[[#This Row],[NO. Of Evap. Cooler ]]</f>
        <v>877.50000000000011</v>
      </c>
      <c r="AB119" s="927">
        <f>650*4*1.35*Chiler_Price[[#This Row],[NO. Of Evap. Cooler ]]</f>
        <v>3510.0000000000005</v>
      </c>
      <c r="AC119" s="927">
        <f>560*1.35*Chiler_Price[[#This Row],[NO. Of Evap. Cooler ]]</f>
        <v>756</v>
      </c>
      <c r="AD119" s="927">
        <v>0</v>
      </c>
      <c r="AE119" s="927">
        <f>700*1.35*Chiler_Price[[#This Row],[NO. Of Compressors]]</f>
        <v>5670.0000000000009</v>
      </c>
      <c r="AF119" s="927">
        <f>100*1.35*Chiler_Price[[#This Row],[NO. Of Compressors]]</f>
        <v>810</v>
      </c>
      <c r="AG119" s="927">
        <f>100*1.35*Chiler_Price[[#This Row],[NO. Of Compressors]]</f>
        <v>810</v>
      </c>
      <c r="AH119" s="927">
        <f>600*1.35*Chiler_Price[[#This Row],[NO. Of Compressors]]</f>
        <v>4860</v>
      </c>
      <c r="AI119" s="927">
        <v>405</v>
      </c>
      <c r="AJ119" s="927">
        <v>0</v>
      </c>
      <c r="AK119" s="927">
        <f>Chiler_Price[[#This Row],[NO. of Cond. Fans]]*62*1.1*1.35</f>
        <v>736.56000000000006</v>
      </c>
      <c r="AL119" s="927">
        <f>450*1.35*Chiler_Price[[#This Row],[NO. Of Compressors]]</f>
        <v>3645</v>
      </c>
      <c r="AM119" s="927">
        <f>Chiler_Price[[#This Row],[NO. of Cond. Fans]]*62*1.1*1.35</f>
        <v>736.56000000000006</v>
      </c>
      <c r="AN119" s="927">
        <f t="shared" si="3"/>
        <v>1282.5</v>
      </c>
      <c r="AO119" s="927">
        <f t="shared" si="4"/>
        <v>1.3515999999999999</v>
      </c>
      <c r="AP119" s="927">
        <f t="shared" si="5"/>
        <v>2430</v>
      </c>
      <c r="AQ119" s="927">
        <f>560*1.35*Chiler_Price[[#This Row],[NO. Of Evap. Cooler ]]</f>
        <v>756</v>
      </c>
      <c r="AR119" s="927">
        <f>100*1.35*Chiler_Price[[#This Row],[NO. Of Evap. Cooler ]]</f>
        <v>135</v>
      </c>
      <c r="AS119" s="944">
        <v>286</v>
      </c>
      <c r="AT119" s="712"/>
      <c r="AU119" s="712"/>
      <c r="BC119" s="712"/>
      <c r="BD119" s="712"/>
      <c r="BE119" s="712"/>
      <c r="BF119" s="712"/>
      <c r="BG119" s="712"/>
      <c r="BI119" s="712"/>
    </row>
    <row r="120" spans="1:61" ht="12.75">
      <c r="A120" s="939" t="s">
        <v>2073</v>
      </c>
      <c r="B120" s="927" t="s">
        <v>2000</v>
      </c>
      <c r="C120" s="927" t="s">
        <v>2000</v>
      </c>
      <c r="D120" s="927">
        <v>0</v>
      </c>
      <c r="E120" s="927">
        <v>8</v>
      </c>
      <c r="F120" s="927">
        <v>274.39999999999998</v>
      </c>
      <c r="G120" s="927">
        <v>8</v>
      </c>
      <c r="H120" s="927">
        <v>1</v>
      </c>
      <c r="I120" s="927">
        <f>Chiler_Price[[#This Row],[NO. of Cond Coils]]</f>
        <v>8</v>
      </c>
      <c r="J120" s="927">
        <v>25</v>
      </c>
      <c r="K120" s="927">
        <v>6</v>
      </c>
      <c r="L120" s="927">
        <v>30</v>
      </c>
      <c r="M120" s="927">
        <v>2</v>
      </c>
      <c r="N120" s="938">
        <v>0</v>
      </c>
      <c r="O120" s="1534">
        <v>72934</v>
      </c>
      <c r="P120" s="1534">
        <v>63857</v>
      </c>
      <c r="Q120" s="928">
        <v>0</v>
      </c>
      <c r="R120" s="927">
        <f>125*1.35*Chiler_Price[[#This Row],[NO. of Cond Coils]]</f>
        <v>1350</v>
      </c>
      <c r="S120" s="929">
        <f>Chiler_Price[[#This Row],[Cond. Coils Area (FT)]]*4*Naming!$M$62</f>
        <v>24586.239999999998</v>
      </c>
      <c r="T120" s="929">
        <f>5*Chiler_Price[[#This Row],[Cond. Coils Area (FT)]]</f>
        <v>1372</v>
      </c>
      <c r="U120" s="929">
        <f>7*Chiler_Price[[#This Row],[Cond. Coils Area (FT)]]</f>
        <v>1920.7999999999997</v>
      </c>
      <c r="V120" s="928">
        <f>Chiler_Price[[#This Row],[Cond. Coils Area (FT)]]*Naming!$I$93</f>
        <v>5213.5999999999995</v>
      </c>
      <c r="W120" s="930">
        <f>Chiler_Price[[#This Row],[Cond. Coils Area (FT)]]*Naming!$I$96</f>
        <v>7299.04</v>
      </c>
      <c r="X120" s="928">
        <f>1.5*Chiler_Price[[#This Row],[Cond. Coils Area (FT)]]</f>
        <v>411.59999999999997</v>
      </c>
      <c r="Y120" s="927">
        <f>1500*1.35*Chiler_Price[[#This Row],[NO. Of Compressors]]</f>
        <v>16200.000000000002</v>
      </c>
      <c r="Z120" s="927">
        <f>400*1.35*Chiler_Price[[#This Row],[NO. Of Compressors]]</f>
        <v>4320</v>
      </c>
      <c r="AA120" s="927">
        <f>650*1.35*Chiler_Price[[#This Row],[NO. Of Evap. Cooler ]]</f>
        <v>877.50000000000011</v>
      </c>
      <c r="AB120" s="927">
        <f>650*4*1.35*Chiler_Price[[#This Row],[NO. Of Evap. Cooler ]]</f>
        <v>3510.0000000000005</v>
      </c>
      <c r="AC120" s="927">
        <f>560*1.35*Chiler_Price[[#This Row],[NO. Of Evap. Cooler ]]</f>
        <v>756</v>
      </c>
      <c r="AD120" s="927">
        <v>0</v>
      </c>
      <c r="AE120" s="927">
        <f>700*1.35*Chiler_Price[[#This Row],[NO. Of Compressors]]</f>
        <v>7560.0000000000009</v>
      </c>
      <c r="AF120" s="927">
        <f>100*1.35*Chiler_Price[[#This Row],[NO. Of Compressors]]</f>
        <v>1080</v>
      </c>
      <c r="AG120" s="927">
        <f>100*1.35*Chiler_Price[[#This Row],[NO. Of Compressors]]</f>
        <v>1080</v>
      </c>
      <c r="AH120" s="927">
        <f>600*1.35*Chiler_Price[[#This Row],[NO. Of Compressors]]</f>
        <v>6480</v>
      </c>
      <c r="AI120" s="927">
        <v>405</v>
      </c>
      <c r="AJ120" s="927">
        <v>0</v>
      </c>
      <c r="AK120" s="927">
        <f>Chiler_Price[[#This Row],[NO. of Cond. Fans]]*62*1.1*1.35</f>
        <v>736.56000000000006</v>
      </c>
      <c r="AL120" s="927">
        <f>450*1.35*Chiler_Price[[#This Row],[NO. Of Compressors]]</f>
        <v>4860</v>
      </c>
      <c r="AM120" s="927">
        <f>Chiler_Price[[#This Row],[NO. of Cond. Fans]]*62*1.1*1.35</f>
        <v>736.56000000000006</v>
      </c>
      <c r="AN120" s="927">
        <f t="shared" si="3"/>
        <v>1282.5</v>
      </c>
      <c r="AO120" s="927">
        <f t="shared" si="4"/>
        <v>1.3515999999999999</v>
      </c>
      <c r="AP120" s="927">
        <f t="shared" si="5"/>
        <v>2430</v>
      </c>
      <c r="AQ120" s="927">
        <f>560*1.35*Chiler_Price[[#This Row],[NO. Of Evap. Cooler ]]</f>
        <v>756</v>
      </c>
      <c r="AR120" s="927">
        <f>100*1.35*Chiler_Price[[#This Row],[NO. Of Evap. Cooler ]]</f>
        <v>135</v>
      </c>
      <c r="AS120" s="944">
        <v>286</v>
      </c>
      <c r="AT120" s="712"/>
      <c r="AU120" s="712"/>
      <c r="BC120" s="712"/>
      <c r="BD120" s="712"/>
      <c r="BE120" s="712"/>
      <c r="BF120" s="712"/>
      <c r="BG120" s="712"/>
      <c r="BI120" s="712"/>
    </row>
    <row r="121" spans="1:61" ht="12.75">
      <c r="A121" s="939" t="s">
        <v>2074</v>
      </c>
      <c r="B121" s="927" t="s">
        <v>2002</v>
      </c>
      <c r="C121" s="927" t="s">
        <v>2003</v>
      </c>
      <c r="D121" s="927">
        <v>0</v>
      </c>
      <c r="E121" s="927">
        <v>8</v>
      </c>
      <c r="F121" s="927">
        <v>274.39999999999998</v>
      </c>
      <c r="G121" s="927">
        <v>8</v>
      </c>
      <c r="H121" s="927">
        <v>1</v>
      </c>
      <c r="I121" s="927">
        <f>Chiler_Price[[#This Row],[NO. of Cond Coils]]</f>
        <v>8</v>
      </c>
      <c r="J121" s="927">
        <v>25</v>
      </c>
      <c r="K121" s="927">
        <v>4</v>
      </c>
      <c r="L121" s="927">
        <v>30</v>
      </c>
      <c r="M121" s="927">
        <v>4</v>
      </c>
      <c r="N121" s="938">
        <v>0</v>
      </c>
      <c r="O121" s="1534">
        <v>74353</v>
      </c>
      <c r="P121" s="1534">
        <v>65256</v>
      </c>
      <c r="Q121" s="928">
        <v>0</v>
      </c>
      <c r="R121" s="927">
        <f>125*1.35*Chiler_Price[[#This Row],[NO. of Cond Coils]]</f>
        <v>1350</v>
      </c>
      <c r="S121" s="929">
        <f>Chiler_Price[[#This Row],[Cond. Coils Area (FT)]]*4*Naming!$M$62</f>
        <v>24586.239999999998</v>
      </c>
      <c r="T121" s="929">
        <f>5*Chiler_Price[[#This Row],[Cond. Coils Area (FT)]]</f>
        <v>1372</v>
      </c>
      <c r="U121" s="929">
        <f>7*Chiler_Price[[#This Row],[Cond. Coils Area (FT)]]</f>
        <v>1920.7999999999997</v>
      </c>
      <c r="V121" s="928">
        <f>Chiler_Price[[#This Row],[Cond. Coils Area (FT)]]*Naming!$I$93</f>
        <v>5213.5999999999995</v>
      </c>
      <c r="W121" s="930">
        <f>Chiler_Price[[#This Row],[Cond. Coils Area (FT)]]*Naming!$I$96</f>
        <v>7299.04</v>
      </c>
      <c r="X121" s="928">
        <f>1.5*Chiler_Price[[#This Row],[Cond. Coils Area (FT)]]</f>
        <v>411.59999999999997</v>
      </c>
      <c r="Y121" s="927">
        <f>1500*1.35*Chiler_Price[[#This Row],[NO. Of Compressors]]</f>
        <v>16200.000000000002</v>
      </c>
      <c r="Z121" s="927">
        <f>400*1.35*Chiler_Price[[#This Row],[NO. Of Compressors]]</f>
        <v>4320</v>
      </c>
      <c r="AA121" s="927">
        <f>650*1.35*Chiler_Price[[#This Row],[NO. Of Evap. Cooler ]]</f>
        <v>877.50000000000011</v>
      </c>
      <c r="AB121" s="927">
        <f>650*4*1.35*Chiler_Price[[#This Row],[NO. Of Evap. Cooler ]]</f>
        <v>3510.0000000000005</v>
      </c>
      <c r="AC121" s="927">
        <f>560*1.35*Chiler_Price[[#This Row],[NO. Of Evap. Cooler ]]</f>
        <v>756</v>
      </c>
      <c r="AD121" s="927">
        <v>0</v>
      </c>
      <c r="AE121" s="927">
        <f>700*1.35*Chiler_Price[[#This Row],[NO. Of Compressors]]</f>
        <v>7560.0000000000009</v>
      </c>
      <c r="AF121" s="927">
        <f>100*1.35*Chiler_Price[[#This Row],[NO. Of Compressors]]</f>
        <v>1080</v>
      </c>
      <c r="AG121" s="927">
        <f>100*1.35*Chiler_Price[[#This Row],[NO. Of Compressors]]</f>
        <v>1080</v>
      </c>
      <c r="AH121" s="927">
        <f>600*1.35*Chiler_Price[[#This Row],[NO. Of Compressors]]</f>
        <v>6480</v>
      </c>
      <c r="AI121" s="927">
        <v>405</v>
      </c>
      <c r="AJ121" s="927">
        <v>0</v>
      </c>
      <c r="AK121" s="927">
        <f>Chiler_Price[[#This Row],[NO. of Cond. Fans]]*62*1.1*1.35</f>
        <v>736.56000000000006</v>
      </c>
      <c r="AL121" s="927">
        <f>450*1.35*Chiler_Price[[#This Row],[NO. Of Compressors]]</f>
        <v>4860</v>
      </c>
      <c r="AM121" s="927">
        <f>Chiler_Price[[#This Row],[NO. of Cond. Fans]]*62*1.1*1.35</f>
        <v>736.56000000000006</v>
      </c>
      <c r="AN121" s="927">
        <f t="shared" si="3"/>
        <v>1282.5</v>
      </c>
      <c r="AO121" s="927">
        <f t="shared" si="4"/>
        <v>1.3515999999999999</v>
      </c>
      <c r="AP121" s="927">
        <f t="shared" si="5"/>
        <v>2430</v>
      </c>
      <c r="AQ121" s="927">
        <f>560*1.35*Chiler_Price[[#This Row],[NO. Of Evap. Cooler ]]</f>
        <v>756</v>
      </c>
      <c r="AR121" s="927">
        <f>100*1.35*Chiler_Price[[#This Row],[NO. Of Evap. Cooler ]]</f>
        <v>135</v>
      </c>
      <c r="AS121" s="944">
        <v>286</v>
      </c>
      <c r="AT121" s="712"/>
      <c r="AU121" s="712"/>
      <c r="BC121" s="712"/>
      <c r="BD121" s="712"/>
      <c r="BE121" s="712"/>
      <c r="BF121" s="712"/>
      <c r="BG121" s="712"/>
      <c r="BI121" s="712"/>
    </row>
    <row r="122" spans="1:61" ht="12.75">
      <c r="A122" s="939" t="s">
        <v>2075</v>
      </c>
      <c r="B122" s="927" t="s">
        <v>2005</v>
      </c>
      <c r="C122" s="927" t="s">
        <v>2005</v>
      </c>
      <c r="D122" s="927">
        <v>0</v>
      </c>
      <c r="E122" s="927">
        <v>8</v>
      </c>
      <c r="F122" s="927">
        <v>274.39999999999998</v>
      </c>
      <c r="G122" s="927">
        <v>8</v>
      </c>
      <c r="H122" s="927">
        <v>1</v>
      </c>
      <c r="I122" s="927">
        <f>Chiler_Price[[#This Row],[NO. of Cond Coils]]</f>
        <v>8</v>
      </c>
      <c r="J122" s="927">
        <v>25</v>
      </c>
      <c r="K122" s="927">
        <v>2</v>
      </c>
      <c r="L122" s="927">
        <v>30</v>
      </c>
      <c r="M122" s="927">
        <v>6</v>
      </c>
      <c r="N122" s="938">
        <v>0</v>
      </c>
      <c r="O122" s="1534">
        <v>75772</v>
      </c>
      <c r="P122" s="1534">
        <v>66656</v>
      </c>
      <c r="Q122" s="928">
        <v>0</v>
      </c>
      <c r="R122" s="927">
        <f>125*1.35*Chiler_Price[[#This Row],[NO. of Cond Coils]]</f>
        <v>1350</v>
      </c>
      <c r="S122" s="929">
        <f>Chiler_Price[[#This Row],[Cond. Coils Area (FT)]]*4*Naming!$M$62</f>
        <v>24586.239999999998</v>
      </c>
      <c r="T122" s="929">
        <f>5*Chiler_Price[[#This Row],[Cond. Coils Area (FT)]]</f>
        <v>1372</v>
      </c>
      <c r="U122" s="929">
        <f>7*Chiler_Price[[#This Row],[Cond. Coils Area (FT)]]</f>
        <v>1920.7999999999997</v>
      </c>
      <c r="V122" s="928">
        <f>Chiler_Price[[#This Row],[Cond. Coils Area (FT)]]*Naming!$I$93</f>
        <v>5213.5999999999995</v>
      </c>
      <c r="W122" s="930">
        <f>Chiler_Price[[#This Row],[Cond. Coils Area (FT)]]*Naming!$I$96</f>
        <v>7299.04</v>
      </c>
      <c r="X122" s="928">
        <f>1.5*Chiler_Price[[#This Row],[Cond. Coils Area (FT)]]</f>
        <v>411.59999999999997</v>
      </c>
      <c r="Y122" s="927">
        <f>1500*1.35*Chiler_Price[[#This Row],[NO. Of Compressors]]</f>
        <v>16200.000000000002</v>
      </c>
      <c r="Z122" s="927">
        <f>400*1.35*Chiler_Price[[#This Row],[NO. Of Compressors]]</f>
        <v>4320</v>
      </c>
      <c r="AA122" s="927">
        <f>650*1.35*Chiler_Price[[#This Row],[NO. Of Evap. Cooler ]]</f>
        <v>877.50000000000011</v>
      </c>
      <c r="AB122" s="927">
        <f>650*4*1.35*Chiler_Price[[#This Row],[NO. Of Evap. Cooler ]]</f>
        <v>3510.0000000000005</v>
      </c>
      <c r="AC122" s="927">
        <f>560*1.35*Chiler_Price[[#This Row],[NO. Of Evap. Cooler ]]</f>
        <v>756</v>
      </c>
      <c r="AD122" s="927">
        <v>0</v>
      </c>
      <c r="AE122" s="927">
        <f>700*1.35*Chiler_Price[[#This Row],[NO. Of Compressors]]</f>
        <v>7560.0000000000009</v>
      </c>
      <c r="AF122" s="927">
        <f>100*1.35*Chiler_Price[[#This Row],[NO. Of Compressors]]</f>
        <v>1080</v>
      </c>
      <c r="AG122" s="927">
        <f>100*1.35*Chiler_Price[[#This Row],[NO. Of Compressors]]</f>
        <v>1080</v>
      </c>
      <c r="AH122" s="927">
        <f>600*1.35*Chiler_Price[[#This Row],[NO. Of Compressors]]</f>
        <v>6480</v>
      </c>
      <c r="AI122" s="927">
        <v>405</v>
      </c>
      <c r="AJ122" s="927">
        <v>0</v>
      </c>
      <c r="AK122" s="927">
        <f>Chiler_Price[[#This Row],[NO. of Cond. Fans]]*62*1.1*1.35</f>
        <v>736.56000000000006</v>
      </c>
      <c r="AL122" s="927">
        <f>450*1.35*Chiler_Price[[#This Row],[NO. Of Compressors]]</f>
        <v>4860</v>
      </c>
      <c r="AM122" s="927">
        <f>Chiler_Price[[#This Row],[NO. of Cond. Fans]]*62*1.1*1.35</f>
        <v>736.56000000000006</v>
      </c>
      <c r="AN122" s="927">
        <f t="shared" si="3"/>
        <v>1282.5</v>
      </c>
      <c r="AO122" s="927">
        <f t="shared" si="4"/>
        <v>1.3515999999999999</v>
      </c>
      <c r="AP122" s="927">
        <f t="shared" si="5"/>
        <v>2430</v>
      </c>
      <c r="AQ122" s="927">
        <f>560*1.35*Chiler_Price[[#This Row],[NO. Of Evap. Cooler ]]</f>
        <v>756</v>
      </c>
      <c r="AR122" s="927">
        <f>100*1.35*Chiler_Price[[#This Row],[NO. Of Evap. Cooler ]]</f>
        <v>135</v>
      </c>
      <c r="AS122" s="944">
        <v>286</v>
      </c>
      <c r="AT122" s="712"/>
      <c r="AU122" s="712"/>
      <c r="BC122" s="712"/>
      <c r="BD122" s="712"/>
      <c r="BE122" s="712"/>
      <c r="BF122" s="712"/>
      <c r="BG122" s="712"/>
      <c r="BI122" s="712"/>
    </row>
    <row r="123" spans="1:61" ht="12.75">
      <c r="A123" s="939" t="s">
        <v>2076</v>
      </c>
      <c r="B123" s="927" t="s">
        <v>2077</v>
      </c>
      <c r="C123" s="927" t="s">
        <v>2077</v>
      </c>
      <c r="D123" s="927">
        <v>0</v>
      </c>
      <c r="E123" s="927">
        <v>8</v>
      </c>
      <c r="F123" s="927">
        <v>274.39999999999998</v>
      </c>
      <c r="G123" s="927">
        <v>8</v>
      </c>
      <c r="H123" s="927">
        <v>1</v>
      </c>
      <c r="I123" s="927">
        <f>Chiler_Price[[#This Row],[NO. of Cond Coils]]</f>
        <v>8</v>
      </c>
      <c r="J123" s="927">
        <v>30</v>
      </c>
      <c r="K123" s="927">
        <v>8</v>
      </c>
      <c r="L123" s="927"/>
      <c r="M123" s="927"/>
      <c r="N123" s="938">
        <v>0</v>
      </c>
      <c r="O123" s="1534">
        <v>77191</v>
      </c>
      <c r="P123" s="1534">
        <v>68055</v>
      </c>
      <c r="Q123" s="928">
        <v>0</v>
      </c>
      <c r="R123" s="927">
        <f>125*1.35*Chiler_Price[[#This Row],[NO. of Cond Coils]]</f>
        <v>1350</v>
      </c>
      <c r="S123" s="929">
        <f>Chiler_Price[[#This Row],[Cond. Coils Area (FT)]]*4*Naming!$M$62</f>
        <v>24586.239999999998</v>
      </c>
      <c r="T123" s="929">
        <f>5*Chiler_Price[[#This Row],[Cond. Coils Area (FT)]]</f>
        <v>1372</v>
      </c>
      <c r="U123" s="929">
        <f>7*Chiler_Price[[#This Row],[Cond. Coils Area (FT)]]</f>
        <v>1920.7999999999997</v>
      </c>
      <c r="V123" s="928">
        <f>Chiler_Price[[#This Row],[Cond. Coils Area (FT)]]*Naming!$I$93</f>
        <v>5213.5999999999995</v>
      </c>
      <c r="W123" s="930">
        <f>Chiler_Price[[#This Row],[Cond. Coils Area (FT)]]*Naming!$I$96</f>
        <v>7299.04</v>
      </c>
      <c r="X123" s="928">
        <f>1.5*Chiler_Price[[#This Row],[Cond. Coils Area (FT)]]</f>
        <v>411.59999999999997</v>
      </c>
      <c r="Y123" s="927">
        <f>1500*1.35*Chiler_Price[[#This Row],[NO. Of Compressors]]</f>
        <v>16200.000000000002</v>
      </c>
      <c r="Z123" s="927">
        <f>400*1.35*Chiler_Price[[#This Row],[NO. Of Compressors]]</f>
        <v>4320</v>
      </c>
      <c r="AA123" s="927">
        <f>650*1.35*Chiler_Price[[#This Row],[NO. Of Evap. Cooler ]]</f>
        <v>877.50000000000011</v>
      </c>
      <c r="AB123" s="927">
        <f>650*4*1.35*Chiler_Price[[#This Row],[NO. Of Evap. Cooler ]]</f>
        <v>3510.0000000000005</v>
      </c>
      <c r="AC123" s="927">
        <f>560*1.35*Chiler_Price[[#This Row],[NO. Of Evap. Cooler ]]</f>
        <v>756</v>
      </c>
      <c r="AD123" s="927">
        <v>0</v>
      </c>
      <c r="AE123" s="927">
        <f>700*1.35*Chiler_Price[[#This Row],[NO. Of Compressors]]</f>
        <v>7560.0000000000009</v>
      </c>
      <c r="AF123" s="927">
        <f>100*1.35*Chiler_Price[[#This Row],[NO. Of Compressors]]</f>
        <v>1080</v>
      </c>
      <c r="AG123" s="927">
        <f>100*1.35*Chiler_Price[[#This Row],[NO. Of Compressors]]</f>
        <v>1080</v>
      </c>
      <c r="AH123" s="927">
        <f>600*1.35*Chiler_Price[[#This Row],[NO. Of Compressors]]</f>
        <v>6480</v>
      </c>
      <c r="AI123" s="927">
        <v>405</v>
      </c>
      <c r="AJ123" s="927">
        <v>0</v>
      </c>
      <c r="AK123" s="927">
        <f>Chiler_Price[[#This Row],[NO. of Cond. Fans]]*62*1.1*1.35</f>
        <v>736.56000000000006</v>
      </c>
      <c r="AL123" s="927">
        <f>450*1.35*Chiler_Price[[#This Row],[NO. Of Compressors]]</f>
        <v>4860</v>
      </c>
      <c r="AM123" s="927">
        <f>Chiler_Price[[#This Row],[NO. of Cond. Fans]]*62*1.1*1.35</f>
        <v>736.56000000000006</v>
      </c>
      <c r="AN123" s="927">
        <f t="shared" si="3"/>
        <v>1282.5</v>
      </c>
      <c r="AO123" s="927">
        <f t="shared" si="4"/>
        <v>1.3515999999999999</v>
      </c>
      <c r="AP123" s="927">
        <f t="shared" si="5"/>
        <v>2430</v>
      </c>
      <c r="AQ123" s="927">
        <f>560*1.35*Chiler_Price[[#This Row],[NO. Of Evap. Cooler ]]</f>
        <v>756</v>
      </c>
      <c r="AR123" s="927">
        <f>100*1.35*Chiler_Price[[#This Row],[NO. Of Evap. Cooler ]]</f>
        <v>135</v>
      </c>
      <c r="AS123" s="944">
        <v>286</v>
      </c>
      <c r="AT123" s="712"/>
      <c r="AU123" s="712"/>
      <c r="BC123" s="712"/>
      <c r="BD123" s="712"/>
      <c r="BE123" s="712"/>
      <c r="BF123" s="712"/>
      <c r="BG123" s="712"/>
      <c r="BI123" s="712"/>
    </row>
    <row r="124" spans="1:61" ht="12.75">
      <c r="A124" s="939" t="s">
        <v>2078</v>
      </c>
      <c r="B124" s="927" t="s">
        <v>2007</v>
      </c>
      <c r="C124" s="927" t="s">
        <v>2007</v>
      </c>
      <c r="D124" s="927">
        <v>0</v>
      </c>
      <c r="E124" s="927">
        <v>12</v>
      </c>
      <c r="F124" s="927">
        <v>411.7</v>
      </c>
      <c r="G124" s="927">
        <v>12</v>
      </c>
      <c r="H124" s="927">
        <v>2</v>
      </c>
      <c r="I124" s="927">
        <f>Chiler_Price[[#This Row],[NO. of Cond Coils]]</f>
        <v>12</v>
      </c>
      <c r="J124" s="927">
        <v>20</v>
      </c>
      <c r="K124" s="927">
        <v>8</v>
      </c>
      <c r="L124" s="927">
        <v>25</v>
      </c>
      <c r="M124" s="927">
        <v>4</v>
      </c>
      <c r="N124" s="938">
        <v>0</v>
      </c>
      <c r="O124" s="1534">
        <v>80697</v>
      </c>
      <c r="P124" s="1534">
        <v>71512</v>
      </c>
      <c r="Q124" s="928">
        <v>0</v>
      </c>
      <c r="R124" s="927">
        <f>125*1.35*Chiler_Price[[#This Row],[NO. of Cond Coils]]</f>
        <v>2025</v>
      </c>
      <c r="S124" s="929">
        <f>Chiler_Price[[#This Row],[Cond. Coils Area (FT)]]*4*Naming!$M$62</f>
        <v>36888.32</v>
      </c>
      <c r="T124" s="929">
        <f>5*Chiler_Price[[#This Row],[Cond. Coils Area (FT)]]</f>
        <v>2058.5</v>
      </c>
      <c r="U124" s="929">
        <f>7*Chiler_Price[[#This Row],[Cond. Coils Area (FT)]]</f>
        <v>2881.9</v>
      </c>
      <c r="V124" s="928">
        <f>Chiler_Price[[#This Row],[Cond. Coils Area (FT)]]*Naming!$I$93</f>
        <v>7822.3</v>
      </c>
      <c r="W124" s="930">
        <f>Chiler_Price[[#This Row],[Cond. Coils Area (FT)]]*Naming!$I$96</f>
        <v>10951.220000000001</v>
      </c>
      <c r="X124" s="928">
        <f>1.5*Chiler_Price[[#This Row],[Cond. Coils Area (FT)]]</f>
        <v>617.54999999999995</v>
      </c>
      <c r="Y124" s="927">
        <f>1500*1.35*Chiler_Price[[#This Row],[NO. Of Compressors]]</f>
        <v>24300.000000000004</v>
      </c>
      <c r="Z124" s="927">
        <f>400*1.35*Chiler_Price[[#This Row],[NO. Of Compressors]]</f>
        <v>6480</v>
      </c>
      <c r="AA124" s="927">
        <f>650*1.35*Chiler_Price[[#This Row],[NO. Of Evap. Cooler ]]</f>
        <v>1755.0000000000002</v>
      </c>
      <c r="AB124" s="927">
        <f>650*4*1.35*Chiler_Price[[#This Row],[NO. Of Evap. Cooler ]]</f>
        <v>7020.0000000000009</v>
      </c>
      <c r="AC124" s="927">
        <f>560*1.35*Chiler_Price[[#This Row],[NO. Of Evap. Cooler ]]</f>
        <v>1512</v>
      </c>
      <c r="AD124" s="927">
        <v>0</v>
      </c>
      <c r="AE124" s="927">
        <f>700*1.35*Chiler_Price[[#This Row],[NO. Of Compressors]]</f>
        <v>11340.000000000002</v>
      </c>
      <c r="AF124" s="927">
        <f>100*1.35*Chiler_Price[[#This Row],[NO. Of Compressors]]</f>
        <v>1620</v>
      </c>
      <c r="AG124" s="927">
        <f>100*1.35*Chiler_Price[[#This Row],[NO. Of Compressors]]</f>
        <v>1620</v>
      </c>
      <c r="AH124" s="927">
        <f>600*1.35*Chiler_Price[[#This Row],[NO. Of Compressors]]</f>
        <v>9720</v>
      </c>
      <c r="AI124" s="927">
        <v>405</v>
      </c>
      <c r="AJ124" s="927">
        <v>0</v>
      </c>
      <c r="AK124" s="927">
        <f>Chiler_Price[[#This Row],[NO. of Cond. Fans]]*62*1.1*1.35</f>
        <v>1104.8400000000001</v>
      </c>
      <c r="AL124" s="927">
        <f>450*1.35*Chiler_Price[[#This Row],[NO. Of Compressors]]</f>
        <v>7290</v>
      </c>
      <c r="AM124" s="927">
        <f>Chiler_Price[[#This Row],[NO. of Cond. Fans]]*62*1.1*1.35</f>
        <v>1104.8400000000001</v>
      </c>
      <c r="AN124" s="927">
        <f t="shared" si="3"/>
        <v>1282.5</v>
      </c>
      <c r="AO124" s="927">
        <f t="shared" si="4"/>
        <v>1.3515999999999999</v>
      </c>
      <c r="AP124" s="927">
        <f t="shared" si="5"/>
        <v>2430</v>
      </c>
      <c r="AQ124" s="927">
        <f>560*1.35*Chiler_Price[[#This Row],[NO. Of Evap. Cooler ]]</f>
        <v>1512</v>
      </c>
      <c r="AR124" s="927">
        <f>100*1.35*Chiler_Price[[#This Row],[NO. Of Evap. Cooler ]]</f>
        <v>270</v>
      </c>
      <c r="AS124" s="944">
        <v>286</v>
      </c>
      <c r="AT124" s="712"/>
      <c r="AU124" s="712"/>
      <c r="BC124" s="712"/>
      <c r="BD124" s="712"/>
      <c r="BE124" s="712"/>
      <c r="BF124" s="712"/>
      <c r="BG124" s="712"/>
      <c r="BI124" s="712"/>
    </row>
    <row r="125" spans="1:61" ht="12.75">
      <c r="A125" s="939" t="s">
        <v>2079</v>
      </c>
      <c r="B125" s="927" t="s">
        <v>2013</v>
      </c>
      <c r="C125" s="927" t="s">
        <v>2013</v>
      </c>
      <c r="D125" s="927">
        <v>0</v>
      </c>
      <c r="E125" s="927">
        <v>12</v>
      </c>
      <c r="F125" s="927">
        <v>411.7</v>
      </c>
      <c r="G125" s="927">
        <v>12</v>
      </c>
      <c r="H125" s="927">
        <v>2</v>
      </c>
      <c r="I125" s="927">
        <f>Chiler_Price[[#This Row],[NO. of Cond Coils]]</f>
        <v>12</v>
      </c>
      <c r="J125" s="927">
        <v>25</v>
      </c>
      <c r="K125" s="927">
        <v>8</v>
      </c>
      <c r="L125" s="927">
        <v>30</v>
      </c>
      <c r="M125" s="927">
        <v>4</v>
      </c>
      <c r="N125" s="938">
        <v>0</v>
      </c>
      <c r="O125" s="1534">
        <v>91242</v>
      </c>
      <c r="P125" s="1534">
        <v>80876</v>
      </c>
      <c r="Q125" s="928">
        <v>0</v>
      </c>
      <c r="R125" s="927">
        <f>125*1.35*Chiler_Price[[#This Row],[NO. of Cond Coils]]</f>
        <v>2025</v>
      </c>
      <c r="S125" s="929">
        <f>Chiler_Price[[#This Row],[Cond. Coils Area (FT)]]*4*Naming!$M$62</f>
        <v>36888.32</v>
      </c>
      <c r="T125" s="929">
        <f>5*Chiler_Price[[#This Row],[Cond. Coils Area (FT)]]</f>
        <v>2058.5</v>
      </c>
      <c r="U125" s="929">
        <f>7*Chiler_Price[[#This Row],[Cond. Coils Area (FT)]]</f>
        <v>2881.9</v>
      </c>
      <c r="V125" s="928">
        <f>Chiler_Price[[#This Row],[Cond. Coils Area (FT)]]*Naming!$I$93</f>
        <v>7822.3</v>
      </c>
      <c r="W125" s="930">
        <f>Chiler_Price[[#This Row],[Cond. Coils Area (FT)]]*Naming!$I$96</f>
        <v>10951.220000000001</v>
      </c>
      <c r="X125" s="928">
        <f>1.5*Chiler_Price[[#This Row],[Cond. Coils Area (FT)]]</f>
        <v>617.54999999999995</v>
      </c>
      <c r="Y125" s="927">
        <f>1500*1.35*Chiler_Price[[#This Row],[NO. Of Compressors]]</f>
        <v>24300.000000000004</v>
      </c>
      <c r="Z125" s="927">
        <f>400*1.35*Chiler_Price[[#This Row],[NO. Of Compressors]]</f>
        <v>6480</v>
      </c>
      <c r="AA125" s="927">
        <f>650*1.35*Chiler_Price[[#This Row],[NO. Of Evap. Cooler ]]</f>
        <v>1755.0000000000002</v>
      </c>
      <c r="AB125" s="927">
        <f>650*4*1.35*Chiler_Price[[#This Row],[NO. Of Evap. Cooler ]]</f>
        <v>7020.0000000000009</v>
      </c>
      <c r="AC125" s="927">
        <f>560*1.35*Chiler_Price[[#This Row],[NO. Of Evap. Cooler ]]</f>
        <v>1512</v>
      </c>
      <c r="AD125" s="927">
        <v>0</v>
      </c>
      <c r="AE125" s="927">
        <f>700*1.35*Chiler_Price[[#This Row],[NO. Of Compressors]]</f>
        <v>11340.000000000002</v>
      </c>
      <c r="AF125" s="927">
        <f>100*1.35*Chiler_Price[[#This Row],[NO. Of Compressors]]</f>
        <v>1620</v>
      </c>
      <c r="AG125" s="927">
        <f>100*1.35*Chiler_Price[[#This Row],[NO. Of Compressors]]</f>
        <v>1620</v>
      </c>
      <c r="AH125" s="927">
        <f>600*1.35*Chiler_Price[[#This Row],[NO. Of Compressors]]</f>
        <v>9720</v>
      </c>
      <c r="AI125" s="927">
        <v>405</v>
      </c>
      <c r="AJ125" s="927">
        <v>0</v>
      </c>
      <c r="AK125" s="927">
        <f>Chiler_Price[[#This Row],[NO. of Cond. Fans]]*62*1.1*1.35</f>
        <v>1104.8400000000001</v>
      </c>
      <c r="AL125" s="927">
        <f>450*1.35*Chiler_Price[[#This Row],[NO. Of Compressors]]</f>
        <v>7290</v>
      </c>
      <c r="AM125" s="927">
        <f>Chiler_Price[[#This Row],[NO. of Cond. Fans]]*62*1.1*1.35</f>
        <v>1104.8400000000001</v>
      </c>
      <c r="AN125" s="927">
        <f t="shared" si="3"/>
        <v>1282.5</v>
      </c>
      <c r="AO125" s="927">
        <f t="shared" si="4"/>
        <v>1.3515999999999999</v>
      </c>
      <c r="AP125" s="927">
        <f t="shared" si="5"/>
        <v>2430</v>
      </c>
      <c r="AQ125" s="927">
        <f>560*1.35*Chiler_Price[[#This Row],[NO. Of Evap. Cooler ]]</f>
        <v>1512</v>
      </c>
      <c r="AR125" s="927">
        <f>100*1.35*Chiler_Price[[#This Row],[NO. Of Evap. Cooler ]]</f>
        <v>270</v>
      </c>
      <c r="AS125" s="944">
        <v>286</v>
      </c>
      <c r="AT125" s="712"/>
      <c r="AU125" s="712"/>
      <c r="BC125" s="712"/>
      <c r="BD125" s="712"/>
      <c r="BE125" s="712"/>
      <c r="BF125" s="712"/>
      <c r="BG125" s="712"/>
      <c r="BI125" s="712"/>
    </row>
    <row r="126" spans="1:61" ht="12.75">
      <c r="A126" s="939" t="s">
        <v>2080</v>
      </c>
      <c r="B126" s="927" t="s">
        <v>2015</v>
      </c>
      <c r="C126" s="927" t="s">
        <v>2015</v>
      </c>
      <c r="D126" s="927">
        <v>0</v>
      </c>
      <c r="E126" s="927">
        <v>12</v>
      </c>
      <c r="F126" s="927">
        <v>411.7</v>
      </c>
      <c r="G126" s="927">
        <v>12</v>
      </c>
      <c r="H126" s="927">
        <v>2</v>
      </c>
      <c r="I126" s="927">
        <f>Chiler_Price[[#This Row],[NO. of Cond Coils]]</f>
        <v>12</v>
      </c>
      <c r="J126" s="927">
        <v>25</v>
      </c>
      <c r="K126" s="927">
        <v>4</v>
      </c>
      <c r="L126" s="927">
        <v>30</v>
      </c>
      <c r="M126" s="927">
        <v>8</v>
      </c>
      <c r="N126" s="938">
        <v>0</v>
      </c>
      <c r="O126" s="1534">
        <v>107841</v>
      </c>
      <c r="P126" s="1534">
        <v>96211</v>
      </c>
      <c r="Q126" s="928">
        <v>0</v>
      </c>
      <c r="R126" s="927">
        <f>125*1.35*Chiler_Price[[#This Row],[NO. of Cond Coils]]</f>
        <v>2025</v>
      </c>
      <c r="S126" s="929">
        <f>Chiler_Price[[#This Row],[Cond. Coils Area (FT)]]*4*Naming!$M$62</f>
        <v>36888.32</v>
      </c>
      <c r="T126" s="929">
        <f>5*Chiler_Price[[#This Row],[Cond. Coils Area (FT)]]</f>
        <v>2058.5</v>
      </c>
      <c r="U126" s="929">
        <f>7*Chiler_Price[[#This Row],[Cond. Coils Area (FT)]]</f>
        <v>2881.9</v>
      </c>
      <c r="V126" s="928">
        <f>Chiler_Price[[#This Row],[Cond. Coils Area (FT)]]*Naming!$I$93</f>
        <v>7822.3</v>
      </c>
      <c r="W126" s="930">
        <f>Chiler_Price[[#This Row],[Cond. Coils Area (FT)]]*Naming!$I$96</f>
        <v>10951.220000000001</v>
      </c>
      <c r="X126" s="928">
        <f>1.5*Chiler_Price[[#This Row],[Cond. Coils Area (FT)]]</f>
        <v>617.54999999999995</v>
      </c>
      <c r="Y126" s="927">
        <f>1500*1.35*Chiler_Price[[#This Row],[NO. Of Compressors]]</f>
        <v>24300.000000000004</v>
      </c>
      <c r="Z126" s="927">
        <f>400*1.35*Chiler_Price[[#This Row],[NO. Of Compressors]]</f>
        <v>6480</v>
      </c>
      <c r="AA126" s="927">
        <f>650*1.35*Chiler_Price[[#This Row],[NO. Of Evap. Cooler ]]</f>
        <v>1755.0000000000002</v>
      </c>
      <c r="AB126" s="927">
        <f>650*4*1.35*Chiler_Price[[#This Row],[NO. Of Evap. Cooler ]]</f>
        <v>7020.0000000000009</v>
      </c>
      <c r="AC126" s="927">
        <f>560*1.35*Chiler_Price[[#This Row],[NO. Of Evap. Cooler ]]</f>
        <v>1512</v>
      </c>
      <c r="AD126" s="927">
        <v>0</v>
      </c>
      <c r="AE126" s="927">
        <f>700*1.35*Chiler_Price[[#This Row],[NO. Of Compressors]]</f>
        <v>11340.000000000002</v>
      </c>
      <c r="AF126" s="927">
        <f>100*1.35*Chiler_Price[[#This Row],[NO. Of Compressors]]</f>
        <v>1620</v>
      </c>
      <c r="AG126" s="927">
        <f>100*1.35*Chiler_Price[[#This Row],[NO. Of Compressors]]</f>
        <v>1620</v>
      </c>
      <c r="AH126" s="927">
        <f>600*1.35*Chiler_Price[[#This Row],[NO. Of Compressors]]</f>
        <v>9720</v>
      </c>
      <c r="AI126" s="927">
        <v>405</v>
      </c>
      <c r="AJ126" s="927">
        <v>0</v>
      </c>
      <c r="AK126" s="927">
        <f>Chiler_Price[[#This Row],[NO. of Cond. Fans]]*62*1.1*1.35</f>
        <v>1104.8400000000001</v>
      </c>
      <c r="AL126" s="927">
        <f>450*1.35*Chiler_Price[[#This Row],[NO. Of Compressors]]</f>
        <v>7290</v>
      </c>
      <c r="AM126" s="927">
        <f>Chiler_Price[[#This Row],[NO. of Cond. Fans]]*62*1.1*1.35</f>
        <v>1104.8400000000001</v>
      </c>
      <c r="AN126" s="927">
        <f t="shared" si="3"/>
        <v>1282.5</v>
      </c>
      <c r="AO126" s="927">
        <f t="shared" si="4"/>
        <v>1.3515999999999999</v>
      </c>
      <c r="AP126" s="927">
        <f t="shared" si="5"/>
        <v>2430</v>
      </c>
      <c r="AQ126" s="927">
        <f>560*1.35*Chiler_Price[[#This Row],[NO. Of Evap. Cooler ]]</f>
        <v>1512</v>
      </c>
      <c r="AR126" s="927">
        <f>100*1.35*Chiler_Price[[#This Row],[NO. Of Evap. Cooler ]]</f>
        <v>270</v>
      </c>
      <c r="AS126" s="944">
        <v>286</v>
      </c>
      <c r="AT126" s="712"/>
      <c r="AU126" s="712"/>
      <c r="BC126" s="712"/>
      <c r="BD126" s="712"/>
      <c r="BE126" s="712"/>
      <c r="BF126" s="712"/>
      <c r="BG126" s="712"/>
      <c r="BI126" s="712"/>
    </row>
    <row r="127" spans="1:61" ht="12.75">
      <c r="A127" s="939" t="s">
        <v>2081</v>
      </c>
      <c r="B127" s="927" t="s">
        <v>2028</v>
      </c>
      <c r="C127" s="927" t="s">
        <v>2028</v>
      </c>
      <c r="D127" s="927">
        <v>0</v>
      </c>
      <c r="E127" s="927">
        <v>1</v>
      </c>
      <c r="F127" s="927">
        <v>7</v>
      </c>
      <c r="G127" s="927">
        <v>1</v>
      </c>
      <c r="H127" s="927">
        <v>1</v>
      </c>
      <c r="I127" s="927">
        <f>Chiler_Price[[#This Row],[NO. of Cond Coils]]</f>
        <v>1</v>
      </c>
      <c r="J127" s="927">
        <v>5.58</v>
      </c>
      <c r="K127" s="927">
        <v>1</v>
      </c>
      <c r="L127" s="927"/>
      <c r="M127" s="927"/>
      <c r="N127" s="938">
        <v>0</v>
      </c>
      <c r="O127" s="941">
        <v>3804.9</v>
      </c>
      <c r="P127" s="928"/>
      <c r="Q127" s="928">
        <v>0</v>
      </c>
      <c r="R127" s="927">
        <f>125*1.35*Chiler_Price[[#This Row],[NO. of Cond Coils]]</f>
        <v>168.75</v>
      </c>
      <c r="S127" s="929">
        <f>Chiler_Price[[#This Row],[Cond. Coils Area (FT)]]*4*Naming!$M$62</f>
        <v>627.19999999999993</v>
      </c>
      <c r="T127" s="929">
        <f>5*Chiler_Price[[#This Row],[Cond. Coils Area (FT)]]</f>
        <v>35</v>
      </c>
      <c r="U127" s="929">
        <f>7*Chiler_Price[[#This Row],[Cond. Coils Area (FT)]]</f>
        <v>49</v>
      </c>
      <c r="V127" s="928">
        <f>Chiler_Price[[#This Row],[Cond. Coils Area (FT)]]*Naming!$I$93</f>
        <v>133</v>
      </c>
      <c r="W127" s="930">
        <f>Chiler_Price[[#This Row],[Cond. Coils Area (FT)]]*Naming!$I$96</f>
        <v>186.20000000000002</v>
      </c>
      <c r="X127" s="928">
        <f>1.5*Chiler_Price[[#This Row],[Cond. Coils Area (FT)]]</f>
        <v>10.5</v>
      </c>
      <c r="Y127" s="927">
        <f>1500*1.35*Chiler_Price[[#This Row],[NO. Of Compressors]]</f>
        <v>2025.0000000000002</v>
      </c>
      <c r="Z127" s="927">
        <f>400*1.35*Chiler_Price[[#This Row],[NO. Of Compressors]]</f>
        <v>540</v>
      </c>
      <c r="AA127" s="927">
        <f>650*1.35*Chiler_Price[[#This Row],[NO. Of Evap. Cooler ]]</f>
        <v>877.50000000000011</v>
      </c>
      <c r="AB127" s="927">
        <f>650*4*1.35*Chiler_Price[[#This Row],[NO. Of Evap. Cooler ]]</f>
        <v>3510.0000000000005</v>
      </c>
      <c r="AC127" s="927">
        <f>560*1.35*Chiler_Price[[#This Row],[NO. Of Evap. Cooler ]]</f>
        <v>756</v>
      </c>
      <c r="AD127" s="927">
        <v>0</v>
      </c>
      <c r="AE127" s="927">
        <f>700*1.35*Chiler_Price[[#This Row],[NO. Of Compressors]]</f>
        <v>945.00000000000011</v>
      </c>
      <c r="AF127" s="927">
        <f>100*1.35*Chiler_Price[[#This Row],[NO. Of Compressors]]</f>
        <v>135</v>
      </c>
      <c r="AG127" s="927">
        <f>100*1.35*Chiler_Price[[#This Row],[NO. Of Compressors]]</f>
        <v>135</v>
      </c>
      <c r="AH127" s="927">
        <f>600*1.35*Chiler_Price[[#This Row],[NO. Of Compressors]]</f>
        <v>810</v>
      </c>
      <c r="AI127" s="927">
        <v>405</v>
      </c>
      <c r="AJ127" s="927">
        <v>0</v>
      </c>
      <c r="AK127" s="927">
        <f>Chiler_Price[[#This Row],[NO. of Cond. Fans]]*62*1.1*1.35</f>
        <v>92.070000000000007</v>
      </c>
      <c r="AL127" s="927">
        <f>450*1.35*Chiler_Price[[#This Row],[NO. Of Compressors]]</f>
        <v>607.5</v>
      </c>
      <c r="AM127" s="927">
        <f>Chiler_Price[[#This Row],[NO. of Cond. Fans]]*62*1.1*1.35</f>
        <v>92.070000000000007</v>
      </c>
      <c r="AN127" s="927">
        <f t="shared" ref="AN127:AN141" si="6">1.35*950</f>
        <v>1282.5</v>
      </c>
      <c r="AO127" s="927">
        <f t="shared" ref="AO127:AO141" si="7">1.3516</f>
        <v>1.3515999999999999</v>
      </c>
      <c r="AP127" s="927">
        <f t="shared" ref="AP127:AP141" si="8">1.35*1800</f>
        <v>2430</v>
      </c>
      <c r="AQ127" s="927">
        <f>560*1.35*Chiler_Price[[#This Row],[NO. Of Evap. Cooler ]]</f>
        <v>756</v>
      </c>
      <c r="AR127" s="927">
        <f>100*1.35*Chiler_Price[[#This Row],[NO. Of Evap. Cooler ]]</f>
        <v>135</v>
      </c>
      <c r="AS127" s="944">
        <v>286</v>
      </c>
      <c r="AT127" s="712"/>
      <c r="AU127" s="712"/>
      <c r="BC127" s="712"/>
      <c r="BD127" s="712"/>
      <c r="BE127" s="712"/>
      <c r="BF127" s="712"/>
      <c r="BG127" s="712"/>
      <c r="BI127" s="712"/>
    </row>
    <row r="128" spans="1:61" ht="12.75">
      <c r="A128" s="939" t="s">
        <v>2082</v>
      </c>
      <c r="B128" s="927" t="s">
        <v>2030</v>
      </c>
      <c r="C128" s="927" t="s">
        <v>2030</v>
      </c>
      <c r="D128" s="927">
        <v>0</v>
      </c>
      <c r="E128" s="927">
        <v>1</v>
      </c>
      <c r="F128" s="927">
        <v>8.4</v>
      </c>
      <c r="G128" s="927">
        <v>1</v>
      </c>
      <c r="H128" s="927">
        <v>1</v>
      </c>
      <c r="I128" s="927">
        <f>Chiler_Price[[#This Row],[NO. of Cond Coils]]</f>
        <v>1</v>
      </c>
      <c r="J128" s="927">
        <v>8</v>
      </c>
      <c r="K128" s="927">
        <v>1</v>
      </c>
      <c r="L128" s="927"/>
      <c r="M128" s="927"/>
      <c r="N128" s="938">
        <v>0</v>
      </c>
      <c r="O128" s="941">
        <v>4160.2000000000007</v>
      </c>
      <c r="P128" s="928"/>
      <c r="Q128" s="928">
        <v>0</v>
      </c>
      <c r="R128" s="927">
        <f>125*1.35*Chiler_Price[[#This Row],[NO. of Cond Coils]]</f>
        <v>168.75</v>
      </c>
      <c r="S128" s="929">
        <f>Chiler_Price[[#This Row],[Cond. Coils Area (FT)]]*4*Naming!$M$62</f>
        <v>752.64</v>
      </c>
      <c r="T128" s="929">
        <f>5*Chiler_Price[[#This Row],[Cond. Coils Area (FT)]]</f>
        <v>42</v>
      </c>
      <c r="U128" s="929">
        <f>7*Chiler_Price[[#This Row],[Cond. Coils Area (FT)]]</f>
        <v>58.800000000000004</v>
      </c>
      <c r="V128" s="928">
        <f>Chiler_Price[[#This Row],[Cond. Coils Area (FT)]]*Naming!$I$93</f>
        <v>159.6</v>
      </c>
      <c r="W128" s="930">
        <f>Chiler_Price[[#This Row],[Cond. Coils Area (FT)]]*Naming!$I$96</f>
        <v>223.44000000000003</v>
      </c>
      <c r="X128" s="928">
        <f>1.5*Chiler_Price[[#This Row],[Cond. Coils Area (FT)]]</f>
        <v>12.600000000000001</v>
      </c>
      <c r="Y128" s="927">
        <f>1500*1.35*Chiler_Price[[#This Row],[NO. Of Compressors]]</f>
        <v>2025.0000000000002</v>
      </c>
      <c r="Z128" s="927">
        <f>400*1.35*Chiler_Price[[#This Row],[NO. Of Compressors]]</f>
        <v>540</v>
      </c>
      <c r="AA128" s="927">
        <f>650*1.35*Chiler_Price[[#This Row],[NO. Of Evap. Cooler ]]</f>
        <v>877.50000000000011</v>
      </c>
      <c r="AB128" s="927">
        <f>650*4*1.35*Chiler_Price[[#This Row],[NO. Of Evap. Cooler ]]</f>
        <v>3510.0000000000005</v>
      </c>
      <c r="AC128" s="927">
        <f>560*1.35*Chiler_Price[[#This Row],[NO. Of Evap. Cooler ]]</f>
        <v>756</v>
      </c>
      <c r="AD128" s="927">
        <v>0</v>
      </c>
      <c r="AE128" s="927">
        <f>700*1.35*Chiler_Price[[#This Row],[NO. Of Compressors]]</f>
        <v>945.00000000000011</v>
      </c>
      <c r="AF128" s="927">
        <f>100*1.35*Chiler_Price[[#This Row],[NO. Of Compressors]]</f>
        <v>135</v>
      </c>
      <c r="AG128" s="927">
        <f>100*1.35*Chiler_Price[[#This Row],[NO. Of Compressors]]</f>
        <v>135</v>
      </c>
      <c r="AH128" s="927">
        <f>600*1.35*Chiler_Price[[#This Row],[NO. Of Compressors]]</f>
        <v>810</v>
      </c>
      <c r="AI128" s="927">
        <v>405</v>
      </c>
      <c r="AJ128" s="927">
        <v>0</v>
      </c>
      <c r="AK128" s="927">
        <f>Chiler_Price[[#This Row],[NO. of Cond. Fans]]*62*1.1*1.35</f>
        <v>92.070000000000007</v>
      </c>
      <c r="AL128" s="927">
        <f>450*1.35*Chiler_Price[[#This Row],[NO. Of Compressors]]</f>
        <v>607.5</v>
      </c>
      <c r="AM128" s="927">
        <f>Chiler_Price[[#This Row],[NO. of Cond. Fans]]*62*1.1*1.35</f>
        <v>92.070000000000007</v>
      </c>
      <c r="AN128" s="927">
        <f t="shared" si="6"/>
        <v>1282.5</v>
      </c>
      <c r="AO128" s="927">
        <f t="shared" si="7"/>
        <v>1.3515999999999999</v>
      </c>
      <c r="AP128" s="927">
        <f t="shared" si="8"/>
        <v>2430</v>
      </c>
      <c r="AQ128" s="927">
        <f>560*1.35*Chiler_Price[[#This Row],[NO. Of Evap. Cooler ]]</f>
        <v>756</v>
      </c>
      <c r="AR128" s="927">
        <f>100*1.35*Chiler_Price[[#This Row],[NO. Of Evap. Cooler ]]</f>
        <v>135</v>
      </c>
      <c r="AS128" s="944">
        <v>286</v>
      </c>
      <c r="AT128" s="712"/>
      <c r="AU128" s="712"/>
      <c r="BC128" s="712"/>
      <c r="BD128" s="712"/>
      <c r="BE128" s="712"/>
      <c r="BF128" s="712"/>
      <c r="BG128" s="712"/>
      <c r="BI128" s="712"/>
    </row>
    <row r="129" spans="1:61" ht="12.75">
      <c r="A129" s="939" t="s">
        <v>2083</v>
      </c>
      <c r="B129" s="927" t="s">
        <v>2032</v>
      </c>
      <c r="C129" s="927" t="s">
        <v>2032</v>
      </c>
      <c r="D129" s="927">
        <v>0</v>
      </c>
      <c r="E129" s="927">
        <v>1</v>
      </c>
      <c r="F129" s="927">
        <v>14.3</v>
      </c>
      <c r="G129" s="927">
        <v>1</v>
      </c>
      <c r="H129" s="927">
        <v>1</v>
      </c>
      <c r="I129" s="927">
        <f>Chiler_Price[[#This Row],[NO. of Cond Coils]]</f>
        <v>1</v>
      </c>
      <c r="J129" s="927">
        <v>10</v>
      </c>
      <c r="K129" s="927">
        <v>1</v>
      </c>
      <c r="L129" s="927"/>
      <c r="M129" s="927"/>
      <c r="N129" s="938">
        <v>0</v>
      </c>
      <c r="O129" s="941">
        <v>5122.7000000000007</v>
      </c>
      <c r="P129" s="928"/>
      <c r="Q129" s="928">
        <v>0</v>
      </c>
      <c r="R129" s="927">
        <f>125*1.35*Chiler_Price[[#This Row],[NO. of Cond Coils]]</f>
        <v>168.75</v>
      </c>
      <c r="S129" s="929">
        <f>Chiler_Price[[#This Row],[Cond. Coils Area (FT)]]*4*Naming!$M$62</f>
        <v>1281.28</v>
      </c>
      <c r="T129" s="929">
        <f>5*Chiler_Price[[#This Row],[Cond. Coils Area (FT)]]</f>
        <v>71.5</v>
      </c>
      <c r="U129" s="929">
        <f>7*Chiler_Price[[#This Row],[Cond. Coils Area (FT)]]</f>
        <v>100.10000000000001</v>
      </c>
      <c r="V129" s="928">
        <f>Chiler_Price[[#This Row],[Cond. Coils Area (FT)]]*Naming!$I$93</f>
        <v>271.7</v>
      </c>
      <c r="W129" s="930">
        <f>Chiler_Price[[#This Row],[Cond. Coils Area (FT)]]*Naming!$I$96</f>
        <v>380.38000000000005</v>
      </c>
      <c r="X129" s="928">
        <f>1.5*Chiler_Price[[#This Row],[Cond. Coils Area (FT)]]</f>
        <v>21.450000000000003</v>
      </c>
      <c r="Y129" s="927">
        <f>1500*1.35*Chiler_Price[[#This Row],[NO. Of Compressors]]</f>
        <v>2025.0000000000002</v>
      </c>
      <c r="Z129" s="927">
        <f>400*1.35*Chiler_Price[[#This Row],[NO. Of Compressors]]</f>
        <v>540</v>
      </c>
      <c r="AA129" s="927">
        <f>650*1.35*Chiler_Price[[#This Row],[NO. Of Evap. Cooler ]]</f>
        <v>877.50000000000011</v>
      </c>
      <c r="AB129" s="927">
        <f>650*4*1.35*Chiler_Price[[#This Row],[NO. Of Evap. Cooler ]]</f>
        <v>3510.0000000000005</v>
      </c>
      <c r="AC129" s="927">
        <f>560*1.35*Chiler_Price[[#This Row],[NO. Of Evap. Cooler ]]</f>
        <v>756</v>
      </c>
      <c r="AD129" s="927">
        <v>0</v>
      </c>
      <c r="AE129" s="927">
        <f>700*1.35*Chiler_Price[[#This Row],[NO. Of Compressors]]</f>
        <v>945.00000000000011</v>
      </c>
      <c r="AF129" s="927">
        <f>100*1.35*Chiler_Price[[#This Row],[NO. Of Compressors]]</f>
        <v>135</v>
      </c>
      <c r="AG129" s="927">
        <f>100*1.35*Chiler_Price[[#This Row],[NO. Of Compressors]]</f>
        <v>135</v>
      </c>
      <c r="AH129" s="927">
        <f>600*1.35*Chiler_Price[[#This Row],[NO. Of Compressors]]</f>
        <v>810</v>
      </c>
      <c r="AI129" s="927">
        <v>405</v>
      </c>
      <c r="AJ129" s="927">
        <v>0</v>
      </c>
      <c r="AK129" s="927">
        <f>Chiler_Price[[#This Row],[NO. of Cond. Fans]]*62*1.1*1.35</f>
        <v>92.070000000000007</v>
      </c>
      <c r="AL129" s="927">
        <f>450*1.35*Chiler_Price[[#This Row],[NO. Of Compressors]]</f>
        <v>607.5</v>
      </c>
      <c r="AM129" s="927">
        <f>Chiler_Price[[#This Row],[NO. of Cond. Fans]]*62*1.1*1.35</f>
        <v>92.070000000000007</v>
      </c>
      <c r="AN129" s="927">
        <f t="shared" si="6"/>
        <v>1282.5</v>
      </c>
      <c r="AO129" s="927">
        <f t="shared" si="7"/>
        <v>1.3515999999999999</v>
      </c>
      <c r="AP129" s="927">
        <f t="shared" si="8"/>
        <v>2430</v>
      </c>
      <c r="AQ129" s="927">
        <f>560*1.35*Chiler_Price[[#This Row],[NO. Of Evap. Cooler ]]</f>
        <v>756</v>
      </c>
      <c r="AR129" s="927">
        <f>100*1.35*Chiler_Price[[#This Row],[NO. Of Evap. Cooler ]]</f>
        <v>135</v>
      </c>
      <c r="AS129" s="944">
        <v>286</v>
      </c>
      <c r="AT129" s="712"/>
      <c r="AU129" s="712"/>
      <c r="BC129" s="712"/>
      <c r="BD129" s="712"/>
      <c r="BE129" s="712"/>
      <c r="BF129" s="712"/>
      <c r="BG129" s="712"/>
      <c r="BI129" s="712"/>
    </row>
    <row r="130" spans="1:61" ht="12.75">
      <c r="A130" s="939" t="s">
        <v>2084</v>
      </c>
      <c r="B130" s="927" t="s">
        <v>2034</v>
      </c>
      <c r="C130" s="927" t="s">
        <v>2034</v>
      </c>
      <c r="D130" s="927">
        <v>0</v>
      </c>
      <c r="E130" s="927">
        <v>1</v>
      </c>
      <c r="F130" s="927">
        <v>15.5</v>
      </c>
      <c r="G130" s="927">
        <v>1</v>
      </c>
      <c r="H130" s="927">
        <v>1</v>
      </c>
      <c r="I130" s="927">
        <f>Chiler_Price[[#This Row],[NO. of Cond Coils]]</f>
        <v>1</v>
      </c>
      <c r="J130" s="927">
        <v>12</v>
      </c>
      <c r="K130" s="927">
        <v>1</v>
      </c>
      <c r="L130" s="927"/>
      <c r="M130" s="927"/>
      <c r="N130" s="938">
        <v>0</v>
      </c>
      <c r="O130" s="941">
        <v>5253.6</v>
      </c>
      <c r="P130" s="928"/>
      <c r="Q130" s="928">
        <v>0</v>
      </c>
      <c r="R130" s="927">
        <f>125*1.35*Chiler_Price[[#This Row],[NO. of Cond Coils]]</f>
        <v>168.75</v>
      </c>
      <c r="S130" s="929">
        <f>Chiler_Price[[#This Row],[Cond. Coils Area (FT)]]*4*Naming!$M$62</f>
        <v>1388.8</v>
      </c>
      <c r="T130" s="929">
        <f>5*Chiler_Price[[#This Row],[Cond. Coils Area (FT)]]</f>
        <v>77.5</v>
      </c>
      <c r="U130" s="929">
        <f>7*Chiler_Price[[#This Row],[Cond. Coils Area (FT)]]</f>
        <v>108.5</v>
      </c>
      <c r="V130" s="928">
        <f>Chiler_Price[[#This Row],[Cond. Coils Area (FT)]]*Naming!$I$93</f>
        <v>294.5</v>
      </c>
      <c r="W130" s="930">
        <f>Chiler_Price[[#This Row],[Cond. Coils Area (FT)]]*Naming!$I$96</f>
        <v>412.3</v>
      </c>
      <c r="X130" s="928">
        <f>1.5*Chiler_Price[[#This Row],[Cond. Coils Area (FT)]]</f>
        <v>23.25</v>
      </c>
      <c r="Y130" s="927">
        <f>1500*1.35*Chiler_Price[[#This Row],[NO. Of Compressors]]</f>
        <v>2025.0000000000002</v>
      </c>
      <c r="Z130" s="927">
        <f>400*1.35*Chiler_Price[[#This Row],[NO. Of Compressors]]</f>
        <v>540</v>
      </c>
      <c r="AA130" s="927">
        <f>650*1.35*Chiler_Price[[#This Row],[NO. Of Evap. Cooler ]]</f>
        <v>877.50000000000011</v>
      </c>
      <c r="AB130" s="927">
        <f>650*4*1.35*Chiler_Price[[#This Row],[NO. Of Evap. Cooler ]]</f>
        <v>3510.0000000000005</v>
      </c>
      <c r="AC130" s="927">
        <f>560*1.35*Chiler_Price[[#This Row],[NO. Of Evap. Cooler ]]</f>
        <v>756</v>
      </c>
      <c r="AD130" s="927">
        <v>0</v>
      </c>
      <c r="AE130" s="927">
        <f>700*1.35*Chiler_Price[[#This Row],[NO. Of Compressors]]</f>
        <v>945.00000000000011</v>
      </c>
      <c r="AF130" s="927">
        <f>100*1.35*Chiler_Price[[#This Row],[NO. Of Compressors]]</f>
        <v>135</v>
      </c>
      <c r="AG130" s="927">
        <f>100*1.35*Chiler_Price[[#This Row],[NO. Of Compressors]]</f>
        <v>135</v>
      </c>
      <c r="AH130" s="927">
        <f>600*1.35*Chiler_Price[[#This Row],[NO. Of Compressors]]</f>
        <v>810</v>
      </c>
      <c r="AI130" s="927">
        <v>405</v>
      </c>
      <c r="AJ130" s="927">
        <v>0</v>
      </c>
      <c r="AK130" s="927">
        <f>Chiler_Price[[#This Row],[NO. of Cond. Fans]]*62*1.1*1.35</f>
        <v>92.070000000000007</v>
      </c>
      <c r="AL130" s="927">
        <f>450*1.35*Chiler_Price[[#This Row],[NO. Of Compressors]]</f>
        <v>607.5</v>
      </c>
      <c r="AM130" s="927">
        <f>Chiler_Price[[#This Row],[NO. of Cond. Fans]]*62*1.1*1.35</f>
        <v>92.070000000000007</v>
      </c>
      <c r="AN130" s="927">
        <f t="shared" si="6"/>
        <v>1282.5</v>
      </c>
      <c r="AO130" s="927">
        <f t="shared" si="7"/>
        <v>1.3515999999999999</v>
      </c>
      <c r="AP130" s="927">
        <f t="shared" si="8"/>
        <v>2430</v>
      </c>
      <c r="AQ130" s="927">
        <f>560*1.35*Chiler_Price[[#This Row],[NO. Of Evap. Cooler ]]</f>
        <v>756</v>
      </c>
      <c r="AR130" s="927">
        <f>100*1.35*Chiler_Price[[#This Row],[NO. Of Evap. Cooler ]]</f>
        <v>135</v>
      </c>
      <c r="AS130" s="944">
        <v>286</v>
      </c>
      <c r="AT130" s="712"/>
      <c r="AU130" s="712"/>
      <c r="BC130" s="712"/>
      <c r="BD130" s="712"/>
      <c r="BE130" s="712"/>
      <c r="BF130" s="712"/>
      <c r="BG130" s="712"/>
      <c r="BI130" s="712"/>
    </row>
    <row r="131" spans="1:61" ht="12.75">
      <c r="A131" s="939" t="s">
        <v>2085</v>
      </c>
      <c r="B131" s="927" t="s">
        <v>2036</v>
      </c>
      <c r="C131" s="927" t="s">
        <v>2036</v>
      </c>
      <c r="D131" s="927">
        <v>0</v>
      </c>
      <c r="E131" s="927">
        <v>1</v>
      </c>
      <c r="F131" s="927">
        <v>17</v>
      </c>
      <c r="G131" s="927">
        <v>1</v>
      </c>
      <c r="H131" s="927">
        <v>1</v>
      </c>
      <c r="I131" s="927">
        <f>Chiler_Price[[#This Row],[NO. of Cond Coils]]</f>
        <v>1</v>
      </c>
      <c r="J131" s="927">
        <v>15</v>
      </c>
      <c r="K131" s="927">
        <v>1</v>
      </c>
      <c r="L131" s="927"/>
      <c r="M131" s="927"/>
      <c r="N131" s="938">
        <v>0</v>
      </c>
      <c r="O131" s="941">
        <v>6392.1</v>
      </c>
      <c r="P131" s="928"/>
      <c r="Q131" s="928">
        <v>0</v>
      </c>
      <c r="R131" s="927">
        <f>125*1.35*Chiler_Price[[#This Row],[NO. of Cond Coils]]</f>
        <v>168.75</v>
      </c>
      <c r="S131" s="929">
        <f>Chiler_Price[[#This Row],[Cond. Coils Area (FT)]]*4*Naming!$M$62</f>
        <v>1523.1999999999998</v>
      </c>
      <c r="T131" s="929">
        <f>5*Chiler_Price[[#This Row],[Cond. Coils Area (FT)]]</f>
        <v>85</v>
      </c>
      <c r="U131" s="929">
        <f>7*Chiler_Price[[#This Row],[Cond. Coils Area (FT)]]</f>
        <v>119</v>
      </c>
      <c r="V131" s="928">
        <f>Chiler_Price[[#This Row],[Cond. Coils Area (FT)]]*Naming!$I$93</f>
        <v>323</v>
      </c>
      <c r="W131" s="930">
        <f>Chiler_Price[[#This Row],[Cond. Coils Area (FT)]]*Naming!$I$96</f>
        <v>452.20000000000005</v>
      </c>
      <c r="X131" s="928">
        <f>1.5*Chiler_Price[[#This Row],[Cond. Coils Area (FT)]]</f>
        <v>25.5</v>
      </c>
      <c r="Y131" s="927">
        <f>1500*1.35*Chiler_Price[[#This Row],[NO. Of Compressors]]</f>
        <v>2025.0000000000002</v>
      </c>
      <c r="Z131" s="927">
        <f>400*1.35*Chiler_Price[[#This Row],[NO. Of Compressors]]</f>
        <v>540</v>
      </c>
      <c r="AA131" s="927">
        <f>650*1.35*Chiler_Price[[#This Row],[NO. Of Evap. Cooler ]]</f>
        <v>877.50000000000011</v>
      </c>
      <c r="AB131" s="927">
        <f>650*4*1.35*Chiler_Price[[#This Row],[NO. Of Evap. Cooler ]]</f>
        <v>3510.0000000000005</v>
      </c>
      <c r="AC131" s="927">
        <f>560*1.35*Chiler_Price[[#This Row],[NO. Of Evap. Cooler ]]</f>
        <v>756</v>
      </c>
      <c r="AD131" s="927">
        <v>0</v>
      </c>
      <c r="AE131" s="927">
        <f>700*1.35*Chiler_Price[[#This Row],[NO. Of Compressors]]</f>
        <v>945.00000000000011</v>
      </c>
      <c r="AF131" s="927">
        <f>100*1.35*Chiler_Price[[#This Row],[NO. Of Compressors]]</f>
        <v>135</v>
      </c>
      <c r="AG131" s="927">
        <f>100*1.35*Chiler_Price[[#This Row],[NO. Of Compressors]]</f>
        <v>135</v>
      </c>
      <c r="AH131" s="927">
        <f>600*1.35*Chiler_Price[[#This Row],[NO. Of Compressors]]</f>
        <v>810</v>
      </c>
      <c r="AI131" s="927">
        <v>405</v>
      </c>
      <c r="AJ131" s="927">
        <v>0</v>
      </c>
      <c r="AK131" s="927">
        <f>Chiler_Price[[#This Row],[NO. of Cond. Fans]]*62*1.1*1.35</f>
        <v>92.070000000000007</v>
      </c>
      <c r="AL131" s="927">
        <f>450*1.35*Chiler_Price[[#This Row],[NO. Of Compressors]]</f>
        <v>607.5</v>
      </c>
      <c r="AM131" s="927">
        <f>Chiler_Price[[#This Row],[NO. of Cond. Fans]]*62*1.1*1.35</f>
        <v>92.070000000000007</v>
      </c>
      <c r="AN131" s="927">
        <f t="shared" si="6"/>
        <v>1282.5</v>
      </c>
      <c r="AO131" s="927">
        <f t="shared" si="7"/>
        <v>1.3515999999999999</v>
      </c>
      <c r="AP131" s="927">
        <f t="shared" si="8"/>
        <v>2430</v>
      </c>
      <c r="AQ131" s="927">
        <f>560*1.35*Chiler_Price[[#This Row],[NO. Of Evap. Cooler ]]</f>
        <v>756</v>
      </c>
      <c r="AR131" s="927">
        <f>100*1.35*Chiler_Price[[#This Row],[NO. Of Evap. Cooler ]]</f>
        <v>135</v>
      </c>
      <c r="AS131" s="944">
        <v>286</v>
      </c>
      <c r="AT131" s="712"/>
      <c r="AU131" s="712"/>
      <c r="BC131" s="712"/>
      <c r="BD131" s="712"/>
      <c r="BE131" s="712"/>
      <c r="BF131" s="712"/>
      <c r="BG131" s="712"/>
      <c r="BI131" s="712"/>
    </row>
    <row r="132" spans="1:61" ht="12.75">
      <c r="A132" s="939" t="s">
        <v>2086</v>
      </c>
      <c r="B132" s="927" t="s">
        <v>2038</v>
      </c>
      <c r="C132" s="927" t="s">
        <v>2038</v>
      </c>
      <c r="D132" s="927">
        <v>0</v>
      </c>
      <c r="E132" s="927">
        <v>2</v>
      </c>
      <c r="F132" s="927">
        <v>24</v>
      </c>
      <c r="G132" s="927">
        <v>2</v>
      </c>
      <c r="H132" s="927">
        <v>1</v>
      </c>
      <c r="I132" s="927">
        <f>Chiler_Price[[#This Row],[NO. of Cond Coils]]</f>
        <v>2</v>
      </c>
      <c r="J132" s="927">
        <v>10</v>
      </c>
      <c r="K132" s="927">
        <v>2</v>
      </c>
      <c r="L132" s="927"/>
      <c r="M132" s="927"/>
      <c r="N132" s="938">
        <v>0</v>
      </c>
      <c r="O132" s="941">
        <v>8387.5</v>
      </c>
      <c r="P132" s="928"/>
      <c r="Q132" s="928">
        <v>0</v>
      </c>
      <c r="R132" s="927">
        <f>125*1.35*Chiler_Price[[#This Row],[NO. of Cond Coils]]</f>
        <v>337.5</v>
      </c>
      <c r="S132" s="929">
        <f>Chiler_Price[[#This Row],[Cond. Coils Area (FT)]]*4*Naming!$M$62</f>
        <v>2150.3999999999996</v>
      </c>
      <c r="T132" s="929">
        <f>5*Chiler_Price[[#This Row],[Cond. Coils Area (FT)]]</f>
        <v>120</v>
      </c>
      <c r="U132" s="929">
        <f>7*Chiler_Price[[#This Row],[Cond. Coils Area (FT)]]</f>
        <v>168</v>
      </c>
      <c r="V132" s="928">
        <f>Chiler_Price[[#This Row],[Cond. Coils Area (FT)]]*Naming!$I$93</f>
        <v>456</v>
      </c>
      <c r="W132" s="930">
        <f>Chiler_Price[[#This Row],[Cond. Coils Area (FT)]]*Naming!$I$96</f>
        <v>638.40000000000009</v>
      </c>
      <c r="X132" s="928">
        <f>1.5*Chiler_Price[[#This Row],[Cond. Coils Area (FT)]]</f>
        <v>36</v>
      </c>
      <c r="Y132" s="927">
        <f>1500*1.35*Chiler_Price[[#This Row],[NO. Of Compressors]]</f>
        <v>4050.0000000000005</v>
      </c>
      <c r="Z132" s="927">
        <f>400*1.35*Chiler_Price[[#This Row],[NO. Of Compressors]]</f>
        <v>1080</v>
      </c>
      <c r="AA132" s="927">
        <f>650*1.35*Chiler_Price[[#This Row],[NO. Of Evap. Cooler ]]</f>
        <v>877.50000000000011</v>
      </c>
      <c r="AB132" s="927">
        <f>650*4*1.35*Chiler_Price[[#This Row],[NO. Of Evap. Cooler ]]</f>
        <v>3510.0000000000005</v>
      </c>
      <c r="AC132" s="927">
        <f>560*1.35*Chiler_Price[[#This Row],[NO. Of Evap. Cooler ]]</f>
        <v>756</v>
      </c>
      <c r="AD132" s="927">
        <v>0</v>
      </c>
      <c r="AE132" s="927">
        <f>700*1.35*Chiler_Price[[#This Row],[NO. Of Compressors]]</f>
        <v>1890.0000000000002</v>
      </c>
      <c r="AF132" s="927">
        <f>100*1.35*Chiler_Price[[#This Row],[NO. Of Compressors]]</f>
        <v>270</v>
      </c>
      <c r="AG132" s="927">
        <f>100*1.35*Chiler_Price[[#This Row],[NO. Of Compressors]]</f>
        <v>270</v>
      </c>
      <c r="AH132" s="927">
        <f>600*1.35*Chiler_Price[[#This Row],[NO. Of Compressors]]</f>
        <v>1620</v>
      </c>
      <c r="AI132" s="927">
        <v>405</v>
      </c>
      <c r="AJ132" s="927">
        <v>0</v>
      </c>
      <c r="AK132" s="927">
        <f>Chiler_Price[[#This Row],[NO. of Cond. Fans]]*62*1.1*1.35</f>
        <v>184.14000000000001</v>
      </c>
      <c r="AL132" s="927">
        <f>450*1.35*Chiler_Price[[#This Row],[NO. Of Compressors]]</f>
        <v>1215</v>
      </c>
      <c r="AM132" s="927">
        <f>Chiler_Price[[#This Row],[NO. of Cond. Fans]]*62*1.1*1.35</f>
        <v>184.14000000000001</v>
      </c>
      <c r="AN132" s="927">
        <f t="shared" si="6"/>
        <v>1282.5</v>
      </c>
      <c r="AO132" s="927">
        <f t="shared" si="7"/>
        <v>1.3515999999999999</v>
      </c>
      <c r="AP132" s="927">
        <f t="shared" si="8"/>
        <v>2430</v>
      </c>
      <c r="AQ132" s="927">
        <f>560*1.35*Chiler_Price[[#This Row],[NO. Of Evap. Cooler ]]</f>
        <v>756</v>
      </c>
      <c r="AR132" s="927">
        <f>100*1.35*Chiler_Price[[#This Row],[NO. Of Evap. Cooler ]]</f>
        <v>135</v>
      </c>
      <c r="AS132" s="944">
        <v>286</v>
      </c>
      <c r="AT132" s="712"/>
      <c r="AU132" s="712"/>
      <c r="BC132" s="712"/>
      <c r="BD132" s="712"/>
      <c r="BE132" s="712"/>
      <c r="BF132" s="712"/>
      <c r="BG132" s="712"/>
      <c r="BI132" s="712"/>
    </row>
    <row r="133" spans="1:61" ht="12.75">
      <c r="A133" s="939" t="s">
        <v>2087</v>
      </c>
      <c r="B133" s="927" t="s">
        <v>2040</v>
      </c>
      <c r="C133" s="927" t="s">
        <v>2040</v>
      </c>
      <c r="D133" s="927">
        <v>0</v>
      </c>
      <c r="E133" s="927">
        <v>2</v>
      </c>
      <c r="F133" s="927">
        <v>28</v>
      </c>
      <c r="G133" s="927">
        <v>2</v>
      </c>
      <c r="H133" s="927">
        <v>1</v>
      </c>
      <c r="I133" s="927">
        <f>Chiler_Price[[#This Row],[NO. of Cond Coils]]</f>
        <v>2</v>
      </c>
      <c r="J133" s="927">
        <v>12</v>
      </c>
      <c r="K133" s="927">
        <v>2</v>
      </c>
      <c r="L133" s="927"/>
      <c r="M133" s="927"/>
      <c r="N133" s="938">
        <v>0</v>
      </c>
      <c r="O133" s="941">
        <v>9549.1</v>
      </c>
      <c r="P133" s="928"/>
      <c r="Q133" s="928">
        <v>0</v>
      </c>
      <c r="R133" s="927">
        <f>125*1.35*Chiler_Price[[#This Row],[NO. of Cond Coils]]</f>
        <v>337.5</v>
      </c>
      <c r="S133" s="929">
        <f>Chiler_Price[[#This Row],[Cond. Coils Area (FT)]]*4*Naming!$M$62</f>
        <v>2508.7999999999997</v>
      </c>
      <c r="T133" s="929">
        <f>5*Chiler_Price[[#This Row],[Cond. Coils Area (FT)]]</f>
        <v>140</v>
      </c>
      <c r="U133" s="929">
        <f>7*Chiler_Price[[#This Row],[Cond. Coils Area (FT)]]</f>
        <v>196</v>
      </c>
      <c r="V133" s="928">
        <f>Chiler_Price[[#This Row],[Cond. Coils Area (FT)]]*Naming!$I$93</f>
        <v>532</v>
      </c>
      <c r="W133" s="930">
        <f>Chiler_Price[[#This Row],[Cond. Coils Area (FT)]]*Naming!$I$96</f>
        <v>744.80000000000007</v>
      </c>
      <c r="X133" s="928">
        <f>1.5*Chiler_Price[[#This Row],[Cond. Coils Area (FT)]]</f>
        <v>42</v>
      </c>
      <c r="Y133" s="927">
        <f>1500*1.35*Chiler_Price[[#This Row],[NO. Of Compressors]]</f>
        <v>4050.0000000000005</v>
      </c>
      <c r="Z133" s="927">
        <f>400*1.35*Chiler_Price[[#This Row],[NO. Of Compressors]]</f>
        <v>1080</v>
      </c>
      <c r="AA133" s="927">
        <f>650*1.35*Chiler_Price[[#This Row],[NO. Of Evap. Cooler ]]</f>
        <v>877.50000000000011</v>
      </c>
      <c r="AB133" s="927">
        <f>650*4*1.35*Chiler_Price[[#This Row],[NO. Of Evap. Cooler ]]</f>
        <v>3510.0000000000005</v>
      </c>
      <c r="AC133" s="927">
        <f>560*1.35*Chiler_Price[[#This Row],[NO. Of Evap. Cooler ]]</f>
        <v>756</v>
      </c>
      <c r="AD133" s="927">
        <v>0</v>
      </c>
      <c r="AE133" s="927">
        <f>700*1.35*Chiler_Price[[#This Row],[NO. Of Compressors]]</f>
        <v>1890.0000000000002</v>
      </c>
      <c r="AF133" s="927">
        <f>100*1.35*Chiler_Price[[#This Row],[NO. Of Compressors]]</f>
        <v>270</v>
      </c>
      <c r="AG133" s="927">
        <f>100*1.35*Chiler_Price[[#This Row],[NO. Of Compressors]]</f>
        <v>270</v>
      </c>
      <c r="AH133" s="927">
        <f>600*1.35*Chiler_Price[[#This Row],[NO. Of Compressors]]</f>
        <v>1620</v>
      </c>
      <c r="AI133" s="927">
        <v>405</v>
      </c>
      <c r="AJ133" s="927">
        <v>0</v>
      </c>
      <c r="AK133" s="927">
        <f>Chiler_Price[[#This Row],[NO. of Cond. Fans]]*62*1.1*1.35</f>
        <v>184.14000000000001</v>
      </c>
      <c r="AL133" s="927">
        <f>450*1.35*Chiler_Price[[#This Row],[NO. Of Compressors]]</f>
        <v>1215</v>
      </c>
      <c r="AM133" s="927">
        <f>Chiler_Price[[#This Row],[NO. of Cond. Fans]]*62*1.1*1.35</f>
        <v>184.14000000000001</v>
      </c>
      <c r="AN133" s="927">
        <f t="shared" si="6"/>
        <v>1282.5</v>
      </c>
      <c r="AO133" s="927">
        <f t="shared" si="7"/>
        <v>1.3515999999999999</v>
      </c>
      <c r="AP133" s="927">
        <f t="shared" si="8"/>
        <v>2430</v>
      </c>
      <c r="AQ133" s="927">
        <f>560*1.35*Chiler_Price[[#This Row],[NO. Of Evap. Cooler ]]</f>
        <v>756</v>
      </c>
      <c r="AR133" s="927">
        <f>100*1.35*Chiler_Price[[#This Row],[NO. Of Evap. Cooler ]]</f>
        <v>135</v>
      </c>
      <c r="AS133" s="944">
        <v>286</v>
      </c>
      <c r="AT133" s="712"/>
      <c r="AU133" s="712"/>
      <c r="BC133" s="712"/>
      <c r="BD133" s="712"/>
      <c r="BE133" s="712"/>
      <c r="BF133" s="712"/>
      <c r="BG133" s="712"/>
      <c r="BI133" s="712"/>
    </row>
    <row r="134" spans="1:61" ht="12.75">
      <c r="A134" s="939" t="s">
        <v>2088</v>
      </c>
      <c r="B134" s="927" t="s">
        <v>2042</v>
      </c>
      <c r="C134" s="927" t="s">
        <v>2042</v>
      </c>
      <c r="D134" s="927">
        <v>0</v>
      </c>
      <c r="E134" s="927">
        <v>2</v>
      </c>
      <c r="F134" s="927">
        <v>31</v>
      </c>
      <c r="G134" s="927">
        <v>2</v>
      </c>
      <c r="H134" s="927">
        <v>1</v>
      </c>
      <c r="I134" s="927">
        <f>Chiler_Price[[#This Row],[NO. of Cond Coils]]</f>
        <v>2</v>
      </c>
      <c r="J134" s="927">
        <v>15</v>
      </c>
      <c r="K134" s="927">
        <v>2</v>
      </c>
      <c r="L134" s="927"/>
      <c r="M134" s="927"/>
      <c r="N134" s="938">
        <v>0</v>
      </c>
      <c r="O134" s="941">
        <v>10308.1</v>
      </c>
      <c r="P134" s="928"/>
      <c r="Q134" s="928">
        <v>0</v>
      </c>
      <c r="R134" s="927">
        <f>125*1.35*Chiler_Price[[#This Row],[NO. of Cond Coils]]</f>
        <v>337.5</v>
      </c>
      <c r="S134" s="929">
        <f>Chiler_Price[[#This Row],[Cond. Coils Area (FT)]]*4*Naming!$M$62</f>
        <v>2777.6</v>
      </c>
      <c r="T134" s="929">
        <f>5*Chiler_Price[[#This Row],[Cond. Coils Area (FT)]]</f>
        <v>155</v>
      </c>
      <c r="U134" s="929">
        <f>7*Chiler_Price[[#This Row],[Cond. Coils Area (FT)]]</f>
        <v>217</v>
      </c>
      <c r="V134" s="928">
        <f>Chiler_Price[[#This Row],[Cond. Coils Area (FT)]]*Naming!$I$93</f>
        <v>589</v>
      </c>
      <c r="W134" s="930">
        <f>Chiler_Price[[#This Row],[Cond. Coils Area (FT)]]*Naming!$I$96</f>
        <v>824.6</v>
      </c>
      <c r="X134" s="928">
        <f>1.5*Chiler_Price[[#This Row],[Cond. Coils Area (FT)]]</f>
        <v>46.5</v>
      </c>
      <c r="Y134" s="927">
        <f>1500*1.35*Chiler_Price[[#This Row],[NO. Of Compressors]]</f>
        <v>4050.0000000000005</v>
      </c>
      <c r="Z134" s="927">
        <f>400*1.35*Chiler_Price[[#This Row],[NO. Of Compressors]]</f>
        <v>1080</v>
      </c>
      <c r="AA134" s="927">
        <f>650*1.35*Chiler_Price[[#This Row],[NO. Of Evap. Cooler ]]</f>
        <v>877.50000000000011</v>
      </c>
      <c r="AB134" s="927">
        <f>650*4*1.35*Chiler_Price[[#This Row],[NO. Of Evap. Cooler ]]</f>
        <v>3510.0000000000005</v>
      </c>
      <c r="AC134" s="927">
        <f>560*1.35*Chiler_Price[[#This Row],[NO. Of Evap. Cooler ]]</f>
        <v>756</v>
      </c>
      <c r="AD134" s="927">
        <v>0</v>
      </c>
      <c r="AE134" s="927">
        <f>700*1.35*Chiler_Price[[#This Row],[NO. Of Compressors]]</f>
        <v>1890.0000000000002</v>
      </c>
      <c r="AF134" s="927">
        <f>100*1.35*Chiler_Price[[#This Row],[NO. Of Compressors]]</f>
        <v>270</v>
      </c>
      <c r="AG134" s="927">
        <f>100*1.35*Chiler_Price[[#This Row],[NO. Of Compressors]]</f>
        <v>270</v>
      </c>
      <c r="AH134" s="927">
        <f>600*1.35*Chiler_Price[[#This Row],[NO. Of Compressors]]</f>
        <v>1620</v>
      </c>
      <c r="AI134" s="927">
        <v>405</v>
      </c>
      <c r="AJ134" s="927">
        <v>0</v>
      </c>
      <c r="AK134" s="927">
        <f>Chiler_Price[[#This Row],[NO. of Cond. Fans]]*62*1.1*1.35</f>
        <v>184.14000000000001</v>
      </c>
      <c r="AL134" s="927">
        <f>450*1.35*Chiler_Price[[#This Row],[NO. Of Compressors]]</f>
        <v>1215</v>
      </c>
      <c r="AM134" s="927">
        <f>Chiler_Price[[#This Row],[NO. of Cond. Fans]]*62*1.1*1.35</f>
        <v>184.14000000000001</v>
      </c>
      <c r="AN134" s="927">
        <f t="shared" si="6"/>
        <v>1282.5</v>
      </c>
      <c r="AO134" s="927">
        <f t="shared" si="7"/>
        <v>1.3515999999999999</v>
      </c>
      <c r="AP134" s="927">
        <f t="shared" si="8"/>
        <v>2430</v>
      </c>
      <c r="AQ134" s="927">
        <f>560*1.35*Chiler_Price[[#This Row],[NO. Of Evap. Cooler ]]</f>
        <v>756</v>
      </c>
      <c r="AR134" s="927">
        <f>100*1.35*Chiler_Price[[#This Row],[NO. Of Evap. Cooler ]]</f>
        <v>135</v>
      </c>
      <c r="AS134" s="944">
        <v>286</v>
      </c>
      <c r="AT134" s="712"/>
      <c r="AU134" s="712"/>
      <c r="BC134" s="712"/>
      <c r="BD134" s="712"/>
      <c r="BE134" s="712"/>
      <c r="BF134" s="712"/>
      <c r="BG134" s="712"/>
      <c r="BI134" s="712"/>
    </row>
    <row r="135" spans="1:61" ht="12.75">
      <c r="A135" s="939" t="s">
        <v>2089</v>
      </c>
      <c r="B135" s="940">
        <v>0</v>
      </c>
      <c r="C135" s="927">
        <v>0</v>
      </c>
      <c r="D135" s="927">
        <v>0</v>
      </c>
      <c r="E135" s="927">
        <v>3</v>
      </c>
      <c r="F135" s="927">
        <v>42</v>
      </c>
      <c r="G135" s="927">
        <v>3</v>
      </c>
      <c r="H135" s="927">
        <v>1</v>
      </c>
      <c r="I135" s="927">
        <f>Chiler_Price[[#This Row],[NO. of Cond Coils]]</f>
        <v>3</v>
      </c>
      <c r="J135" s="927">
        <v>15</v>
      </c>
      <c r="K135" s="927">
        <v>3</v>
      </c>
      <c r="L135" s="927"/>
      <c r="M135" s="927"/>
      <c r="N135" s="938">
        <v>0</v>
      </c>
      <c r="O135" s="941">
        <v>12675.300000000001</v>
      </c>
      <c r="P135" s="928"/>
      <c r="Q135" s="928">
        <v>0</v>
      </c>
      <c r="R135" s="927">
        <f>125*1.35*Chiler_Price[[#This Row],[NO. of Cond Coils]]</f>
        <v>506.25</v>
      </c>
      <c r="S135" s="929">
        <f>Chiler_Price[[#This Row],[Cond. Coils Area (FT)]]*4*Naming!$M$62</f>
        <v>3763.2</v>
      </c>
      <c r="T135" s="929">
        <f>5*Chiler_Price[[#This Row],[Cond. Coils Area (FT)]]</f>
        <v>210</v>
      </c>
      <c r="U135" s="929">
        <f>7*Chiler_Price[[#This Row],[Cond. Coils Area (FT)]]</f>
        <v>294</v>
      </c>
      <c r="V135" s="928">
        <f>Chiler_Price[[#This Row],[Cond. Coils Area (FT)]]*Naming!$I$93</f>
        <v>798</v>
      </c>
      <c r="W135" s="930">
        <f>Chiler_Price[[#This Row],[Cond. Coils Area (FT)]]*Naming!$I$96</f>
        <v>1117.2</v>
      </c>
      <c r="X135" s="928">
        <f>1.5*Chiler_Price[[#This Row],[Cond. Coils Area (FT)]]</f>
        <v>63</v>
      </c>
      <c r="Y135" s="927">
        <f>1500*1.35*Chiler_Price[[#This Row],[NO. Of Compressors]]</f>
        <v>6075.0000000000009</v>
      </c>
      <c r="Z135" s="927">
        <f>400*1.35*Chiler_Price[[#This Row],[NO. Of Compressors]]</f>
        <v>1620</v>
      </c>
      <c r="AA135" s="927">
        <f>650*1.35*Chiler_Price[[#This Row],[NO. Of Evap. Cooler ]]</f>
        <v>877.50000000000011</v>
      </c>
      <c r="AB135" s="927">
        <f>650*4*1.35*Chiler_Price[[#This Row],[NO. Of Evap. Cooler ]]</f>
        <v>3510.0000000000005</v>
      </c>
      <c r="AC135" s="927">
        <f>560*1.35*Chiler_Price[[#This Row],[NO. Of Evap. Cooler ]]</f>
        <v>756</v>
      </c>
      <c r="AD135" s="927">
        <v>0</v>
      </c>
      <c r="AE135" s="927">
        <f>700*1.35*Chiler_Price[[#This Row],[NO. Of Compressors]]</f>
        <v>2835.0000000000005</v>
      </c>
      <c r="AF135" s="927">
        <f>100*1.35*Chiler_Price[[#This Row],[NO. Of Compressors]]</f>
        <v>405</v>
      </c>
      <c r="AG135" s="927">
        <f>100*1.35*Chiler_Price[[#This Row],[NO. Of Compressors]]</f>
        <v>405</v>
      </c>
      <c r="AH135" s="927">
        <f>600*1.35*Chiler_Price[[#This Row],[NO. Of Compressors]]</f>
        <v>2430</v>
      </c>
      <c r="AI135" s="927">
        <v>405</v>
      </c>
      <c r="AJ135" s="927">
        <v>0</v>
      </c>
      <c r="AK135" s="927">
        <f>Chiler_Price[[#This Row],[NO. of Cond. Fans]]*62*1.1*1.35</f>
        <v>276.21000000000004</v>
      </c>
      <c r="AL135" s="927">
        <f>450*1.35*Chiler_Price[[#This Row],[NO. Of Compressors]]</f>
        <v>1822.5</v>
      </c>
      <c r="AM135" s="927">
        <f>Chiler_Price[[#This Row],[NO. of Cond. Fans]]*62*1.1*1.35</f>
        <v>276.21000000000004</v>
      </c>
      <c r="AN135" s="927">
        <f t="shared" si="6"/>
        <v>1282.5</v>
      </c>
      <c r="AO135" s="927">
        <f t="shared" si="7"/>
        <v>1.3515999999999999</v>
      </c>
      <c r="AP135" s="927">
        <f t="shared" si="8"/>
        <v>2430</v>
      </c>
      <c r="AQ135" s="927">
        <f>560*1.35*Chiler_Price[[#This Row],[NO. Of Evap. Cooler ]]</f>
        <v>756</v>
      </c>
      <c r="AR135" s="927">
        <f>100*1.35*Chiler_Price[[#This Row],[NO. Of Evap. Cooler ]]</f>
        <v>135</v>
      </c>
      <c r="AS135" s="944">
        <v>286</v>
      </c>
      <c r="AT135" s="712"/>
      <c r="AU135" s="712"/>
      <c r="BC135" s="712"/>
      <c r="BD135" s="712"/>
      <c r="BE135" s="712"/>
      <c r="BF135" s="712"/>
      <c r="BG135" s="712"/>
      <c r="BI135" s="712"/>
    </row>
    <row r="136" spans="1:61" ht="12.75">
      <c r="A136" s="939" t="s">
        <v>2090</v>
      </c>
      <c r="B136" s="927" t="s">
        <v>2045</v>
      </c>
      <c r="C136" s="927" t="s">
        <v>2045</v>
      </c>
      <c r="D136" s="927">
        <v>0</v>
      </c>
      <c r="E136" s="927">
        <v>3</v>
      </c>
      <c r="F136" s="927">
        <v>42</v>
      </c>
      <c r="G136" s="927">
        <v>3</v>
      </c>
      <c r="H136" s="927">
        <v>1</v>
      </c>
      <c r="I136" s="927">
        <f>Chiler_Price[[#This Row],[NO. of Cond Coils]]</f>
        <v>3</v>
      </c>
      <c r="J136" s="927">
        <v>12</v>
      </c>
      <c r="K136" s="927">
        <v>3</v>
      </c>
      <c r="L136" s="927"/>
      <c r="M136" s="927"/>
      <c r="N136" s="938">
        <v>0</v>
      </c>
      <c r="O136" s="941">
        <v>12859.000000000002</v>
      </c>
      <c r="P136" s="928"/>
      <c r="Q136" s="928">
        <v>0</v>
      </c>
      <c r="R136" s="927">
        <f>125*1.35*Chiler_Price[[#This Row],[NO. of Cond Coils]]</f>
        <v>506.25</v>
      </c>
      <c r="S136" s="929">
        <f>Chiler_Price[[#This Row],[Cond. Coils Area (FT)]]*4*Naming!$M$62</f>
        <v>3763.2</v>
      </c>
      <c r="T136" s="929">
        <f>5*Chiler_Price[[#This Row],[Cond. Coils Area (FT)]]</f>
        <v>210</v>
      </c>
      <c r="U136" s="929">
        <f>7*Chiler_Price[[#This Row],[Cond. Coils Area (FT)]]</f>
        <v>294</v>
      </c>
      <c r="V136" s="928">
        <f>Chiler_Price[[#This Row],[Cond. Coils Area (FT)]]*Naming!$I$93</f>
        <v>798</v>
      </c>
      <c r="W136" s="930">
        <f>Chiler_Price[[#This Row],[Cond. Coils Area (FT)]]*Naming!$I$96</f>
        <v>1117.2</v>
      </c>
      <c r="X136" s="928">
        <f>1.5*Chiler_Price[[#This Row],[Cond. Coils Area (FT)]]</f>
        <v>63</v>
      </c>
      <c r="Y136" s="927">
        <f>1500*1.35*Chiler_Price[[#This Row],[NO. Of Compressors]]</f>
        <v>6075.0000000000009</v>
      </c>
      <c r="Z136" s="927">
        <f>400*1.35*Chiler_Price[[#This Row],[NO. Of Compressors]]</f>
        <v>1620</v>
      </c>
      <c r="AA136" s="927">
        <f>650*1.35*Chiler_Price[[#This Row],[NO. Of Evap. Cooler ]]</f>
        <v>877.50000000000011</v>
      </c>
      <c r="AB136" s="927">
        <f>650*4*1.35*Chiler_Price[[#This Row],[NO. Of Evap. Cooler ]]</f>
        <v>3510.0000000000005</v>
      </c>
      <c r="AC136" s="927">
        <f>560*1.35*Chiler_Price[[#This Row],[NO. Of Evap. Cooler ]]</f>
        <v>756</v>
      </c>
      <c r="AD136" s="927">
        <v>0</v>
      </c>
      <c r="AE136" s="927">
        <f>700*1.35*Chiler_Price[[#This Row],[NO. Of Compressors]]</f>
        <v>2835.0000000000005</v>
      </c>
      <c r="AF136" s="927">
        <f>100*1.35*Chiler_Price[[#This Row],[NO. Of Compressors]]</f>
        <v>405</v>
      </c>
      <c r="AG136" s="927">
        <f>100*1.35*Chiler_Price[[#This Row],[NO. Of Compressors]]</f>
        <v>405</v>
      </c>
      <c r="AH136" s="927">
        <f>600*1.35*Chiler_Price[[#This Row],[NO. Of Compressors]]</f>
        <v>2430</v>
      </c>
      <c r="AI136" s="927">
        <v>405</v>
      </c>
      <c r="AJ136" s="927">
        <v>0</v>
      </c>
      <c r="AK136" s="927">
        <f>Chiler_Price[[#This Row],[NO. of Cond. Fans]]*62*1.1*1.35</f>
        <v>276.21000000000004</v>
      </c>
      <c r="AL136" s="927">
        <f>450*1.35*Chiler_Price[[#This Row],[NO. Of Compressors]]</f>
        <v>1822.5</v>
      </c>
      <c r="AM136" s="927">
        <f>Chiler_Price[[#This Row],[NO. of Cond. Fans]]*62*1.1*1.35</f>
        <v>276.21000000000004</v>
      </c>
      <c r="AN136" s="927">
        <f t="shared" si="6"/>
        <v>1282.5</v>
      </c>
      <c r="AO136" s="927">
        <f t="shared" si="7"/>
        <v>1.3515999999999999</v>
      </c>
      <c r="AP136" s="927">
        <f t="shared" si="8"/>
        <v>2430</v>
      </c>
      <c r="AQ136" s="927">
        <f>560*1.35*Chiler_Price[[#This Row],[NO. Of Evap. Cooler ]]</f>
        <v>756</v>
      </c>
      <c r="AR136" s="927">
        <f>100*1.35*Chiler_Price[[#This Row],[NO. Of Evap. Cooler ]]</f>
        <v>135</v>
      </c>
      <c r="AS136" s="944">
        <v>286</v>
      </c>
      <c r="AT136" s="712"/>
      <c r="AU136" s="712"/>
      <c r="BC136" s="712"/>
      <c r="BD136" s="712"/>
      <c r="BE136" s="712"/>
      <c r="BF136" s="712"/>
      <c r="BG136" s="712"/>
      <c r="BI136" s="712"/>
    </row>
    <row r="137" spans="1:61" ht="12.75">
      <c r="A137" s="939" t="s">
        <v>2091</v>
      </c>
      <c r="B137" s="927" t="s">
        <v>2047</v>
      </c>
      <c r="C137" s="927" t="s">
        <v>2047</v>
      </c>
      <c r="D137" s="927">
        <v>0</v>
      </c>
      <c r="E137" s="927">
        <v>3</v>
      </c>
      <c r="F137" s="927">
        <v>41</v>
      </c>
      <c r="G137" s="927">
        <v>4</v>
      </c>
      <c r="H137" s="927">
        <v>1</v>
      </c>
      <c r="I137" s="927">
        <f>Chiler_Price[[#This Row],[NO. of Cond Coils]]</f>
        <v>3</v>
      </c>
      <c r="J137" s="927">
        <v>20</v>
      </c>
      <c r="K137" s="927">
        <v>2</v>
      </c>
      <c r="L137" s="927"/>
      <c r="M137" s="927"/>
      <c r="N137" s="938">
        <v>0</v>
      </c>
      <c r="O137" s="941">
        <v>14044.800000000001</v>
      </c>
      <c r="P137" s="928"/>
      <c r="Q137" s="928">
        <v>0</v>
      </c>
      <c r="R137" s="927">
        <f>125*1.35*Chiler_Price[[#This Row],[NO. of Cond Coils]]</f>
        <v>506.25</v>
      </c>
      <c r="S137" s="929">
        <f>Chiler_Price[[#This Row],[Cond. Coils Area (FT)]]*4*Naming!$M$62</f>
        <v>3673.6</v>
      </c>
      <c r="T137" s="929">
        <f>5*Chiler_Price[[#This Row],[Cond. Coils Area (FT)]]</f>
        <v>205</v>
      </c>
      <c r="U137" s="929">
        <f>7*Chiler_Price[[#This Row],[Cond. Coils Area (FT)]]</f>
        <v>287</v>
      </c>
      <c r="V137" s="928">
        <f>Chiler_Price[[#This Row],[Cond. Coils Area (FT)]]*Naming!$I$93</f>
        <v>779</v>
      </c>
      <c r="W137" s="930">
        <f>Chiler_Price[[#This Row],[Cond. Coils Area (FT)]]*Naming!$I$96</f>
        <v>1090.6000000000001</v>
      </c>
      <c r="X137" s="928">
        <f>1.5*Chiler_Price[[#This Row],[Cond. Coils Area (FT)]]</f>
        <v>61.5</v>
      </c>
      <c r="Y137" s="927">
        <f>1500*1.35*Chiler_Price[[#This Row],[NO. Of Compressors]]</f>
        <v>8100.0000000000009</v>
      </c>
      <c r="Z137" s="927">
        <f>400*1.35*Chiler_Price[[#This Row],[NO. Of Compressors]]</f>
        <v>2160</v>
      </c>
      <c r="AA137" s="927">
        <f>650*1.35*Chiler_Price[[#This Row],[NO. Of Evap. Cooler ]]</f>
        <v>877.50000000000011</v>
      </c>
      <c r="AB137" s="927">
        <f>650*4*1.35*Chiler_Price[[#This Row],[NO. Of Evap. Cooler ]]</f>
        <v>3510.0000000000005</v>
      </c>
      <c r="AC137" s="927">
        <f>560*1.35*Chiler_Price[[#This Row],[NO. Of Evap. Cooler ]]</f>
        <v>756</v>
      </c>
      <c r="AD137" s="927">
        <v>0</v>
      </c>
      <c r="AE137" s="927">
        <f>700*1.35*Chiler_Price[[#This Row],[NO. Of Compressors]]</f>
        <v>3780.0000000000005</v>
      </c>
      <c r="AF137" s="927">
        <f>100*1.35*Chiler_Price[[#This Row],[NO. Of Compressors]]</f>
        <v>540</v>
      </c>
      <c r="AG137" s="927">
        <f>100*1.35*Chiler_Price[[#This Row],[NO. Of Compressors]]</f>
        <v>540</v>
      </c>
      <c r="AH137" s="927">
        <f>600*1.35*Chiler_Price[[#This Row],[NO. Of Compressors]]</f>
        <v>3240</v>
      </c>
      <c r="AI137" s="927">
        <v>405</v>
      </c>
      <c r="AJ137" s="927">
        <v>0</v>
      </c>
      <c r="AK137" s="927">
        <f>Chiler_Price[[#This Row],[NO. of Cond. Fans]]*62*1.1*1.35</f>
        <v>276.21000000000004</v>
      </c>
      <c r="AL137" s="927">
        <f>450*1.35*Chiler_Price[[#This Row],[NO. Of Compressors]]</f>
        <v>2430</v>
      </c>
      <c r="AM137" s="927">
        <f>Chiler_Price[[#This Row],[NO. of Cond. Fans]]*62*1.1*1.35</f>
        <v>276.21000000000004</v>
      </c>
      <c r="AN137" s="927">
        <f t="shared" si="6"/>
        <v>1282.5</v>
      </c>
      <c r="AO137" s="927">
        <f t="shared" si="7"/>
        <v>1.3515999999999999</v>
      </c>
      <c r="AP137" s="927">
        <f t="shared" si="8"/>
        <v>2430</v>
      </c>
      <c r="AQ137" s="927">
        <f>560*1.35*Chiler_Price[[#This Row],[NO. Of Evap. Cooler ]]</f>
        <v>756</v>
      </c>
      <c r="AR137" s="927">
        <f>100*1.35*Chiler_Price[[#This Row],[NO. Of Evap. Cooler ]]</f>
        <v>135</v>
      </c>
      <c r="AS137" s="944">
        <v>286</v>
      </c>
      <c r="AT137" s="712"/>
      <c r="AU137" s="712"/>
      <c r="BC137" s="712"/>
      <c r="BD137" s="712"/>
      <c r="BE137" s="712"/>
      <c r="BF137" s="712"/>
      <c r="BG137" s="712"/>
      <c r="BI137" s="712"/>
    </row>
    <row r="138" spans="1:61" ht="12.75">
      <c r="A138" s="939" t="s">
        <v>2092</v>
      </c>
      <c r="B138" s="927" t="s">
        <v>2050</v>
      </c>
      <c r="C138" s="927" t="s">
        <v>2050</v>
      </c>
      <c r="D138" s="927">
        <v>0</v>
      </c>
      <c r="E138" s="927">
        <v>3</v>
      </c>
      <c r="F138" s="927">
        <v>42</v>
      </c>
      <c r="G138" s="927">
        <v>3</v>
      </c>
      <c r="H138" s="927">
        <v>1</v>
      </c>
      <c r="I138" s="927">
        <f>Chiler_Price[[#This Row],[NO. of Cond Coils]]</f>
        <v>3</v>
      </c>
      <c r="J138" s="927">
        <v>15</v>
      </c>
      <c r="K138" s="927">
        <v>3</v>
      </c>
      <c r="L138" s="927"/>
      <c r="M138" s="927"/>
      <c r="N138" s="938">
        <v>0</v>
      </c>
      <c r="O138" s="941">
        <v>14822.500000000002</v>
      </c>
      <c r="P138" s="928"/>
      <c r="Q138" s="928">
        <v>0</v>
      </c>
      <c r="R138" s="927">
        <f>125*1.35*Chiler_Price[[#This Row],[NO. of Cond Coils]]</f>
        <v>506.25</v>
      </c>
      <c r="S138" s="929">
        <f>Chiler_Price[[#This Row],[Cond. Coils Area (FT)]]*4*Naming!$M$62</f>
        <v>3763.2</v>
      </c>
      <c r="T138" s="929">
        <f>5*Chiler_Price[[#This Row],[Cond. Coils Area (FT)]]</f>
        <v>210</v>
      </c>
      <c r="U138" s="929">
        <f>7*Chiler_Price[[#This Row],[Cond. Coils Area (FT)]]</f>
        <v>294</v>
      </c>
      <c r="V138" s="928">
        <f>Chiler_Price[[#This Row],[Cond. Coils Area (FT)]]*Naming!$I$93</f>
        <v>798</v>
      </c>
      <c r="W138" s="930">
        <f>Chiler_Price[[#This Row],[Cond. Coils Area (FT)]]*Naming!$I$96</f>
        <v>1117.2</v>
      </c>
      <c r="X138" s="928">
        <f>1.5*Chiler_Price[[#This Row],[Cond. Coils Area (FT)]]</f>
        <v>63</v>
      </c>
      <c r="Y138" s="927">
        <f>1500*1.35*Chiler_Price[[#This Row],[NO. Of Compressors]]</f>
        <v>6075.0000000000009</v>
      </c>
      <c r="Z138" s="927">
        <f>400*1.35*Chiler_Price[[#This Row],[NO. Of Compressors]]</f>
        <v>1620</v>
      </c>
      <c r="AA138" s="927">
        <f>650*1.35*Chiler_Price[[#This Row],[NO. Of Evap. Cooler ]]</f>
        <v>877.50000000000011</v>
      </c>
      <c r="AB138" s="927">
        <f>650*4*1.35*Chiler_Price[[#This Row],[NO. Of Evap. Cooler ]]</f>
        <v>3510.0000000000005</v>
      </c>
      <c r="AC138" s="927">
        <f>560*1.35*Chiler_Price[[#This Row],[NO. Of Evap. Cooler ]]</f>
        <v>756</v>
      </c>
      <c r="AD138" s="927">
        <v>0</v>
      </c>
      <c r="AE138" s="927">
        <f>700*1.35*Chiler_Price[[#This Row],[NO. Of Compressors]]</f>
        <v>2835.0000000000005</v>
      </c>
      <c r="AF138" s="927">
        <f>100*1.35*Chiler_Price[[#This Row],[NO. Of Compressors]]</f>
        <v>405</v>
      </c>
      <c r="AG138" s="927">
        <f>100*1.35*Chiler_Price[[#This Row],[NO. Of Compressors]]</f>
        <v>405</v>
      </c>
      <c r="AH138" s="927">
        <f>600*1.35*Chiler_Price[[#This Row],[NO. Of Compressors]]</f>
        <v>2430</v>
      </c>
      <c r="AI138" s="927">
        <v>405</v>
      </c>
      <c r="AJ138" s="927">
        <v>0</v>
      </c>
      <c r="AK138" s="927">
        <f>Chiler_Price[[#This Row],[NO. of Cond. Fans]]*62*1.1*1.35</f>
        <v>276.21000000000004</v>
      </c>
      <c r="AL138" s="927">
        <f>450*1.35*Chiler_Price[[#This Row],[NO. Of Compressors]]</f>
        <v>1822.5</v>
      </c>
      <c r="AM138" s="927">
        <f>Chiler_Price[[#This Row],[NO. of Cond. Fans]]*62*1.1*1.35</f>
        <v>276.21000000000004</v>
      </c>
      <c r="AN138" s="927">
        <f t="shared" si="6"/>
        <v>1282.5</v>
      </c>
      <c r="AO138" s="927">
        <f t="shared" si="7"/>
        <v>1.3515999999999999</v>
      </c>
      <c r="AP138" s="927">
        <f t="shared" si="8"/>
        <v>2430</v>
      </c>
      <c r="AQ138" s="927">
        <f>560*1.35*Chiler_Price[[#This Row],[NO. Of Evap. Cooler ]]</f>
        <v>756</v>
      </c>
      <c r="AR138" s="927">
        <f>100*1.35*Chiler_Price[[#This Row],[NO. Of Evap. Cooler ]]</f>
        <v>135</v>
      </c>
      <c r="AS138" s="944">
        <v>286</v>
      </c>
      <c r="AT138" s="712"/>
      <c r="AU138" s="712"/>
      <c r="BC138" s="712"/>
      <c r="BD138" s="712"/>
      <c r="BE138" s="712"/>
      <c r="BF138" s="712"/>
      <c r="BG138" s="712"/>
      <c r="BI138" s="712"/>
    </row>
    <row r="139" spans="1:61" ht="12.75">
      <c r="A139" s="939" t="s">
        <v>2093</v>
      </c>
      <c r="B139" s="927" t="s">
        <v>2052</v>
      </c>
      <c r="C139" s="927" t="s">
        <v>2052</v>
      </c>
      <c r="D139" s="927">
        <v>0</v>
      </c>
      <c r="E139" s="927">
        <v>3</v>
      </c>
      <c r="F139" s="927">
        <v>58.1</v>
      </c>
      <c r="G139" s="927">
        <v>4</v>
      </c>
      <c r="H139" s="927">
        <v>1</v>
      </c>
      <c r="I139" s="927">
        <f>Chiler_Price[[#This Row],[NO. of Cond Coils]]</f>
        <v>3</v>
      </c>
      <c r="J139" s="927">
        <v>15</v>
      </c>
      <c r="K139" s="927">
        <v>4</v>
      </c>
      <c r="L139" s="927"/>
      <c r="M139" s="927"/>
      <c r="N139" s="938">
        <v>0</v>
      </c>
      <c r="O139" s="941">
        <v>15926.900000000001</v>
      </c>
      <c r="P139" s="928"/>
      <c r="Q139" s="928">
        <v>0</v>
      </c>
      <c r="R139" s="927">
        <f>125*1.35*Chiler_Price[[#This Row],[NO. of Cond Coils]]</f>
        <v>506.25</v>
      </c>
      <c r="S139" s="929">
        <f>Chiler_Price[[#This Row],[Cond. Coils Area (FT)]]*4*Naming!$M$62</f>
        <v>5205.76</v>
      </c>
      <c r="T139" s="929">
        <f>5*Chiler_Price[[#This Row],[Cond. Coils Area (FT)]]</f>
        <v>290.5</v>
      </c>
      <c r="U139" s="929">
        <f>7*Chiler_Price[[#This Row],[Cond. Coils Area (FT)]]</f>
        <v>406.7</v>
      </c>
      <c r="V139" s="928">
        <f>Chiler_Price[[#This Row],[Cond. Coils Area (FT)]]*Naming!$I$93</f>
        <v>1103.9000000000001</v>
      </c>
      <c r="W139" s="930">
        <f>Chiler_Price[[#This Row],[Cond. Coils Area (FT)]]*Naming!$I$96</f>
        <v>1545.46</v>
      </c>
      <c r="X139" s="928">
        <f>1.5*Chiler_Price[[#This Row],[Cond. Coils Area (FT)]]</f>
        <v>87.15</v>
      </c>
      <c r="Y139" s="927">
        <f>1500*1.35*Chiler_Price[[#This Row],[NO. Of Compressors]]</f>
        <v>8100.0000000000009</v>
      </c>
      <c r="Z139" s="927">
        <f>400*1.35*Chiler_Price[[#This Row],[NO. Of Compressors]]</f>
        <v>2160</v>
      </c>
      <c r="AA139" s="927">
        <f>650*1.35*Chiler_Price[[#This Row],[NO. Of Evap. Cooler ]]</f>
        <v>877.50000000000011</v>
      </c>
      <c r="AB139" s="927">
        <f>650*4*1.35*Chiler_Price[[#This Row],[NO. Of Evap. Cooler ]]</f>
        <v>3510.0000000000005</v>
      </c>
      <c r="AC139" s="927">
        <f>560*1.35*Chiler_Price[[#This Row],[NO. Of Evap. Cooler ]]</f>
        <v>756</v>
      </c>
      <c r="AD139" s="927">
        <v>0</v>
      </c>
      <c r="AE139" s="927">
        <f>700*1.35*Chiler_Price[[#This Row],[NO. Of Compressors]]</f>
        <v>3780.0000000000005</v>
      </c>
      <c r="AF139" s="927">
        <f>100*1.35*Chiler_Price[[#This Row],[NO. Of Compressors]]</f>
        <v>540</v>
      </c>
      <c r="AG139" s="927">
        <f>100*1.35*Chiler_Price[[#This Row],[NO. Of Compressors]]</f>
        <v>540</v>
      </c>
      <c r="AH139" s="927">
        <f>600*1.35*Chiler_Price[[#This Row],[NO. Of Compressors]]</f>
        <v>3240</v>
      </c>
      <c r="AI139" s="927">
        <v>405</v>
      </c>
      <c r="AJ139" s="927">
        <v>0</v>
      </c>
      <c r="AK139" s="927">
        <f>Chiler_Price[[#This Row],[NO. of Cond. Fans]]*62*1.1*1.35</f>
        <v>276.21000000000004</v>
      </c>
      <c r="AL139" s="927">
        <f>450*1.35*Chiler_Price[[#This Row],[NO. Of Compressors]]</f>
        <v>2430</v>
      </c>
      <c r="AM139" s="927">
        <f>Chiler_Price[[#This Row],[NO. of Cond. Fans]]*62*1.1*1.35</f>
        <v>276.21000000000004</v>
      </c>
      <c r="AN139" s="927">
        <f t="shared" si="6"/>
        <v>1282.5</v>
      </c>
      <c r="AO139" s="927">
        <f t="shared" si="7"/>
        <v>1.3515999999999999</v>
      </c>
      <c r="AP139" s="927">
        <f t="shared" si="8"/>
        <v>2430</v>
      </c>
      <c r="AQ139" s="927">
        <f>560*1.35*Chiler_Price[[#This Row],[NO. Of Evap. Cooler ]]</f>
        <v>756</v>
      </c>
      <c r="AR139" s="927">
        <f>100*1.35*Chiler_Price[[#This Row],[NO. Of Evap. Cooler ]]</f>
        <v>135</v>
      </c>
      <c r="AS139" s="944">
        <v>286</v>
      </c>
      <c r="AT139" s="712"/>
      <c r="AU139" s="712"/>
      <c r="BC139" s="712"/>
      <c r="BD139" s="712"/>
      <c r="BE139" s="712"/>
      <c r="BF139" s="712"/>
      <c r="BG139" s="712"/>
      <c r="BI139" s="712"/>
    </row>
    <row r="140" spans="1:61" ht="12.75">
      <c r="A140" s="939" t="s">
        <v>2094</v>
      </c>
      <c r="B140" s="940">
        <v>0</v>
      </c>
      <c r="C140" s="927">
        <v>0</v>
      </c>
      <c r="D140" s="927">
        <v>0</v>
      </c>
      <c r="E140" s="927">
        <v>3</v>
      </c>
      <c r="F140" s="927">
        <v>58.1</v>
      </c>
      <c r="G140" s="927">
        <v>4</v>
      </c>
      <c r="H140" s="927">
        <v>1</v>
      </c>
      <c r="I140" s="927">
        <f>Chiler_Price[[#This Row],[NO. of Cond Coils]]</f>
        <v>3</v>
      </c>
      <c r="J140" s="927">
        <v>12</v>
      </c>
      <c r="K140" s="927">
        <v>2</v>
      </c>
      <c r="L140" s="927">
        <v>15</v>
      </c>
      <c r="M140" s="927">
        <v>2</v>
      </c>
      <c r="N140" s="938">
        <v>0</v>
      </c>
      <c r="O140" s="941">
        <v>18349.100000000002</v>
      </c>
      <c r="P140" s="928"/>
      <c r="Q140" s="928">
        <v>0</v>
      </c>
      <c r="R140" s="927">
        <f>125*1.35*Chiler_Price[[#This Row],[NO. of Cond Coils]]</f>
        <v>506.25</v>
      </c>
      <c r="S140" s="929">
        <f>Chiler_Price[[#This Row],[Cond. Coils Area (FT)]]*4*Naming!$M$62</f>
        <v>5205.76</v>
      </c>
      <c r="T140" s="929">
        <f>5*Chiler_Price[[#This Row],[Cond. Coils Area (FT)]]</f>
        <v>290.5</v>
      </c>
      <c r="U140" s="929">
        <f>7*Chiler_Price[[#This Row],[Cond. Coils Area (FT)]]</f>
        <v>406.7</v>
      </c>
      <c r="V140" s="928">
        <f>Chiler_Price[[#This Row],[Cond. Coils Area (FT)]]*Naming!$I$93</f>
        <v>1103.9000000000001</v>
      </c>
      <c r="W140" s="930">
        <f>Chiler_Price[[#This Row],[Cond. Coils Area (FT)]]*Naming!$I$96</f>
        <v>1545.46</v>
      </c>
      <c r="X140" s="928">
        <f>1.5*Chiler_Price[[#This Row],[Cond. Coils Area (FT)]]</f>
        <v>87.15</v>
      </c>
      <c r="Y140" s="927">
        <f>1500*1.35*Chiler_Price[[#This Row],[NO. Of Compressors]]</f>
        <v>8100.0000000000009</v>
      </c>
      <c r="Z140" s="927">
        <f>400*1.35*Chiler_Price[[#This Row],[NO. Of Compressors]]</f>
        <v>2160</v>
      </c>
      <c r="AA140" s="927">
        <f>650*1.35*Chiler_Price[[#This Row],[NO. Of Evap. Cooler ]]</f>
        <v>877.50000000000011</v>
      </c>
      <c r="AB140" s="927">
        <f>650*4*1.35*Chiler_Price[[#This Row],[NO. Of Evap. Cooler ]]</f>
        <v>3510.0000000000005</v>
      </c>
      <c r="AC140" s="927">
        <f>560*1.35*Chiler_Price[[#This Row],[NO. Of Evap. Cooler ]]</f>
        <v>756</v>
      </c>
      <c r="AD140" s="927">
        <v>0</v>
      </c>
      <c r="AE140" s="927">
        <f>700*1.35*Chiler_Price[[#This Row],[NO. Of Compressors]]</f>
        <v>3780.0000000000005</v>
      </c>
      <c r="AF140" s="927">
        <f>100*1.35*Chiler_Price[[#This Row],[NO. Of Compressors]]</f>
        <v>540</v>
      </c>
      <c r="AG140" s="927">
        <f>100*1.35*Chiler_Price[[#This Row],[NO. Of Compressors]]</f>
        <v>540</v>
      </c>
      <c r="AH140" s="927">
        <f>600*1.35*Chiler_Price[[#This Row],[NO. Of Compressors]]</f>
        <v>3240</v>
      </c>
      <c r="AI140" s="927">
        <v>405</v>
      </c>
      <c r="AJ140" s="927">
        <v>0</v>
      </c>
      <c r="AK140" s="927">
        <f>Chiler_Price[[#This Row],[NO. of Cond. Fans]]*62*1.1*1.35</f>
        <v>276.21000000000004</v>
      </c>
      <c r="AL140" s="927">
        <f>450*1.35*Chiler_Price[[#This Row],[NO. Of Compressors]]</f>
        <v>2430</v>
      </c>
      <c r="AM140" s="927">
        <f>Chiler_Price[[#This Row],[NO. of Cond. Fans]]*62*1.1*1.35</f>
        <v>276.21000000000004</v>
      </c>
      <c r="AN140" s="927">
        <f t="shared" si="6"/>
        <v>1282.5</v>
      </c>
      <c r="AO140" s="927">
        <f t="shared" si="7"/>
        <v>1.3515999999999999</v>
      </c>
      <c r="AP140" s="927">
        <f t="shared" si="8"/>
        <v>2430</v>
      </c>
      <c r="AQ140" s="927">
        <f>560*1.35*Chiler_Price[[#This Row],[NO. Of Evap. Cooler ]]</f>
        <v>756</v>
      </c>
      <c r="AR140" s="927">
        <f>100*1.35*Chiler_Price[[#This Row],[NO. Of Evap. Cooler ]]</f>
        <v>135</v>
      </c>
      <c r="AS140" s="944">
        <v>286</v>
      </c>
      <c r="AT140" s="712"/>
      <c r="AU140" s="712"/>
      <c r="BC140" s="712"/>
      <c r="BD140" s="712"/>
      <c r="BE140" s="712"/>
      <c r="BF140" s="712"/>
      <c r="BG140" s="712"/>
      <c r="BI140" s="712"/>
    </row>
    <row r="141" spans="1:61" ht="12.75">
      <c r="A141" s="942" t="s">
        <v>2095</v>
      </c>
      <c r="B141" s="932" t="s">
        <v>2054</v>
      </c>
      <c r="C141" s="932" t="s">
        <v>2054</v>
      </c>
      <c r="D141" s="927">
        <v>0</v>
      </c>
      <c r="E141" s="932">
        <v>3</v>
      </c>
      <c r="F141" s="932">
        <v>60.7</v>
      </c>
      <c r="G141" s="932">
        <v>4</v>
      </c>
      <c r="H141" s="932">
        <v>1</v>
      </c>
      <c r="I141" s="932">
        <f>Chiler_Price[[#This Row],[NO. of Cond Coils]]</f>
        <v>3</v>
      </c>
      <c r="J141" s="932">
        <v>15</v>
      </c>
      <c r="K141" s="932">
        <v>4</v>
      </c>
      <c r="L141" s="932"/>
      <c r="M141" s="932"/>
      <c r="N141" s="938">
        <v>0</v>
      </c>
      <c r="O141" s="943">
        <v>19990.300000000003</v>
      </c>
      <c r="P141" s="933"/>
      <c r="Q141" s="928">
        <v>0</v>
      </c>
      <c r="R141" s="932">
        <f>125*1.35*Chiler_Price[[#This Row],[NO. of Cond Coils]]</f>
        <v>506.25</v>
      </c>
      <c r="S141" s="929">
        <f>Chiler_Price[[#This Row],[Cond. Coils Area (FT)]]*4*Naming!$M$62</f>
        <v>5438.72</v>
      </c>
      <c r="T141" s="934">
        <f>5*Chiler_Price[[#This Row],[Cond. Coils Area (FT)]]</f>
        <v>303.5</v>
      </c>
      <c r="U141" s="934">
        <f>7*Chiler_Price[[#This Row],[Cond. Coils Area (FT)]]</f>
        <v>424.90000000000003</v>
      </c>
      <c r="V141" s="933">
        <f>Chiler_Price[[#This Row],[Cond. Coils Area (FT)]]*Naming!$I$93</f>
        <v>1153.3</v>
      </c>
      <c r="W141" s="935">
        <f>Chiler_Price[[#This Row],[Cond. Coils Area (FT)]]*Naming!$I$96</f>
        <v>1614.6200000000001</v>
      </c>
      <c r="X141" s="928">
        <f>1.5*Chiler_Price[[#This Row],[Cond. Coils Area (FT)]]</f>
        <v>91.050000000000011</v>
      </c>
      <c r="Y141" s="932">
        <f>1500*1.35*Chiler_Price[[#This Row],[NO. Of Compressors]]</f>
        <v>8100.0000000000009</v>
      </c>
      <c r="Z141" s="932">
        <f>400*1.35*Chiler_Price[[#This Row],[NO. Of Compressors]]</f>
        <v>2160</v>
      </c>
      <c r="AA141" s="932">
        <f>650*1.35*Chiler_Price[[#This Row],[NO. Of Evap. Cooler ]]</f>
        <v>877.50000000000011</v>
      </c>
      <c r="AB141" s="932">
        <f>650*4*1.35*Chiler_Price[[#This Row],[NO. Of Evap. Cooler ]]</f>
        <v>3510.0000000000005</v>
      </c>
      <c r="AC141" s="932">
        <f>560*1.35*Chiler_Price[[#This Row],[NO. Of Evap. Cooler ]]</f>
        <v>756</v>
      </c>
      <c r="AD141" s="927">
        <v>0</v>
      </c>
      <c r="AE141" s="932">
        <f>700*1.35*Chiler_Price[[#This Row],[NO. Of Compressors]]</f>
        <v>3780.0000000000005</v>
      </c>
      <c r="AF141" s="932">
        <f>100*1.35*Chiler_Price[[#This Row],[NO. Of Compressors]]</f>
        <v>540</v>
      </c>
      <c r="AG141" s="932">
        <f>100*1.35*Chiler_Price[[#This Row],[NO. Of Compressors]]</f>
        <v>540</v>
      </c>
      <c r="AH141" s="932">
        <f>600*1.35*Chiler_Price[[#This Row],[NO. Of Compressors]]</f>
        <v>3240</v>
      </c>
      <c r="AI141" s="927">
        <v>405</v>
      </c>
      <c r="AJ141" s="927">
        <v>0</v>
      </c>
      <c r="AK141" s="932">
        <f>Chiler_Price[[#This Row],[NO. of Cond. Fans]]*62*1.1*1.35</f>
        <v>276.21000000000004</v>
      </c>
      <c r="AL141" s="932">
        <f>450*1.35*Chiler_Price[[#This Row],[NO. Of Compressors]]</f>
        <v>2430</v>
      </c>
      <c r="AM141" s="932">
        <f>Chiler_Price[[#This Row],[NO. of Cond. Fans]]*62*1.1*1.35</f>
        <v>276.21000000000004</v>
      </c>
      <c r="AN141" s="932">
        <f t="shared" si="6"/>
        <v>1282.5</v>
      </c>
      <c r="AO141" s="932">
        <f t="shared" si="7"/>
        <v>1.3515999999999999</v>
      </c>
      <c r="AP141" s="932">
        <f t="shared" si="8"/>
        <v>2430</v>
      </c>
      <c r="AQ141" s="932">
        <f>560*1.35*Chiler_Price[[#This Row],[NO. Of Evap. Cooler ]]</f>
        <v>756</v>
      </c>
      <c r="AR141" s="932">
        <f>100*1.35*Chiler_Price[[#This Row],[NO. Of Evap. Cooler ]]</f>
        <v>135</v>
      </c>
      <c r="AS141" s="944">
        <v>286</v>
      </c>
      <c r="AT141" s="712"/>
      <c r="AU141" s="712"/>
      <c r="BC141" s="712"/>
      <c r="BD141" s="712"/>
      <c r="BE141" s="712"/>
      <c r="BF141" s="712"/>
      <c r="BG141" s="712"/>
      <c r="BI141" s="712"/>
    </row>
    <row r="142" spans="1:61">
      <c r="X142" s="712"/>
      <c r="Z142" s="712"/>
      <c r="AA142" s="712"/>
      <c r="AF142" s="712"/>
      <c r="AH142" s="712"/>
      <c r="AI142" s="712"/>
      <c r="AJ142" s="712"/>
      <c r="AK142" s="712"/>
      <c r="AL142" s="712"/>
      <c r="AO142" s="712"/>
      <c r="AP142" s="712"/>
      <c r="AQ142" s="712"/>
      <c r="AR142" s="712"/>
      <c r="AS142" s="712"/>
      <c r="AT142" s="712"/>
      <c r="AU142" s="712"/>
      <c r="BC142" s="712"/>
      <c r="BD142" s="712"/>
      <c r="BE142" s="712"/>
      <c r="BF142" s="712"/>
      <c r="BG142" s="712"/>
      <c r="BI142" s="712"/>
    </row>
    <row r="143" spans="1:61">
      <c r="X143" s="712"/>
      <c r="Z143" s="712"/>
      <c r="AA143" s="712"/>
      <c r="AF143" s="712"/>
      <c r="AH143" s="712"/>
      <c r="AI143" s="712"/>
      <c r="AJ143" s="712"/>
      <c r="AK143" s="712"/>
      <c r="AL143" s="712"/>
      <c r="AO143" s="712"/>
      <c r="AP143" s="712"/>
      <c r="AQ143" s="712"/>
      <c r="AR143" s="712"/>
      <c r="AS143" s="712"/>
      <c r="AT143" s="712"/>
      <c r="AU143" s="712"/>
      <c r="BC143" s="712"/>
      <c r="BD143" s="712"/>
      <c r="BE143" s="712"/>
      <c r="BF143" s="712"/>
      <c r="BG143" s="712"/>
      <c r="BI143" s="712"/>
    </row>
    <row r="144" spans="1:61">
      <c r="A144"/>
      <c r="X144" s="712"/>
      <c r="Z144" s="712"/>
      <c r="AA144" s="712"/>
      <c r="AF144" s="712"/>
      <c r="AH144" s="712"/>
      <c r="AI144" s="712"/>
      <c r="AJ144" s="712"/>
      <c r="AK144" s="712"/>
      <c r="AL144" s="712"/>
      <c r="AO144" s="712"/>
      <c r="AP144" s="712"/>
      <c r="AQ144" s="712"/>
      <c r="AR144" s="712"/>
      <c r="AS144" s="712"/>
      <c r="AT144" s="712"/>
      <c r="AU144" s="712"/>
      <c r="BC144" s="712"/>
      <c r="BD144" s="712"/>
      <c r="BE144" s="712"/>
      <c r="BF144" s="712"/>
      <c r="BG144" s="712"/>
      <c r="BI144" s="712"/>
    </row>
    <row r="145" spans="1:61">
      <c r="A145"/>
      <c r="X145" s="712"/>
      <c r="Z145" s="712"/>
      <c r="AA145" s="712"/>
      <c r="AF145" s="712"/>
      <c r="AH145" s="712"/>
      <c r="AI145" s="712"/>
      <c r="AJ145" s="712"/>
      <c r="AK145" s="712"/>
      <c r="AL145" s="712"/>
      <c r="AO145" s="712"/>
      <c r="AP145" s="712"/>
      <c r="AQ145" s="712"/>
      <c r="AR145" s="712"/>
      <c r="AS145" s="712"/>
      <c r="AT145" s="712"/>
      <c r="AU145" s="712"/>
      <c r="BC145" s="712"/>
      <c r="BD145" s="712"/>
      <c r="BE145" s="712"/>
      <c r="BF145" s="712"/>
      <c r="BG145" s="712"/>
      <c r="BI145" s="712"/>
    </row>
    <row r="146" spans="1:61">
      <c r="A146"/>
      <c r="X146" s="712"/>
      <c r="Z146" s="712"/>
      <c r="AA146" s="712"/>
      <c r="AF146" s="712"/>
      <c r="AH146" s="712"/>
      <c r="AI146" s="712"/>
      <c r="AJ146" s="712"/>
      <c r="AK146" s="712"/>
      <c r="AL146" s="712"/>
      <c r="AO146" s="712"/>
      <c r="AP146" s="712"/>
      <c r="AQ146" s="712"/>
      <c r="AR146" s="712"/>
      <c r="AS146" s="712"/>
      <c r="AT146" s="712"/>
      <c r="AU146" s="712"/>
      <c r="BC146" s="712"/>
      <c r="BD146" s="712"/>
      <c r="BE146" s="712"/>
      <c r="BF146" s="712"/>
      <c r="BG146" s="712"/>
      <c r="BI146" s="712"/>
    </row>
    <row r="147" spans="1:61">
      <c r="A147"/>
      <c r="X147" s="712"/>
      <c r="Z147" s="712"/>
      <c r="AA147" s="712"/>
      <c r="AF147" s="712"/>
      <c r="AH147" s="712"/>
      <c r="AI147" s="712"/>
      <c r="AJ147" s="712"/>
      <c r="AK147" s="712"/>
      <c r="AL147" s="712"/>
      <c r="AO147" s="712"/>
      <c r="AP147" s="712"/>
      <c r="AQ147" s="712"/>
      <c r="AR147" s="712"/>
      <c r="AS147" s="712"/>
      <c r="AT147" s="712"/>
      <c r="AU147" s="712"/>
      <c r="BC147" s="712"/>
      <c r="BD147" s="712"/>
      <c r="BE147" s="712"/>
      <c r="BF147" s="712"/>
      <c r="BG147" s="712"/>
      <c r="BI147" s="712"/>
    </row>
    <row r="148" spans="1:61">
      <c r="A148"/>
      <c r="X148" s="712"/>
      <c r="Z148" s="712"/>
      <c r="AA148" s="712"/>
      <c r="AF148" s="712"/>
      <c r="AH148" s="712"/>
      <c r="AI148" s="712"/>
      <c r="AJ148" s="712"/>
      <c r="AK148" s="712"/>
      <c r="AL148" s="712"/>
      <c r="AO148" s="712"/>
      <c r="AP148" s="712"/>
      <c r="AQ148" s="712"/>
      <c r="AR148" s="712"/>
      <c r="AS148" s="712"/>
      <c r="AT148" s="712"/>
      <c r="AU148" s="712"/>
      <c r="BC148" s="712"/>
      <c r="BD148" s="712"/>
      <c r="BE148" s="712"/>
      <c r="BF148" s="712"/>
      <c r="BG148" s="712"/>
      <c r="BI148" s="712"/>
    </row>
    <row r="149" spans="1:61">
      <c r="A149"/>
      <c r="X149" s="712"/>
      <c r="Z149" s="712"/>
      <c r="AA149" s="712"/>
      <c r="AF149" s="712"/>
      <c r="AH149" s="712"/>
      <c r="AI149" s="712"/>
      <c r="AJ149" s="712"/>
      <c r="AK149" s="712"/>
      <c r="AL149" s="712"/>
      <c r="AO149" s="712"/>
      <c r="AP149" s="712"/>
      <c r="AQ149" s="712"/>
      <c r="AR149" s="712"/>
      <c r="AS149" s="712"/>
      <c r="AT149" s="712"/>
      <c r="AU149" s="712"/>
      <c r="BC149" s="712"/>
      <c r="BD149" s="712"/>
      <c r="BE149" s="712"/>
      <c r="BF149" s="712"/>
      <c r="BG149" s="712"/>
      <c r="BI149" s="712"/>
    </row>
    <row r="150" spans="1:61">
      <c r="A150"/>
      <c r="X150" s="712"/>
      <c r="Z150" s="712"/>
      <c r="AA150" s="712"/>
      <c r="AF150" s="712"/>
      <c r="AH150" s="712"/>
      <c r="AI150" s="712"/>
      <c r="AJ150" s="712"/>
      <c r="AK150" s="712"/>
      <c r="AL150" s="712"/>
      <c r="AO150" s="712"/>
      <c r="AP150" s="712"/>
      <c r="AQ150" s="712"/>
      <c r="AR150" s="712"/>
      <c r="AS150" s="712"/>
      <c r="AT150" s="712"/>
      <c r="AU150" s="712"/>
      <c r="BC150" s="712"/>
      <c r="BD150" s="712"/>
      <c r="BE150" s="712"/>
      <c r="BF150" s="712"/>
      <c r="BG150" s="712"/>
      <c r="BI150" s="712"/>
    </row>
    <row r="151" spans="1:61">
      <c r="A151"/>
      <c r="X151" s="712"/>
      <c r="Z151" s="712"/>
      <c r="AA151" s="712"/>
      <c r="AF151" s="712"/>
      <c r="AH151" s="712"/>
      <c r="AI151" s="712"/>
      <c r="AJ151" s="712"/>
      <c r="AK151" s="712"/>
      <c r="AL151" s="712"/>
      <c r="AO151" s="712"/>
      <c r="AP151" s="712"/>
      <c r="AQ151" s="712"/>
      <c r="AR151" s="712"/>
      <c r="AS151" s="712"/>
      <c r="AT151" s="712"/>
      <c r="AU151" s="712"/>
      <c r="BC151" s="712"/>
      <c r="BD151" s="712"/>
      <c r="BE151" s="712"/>
      <c r="BF151" s="712"/>
      <c r="BG151" s="712"/>
      <c r="BI151" s="712"/>
    </row>
    <row r="152" spans="1:61">
      <c r="A152"/>
      <c r="X152" s="712"/>
      <c r="Z152" s="712"/>
      <c r="AA152" s="712"/>
      <c r="AF152" s="712"/>
      <c r="AH152" s="712"/>
      <c r="AI152" s="712"/>
      <c r="AJ152" s="712"/>
      <c r="AK152" s="712"/>
      <c r="AL152" s="712"/>
      <c r="AO152" s="712"/>
      <c r="AP152" s="712"/>
      <c r="AQ152" s="712"/>
      <c r="AR152" s="712"/>
      <c r="AS152" s="712"/>
      <c r="AT152" s="712"/>
      <c r="AU152" s="712"/>
      <c r="BC152" s="712"/>
      <c r="BD152" s="712"/>
      <c r="BE152" s="712"/>
      <c r="BF152" s="712"/>
      <c r="BG152" s="712"/>
      <c r="BI152" s="712"/>
    </row>
    <row r="153" spans="1:61">
      <c r="A153"/>
      <c r="X153" s="712"/>
      <c r="Z153" s="712"/>
      <c r="AA153" s="712"/>
      <c r="AF153" s="712"/>
      <c r="AH153" s="712"/>
      <c r="AI153" s="712"/>
      <c r="AJ153" s="712"/>
      <c r="AK153" s="712"/>
      <c r="AL153" s="712"/>
      <c r="AO153" s="712"/>
      <c r="AP153" s="712"/>
      <c r="AQ153" s="712"/>
      <c r="AR153" s="712"/>
      <c r="AS153" s="712"/>
      <c r="AT153" s="712"/>
      <c r="AU153" s="712"/>
      <c r="BB153"/>
      <c r="BD153" s="712"/>
      <c r="BE153" s="712"/>
      <c r="BF153" s="712"/>
      <c r="BG153" s="712"/>
      <c r="BH153"/>
      <c r="BI153" s="712"/>
    </row>
    <row r="154" spans="1:61">
      <c r="A154"/>
      <c r="X154" s="712"/>
      <c r="Z154" s="712"/>
      <c r="AA154" s="712"/>
      <c r="AF154" s="712"/>
      <c r="AH154" s="712"/>
      <c r="AI154" s="712"/>
      <c r="AJ154" s="712"/>
      <c r="AK154" s="712"/>
      <c r="AL154" s="712"/>
      <c r="AO154" s="712"/>
      <c r="AP154" s="712"/>
      <c r="AQ154" s="712"/>
      <c r="AR154" s="712"/>
      <c r="AS154" s="712"/>
      <c r="AT154" s="712"/>
      <c r="AU154" s="712"/>
      <c r="BE154" s="712"/>
      <c r="BF154" s="712"/>
      <c r="BG154" s="712"/>
    </row>
    <row r="155" spans="1:61">
      <c r="A155"/>
      <c r="X155" s="712"/>
      <c r="Z155" s="712"/>
      <c r="AA155" s="712"/>
      <c r="AF155" s="712"/>
      <c r="AH155" s="712"/>
      <c r="AI155" s="712"/>
      <c r="AJ155" s="712"/>
      <c r="AK155" s="712"/>
      <c r="AL155" s="712"/>
      <c r="AO155" s="712"/>
      <c r="AP155" s="712"/>
      <c r="AQ155" s="712"/>
      <c r="AR155" s="712"/>
      <c r="AS155" s="712"/>
      <c r="AT155" s="712"/>
      <c r="AU155" s="712"/>
      <c r="BE155" s="712"/>
      <c r="BF155" s="712"/>
      <c r="BG155" s="712"/>
    </row>
    <row r="156" spans="1:61">
      <c r="A156"/>
      <c r="X156" s="712"/>
      <c r="Z156" s="712"/>
      <c r="AA156" s="712"/>
      <c r="AF156" s="712"/>
      <c r="AH156" s="712"/>
      <c r="AI156" s="712"/>
      <c r="AJ156" s="712"/>
      <c r="AK156" s="712"/>
      <c r="AL156" s="712"/>
      <c r="AO156" s="712"/>
      <c r="AP156" s="712"/>
      <c r="AQ156" s="712"/>
      <c r="AR156" s="712"/>
      <c r="AS156" s="712"/>
      <c r="AT156" s="712"/>
      <c r="AU156" s="712"/>
      <c r="BE156" s="712"/>
      <c r="BF156" s="712"/>
      <c r="BG156" s="712"/>
    </row>
    <row r="157" spans="1:61">
      <c r="A157"/>
      <c r="X157" s="712"/>
      <c r="Z157" s="712"/>
      <c r="AA157" s="712"/>
      <c r="AF157" s="712"/>
      <c r="AH157" s="712"/>
      <c r="AI157" s="712"/>
      <c r="AJ157" s="712"/>
      <c r="AK157" s="712"/>
      <c r="AL157" s="712"/>
      <c r="AO157" s="712"/>
      <c r="AP157" s="712"/>
      <c r="AQ157" s="712"/>
      <c r="AR157" s="712"/>
      <c r="AS157" s="712"/>
      <c r="AT157" s="712"/>
      <c r="AU157" s="712"/>
      <c r="BE157" s="712"/>
      <c r="BF157" s="712"/>
      <c r="BG157" s="712"/>
    </row>
    <row r="158" spans="1:61">
      <c r="A158"/>
      <c r="X158" s="712"/>
      <c r="Z158" s="712"/>
      <c r="AA158" s="712"/>
      <c r="AF158" s="712"/>
      <c r="AH158" s="712"/>
      <c r="AI158" s="712"/>
      <c r="AJ158" s="712"/>
      <c r="AK158" s="712"/>
      <c r="AL158" s="712"/>
      <c r="AO158" s="712"/>
      <c r="AP158" s="712"/>
      <c r="AQ158" s="712"/>
      <c r="AR158" s="712"/>
      <c r="AS158" s="712"/>
      <c r="AT158" s="712"/>
      <c r="AU158" s="712"/>
      <c r="BE158" s="712"/>
      <c r="BF158" s="712"/>
      <c r="BG158" s="712"/>
    </row>
    <row r="159" spans="1:61">
      <c r="A159"/>
      <c r="X159" s="712"/>
      <c r="Z159" s="712"/>
      <c r="AA159" s="712"/>
      <c r="AF159" s="712"/>
      <c r="AH159" s="712"/>
      <c r="AI159" s="712"/>
      <c r="AJ159" s="712"/>
      <c r="AK159" s="712"/>
      <c r="AL159" s="712"/>
      <c r="AO159" s="712"/>
      <c r="AP159" s="712"/>
      <c r="AQ159" s="712"/>
      <c r="AR159" s="712"/>
      <c r="AS159" s="712"/>
      <c r="AT159" s="712"/>
      <c r="AU159" s="712"/>
      <c r="BE159" s="712"/>
      <c r="BF159" s="712"/>
      <c r="BG159" s="712"/>
    </row>
    <row r="160" spans="1:61">
      <c r="X160" s="712"/>
      <c r="Z160" s="712"/>
      <c r="AA160" s="712"/>
      <c r="AF160" s="712"/>
      <c r="AH160" s="712"/>
      <c r="AI160" s="712"/>
      <c r="AJ160" s="712"/>
      <c r="AK160" s="712"/>
      <c r="AL160" s="712"/>
      <c r="AO160" s="712"/>
      <c r="AP160" s="712"/>
      <c r="AQ160" s="712"/>
      <c r="AR160" s="712"/>
      <c r="AS160" s="712"/>
      <c r="AT160" s="712"/>
      <c r="AU160" s="712"/>
      <c r="BE160" s="712"/>
      <c r="BF160" s="712"/>
      <c r="BG160" s="712"/>
    </row>
    <row r="161" spans="24:59">
      <c r="X161" s="712"/>
      <c r="Z161" s="712"/>
      <c r="AA161" s="712"/>
      <c r="AF161" s="712"/>
      <c r="AH161" s="712"/>
      <c r="AI161" s="712"/>
      <c r="AJ161" s="712"/>
      <c r="AK161" s="712"/>
      <c r="AL161" s="712"/>
      <c r="AO161" s="712"/>
      <c r="AP161" s="712"/>
      <c r="AQ161" s="712"/>
      <c r="AR161" s="712"/>
      <c r="AS161" s="712"/>
      <c r="AT161" s="712"/>
      <c r="AU161" s="712"/>
      <c r="BE161" s="712"/>
      <c r="BF161" s="712"/>
      <c r="BG161" s="712"/>
    </row>
    <row r="162" spans="24:59">
      <c r="X162" s="712"/>
      <c r="Z162" s="712"/>
      <c r="AA162" s="712"/>
      <c r="AF162" s="712"/>
      <c r="AH162" s="712"/>
      <c r="AI162" s="712"/>
      <c r="AJ162" s="712"/>
      <c r="AK162" s="712"/>
      <c r="AL162" s="712"/>
      <c r="AO162" s="712"/>
      <c r="AP162" s="712"/>
      <c r="AQ162" s="712"/>
      <c r="AR162" s="712"/>
      <c r="AS162" s="712"/>
      <c r="AT162" s="712"/>
      <c r="AU162" s="712"/>
      <c r="BE162" s="712"/>
      <c r="BF162" s="712"/>
      <c r="BG162" s="712"/>
    </row>
    <row r="163" spans="24:59">
      <c r="X163" s="712"/>
      <c r="Z163" s="712"/>
      <c r="AA163" s="712"/>
      <c r="AF163" s="712"/>
      <c r="AH163" s="712"/>
      <c r="AI163" s="712"/>
      <c r="AJ163" s="712"/>
      <c r="AK163" s="712"/>
      <c r="AL163" s="712"/>
      <c r="AO163" s="712"/>
      <c r="AP163" s="712"/>
      <c r="AQ163" s="712"/>
      <c r="AR163" s="712"/>
      <c r="AS163" s="712"/>
      <c r="AT163" s="712"/>
      <c r="AU163" s="712"/>
      <c r="BE163" s="712"/>
      <c r="BF163" s="712"/>
      <c r="BG163" s="712"/>
    </row>
    <row r="164" spans="24:59">
      <c r="X164" s="712"/>
      <c r="Z164" s="712"/>
      <c r="AA164" s="712"/>
      <c r="AF164" s="712"/>
      <c r="AH164" s="712"/>
      <c r="AI164" s="712"/>
      <c r="AJ164" s="712"/>
      <c r="AK164" s="712"/>
      <c r="AL164" s="712"/>
      <c r="AO164" s="712"/>
      <c r="AP164" s="712"/>
      <c r="AQ164" s="712"/>
      <c r="AR164" s="712"/>
      <c r="AS164" s="712"/>
      <c r="AT164" s="712"/>
      <c r="AU164" s="712"/>
      <c r="BE164" s="712"/>
      <c r="BF164" s="712"/>
      <c r="BG164" s="712"/>
    </row>
    <row r="165" spans="24:59">
      <c r="X165" s="712"/>
      <c r="Z165" s="712"/>
      <c r="AA165" s="712"/>
      <c r="AF165" s="712"/>
      <c r="AH165" s="712"/>
      <c r="AI165" s="712"/>
      <c r="AJ165" s="712"/>
      <c r="AK165" s="712"/>
      <c r="AL165" s="712"/>
      <c r="AO165" s="712"/>
      <c r="AP165" s="712"/>
      <c r="AQ165" s="712"/>
      <c r="AR165" s="712"/>
      <c r="AS165" s="712"/>
      <c r="AT165" s="712"/>
      <c r="AU165" s="712"/>
      <c r="BE165" s="712"/>
      <c r="BF165" s="712"/>
      <c r="BG165" s="712"/>
    </row>
    <row r="166" spans="24:59">
      <c r="X166" s="712"/>
      <c r="Z166" s="712"/>
      <c r="AA166" s="712"/>
      <c r="AF166" s="712"/>
      <c r="AH166" s="712"/>
      <c r="AI166" s="712"/>
      <c r="AJ166" s="712"/>
      <c r="AK166" s="712"/>
      <c r="AL166" s="712"/>
      <c r="AO166" s="712"/>
      <c r="AP166" s="712"/>
      <c r="AQ166" s="712"/>
      <c r="AR166" s="712"/>
      <c r="AS166" s="712"/>
      <c r="AT166" s="712"/>
      <c r="AU166" s="712"/>
      <c r="BE166" s="712"/>
      <c r="BF166" s="712"/>
      <c r="BG166" s="712"/>
    </row>
    <row r="167" spans="24:59">
      <c r="X167" s="712"/>
      <c r="Z167" s="712"/>
      <c r="AA167" s="712"/>
      <c r="AF167" s="712"/>
      <c r="AH167" s="712"/>
      <c r="AI167" s="712"/>
      <c r="AJ167" s="712"/>
      <c r="AK167" s="712"/>
      <c r="AL167" s="712"/>
      <c r="AO167" s="712"/>
      <c r="AP167" s="712"/>
      <c r="AQ167" s="712"/>
      <c r="AR167" s="712"/>
      <c r="AS167" s="712"/>
      <c r="AT167" s="712"/>
      <c r="AU167" s="712"/>
      <c r="BE167" s="712"/>
      <c r="BF167" s="712"/>
      <c r="BG167" s="712"/>
    </row>
    <row r="168" spans="24:59">
      <c r="X168" s="712"/>
      <c r="Z168" s="712"/>
      <c r="AA168" s="712"/>
      <c r="AF168" s="712"/>
      <c r="AH168" s="712"/>
      <c r="AI168" s="712"/>
      <c r="AJ168" s="712"/>
      <c r="AK168" s="712"/>
      <c r="AL168" s="712"/>
      <c r="AO168" s="712"/>
      <c r="AP168" s="712"/>
      <c r="AQ168" s="712"/>
      <c r="AR168" s="712"/>
      <c r="AS168" s="712"/>
      <c r="AT168" s="712"/>
      <c r="AU168" s="712"/>
      <c r="BE168" s="712"/>
      <c r="BF168" s="712"/>
      <c r="BG168" s="712"/>
    </row>
    <row r="169" spans="24:59">
      <c r="X169" s="712"/>
      <c r="Z169" s="712"/>
      <c r="AA169" s="712"/>
      <c r="AF169" s="712"/>
      <c r="AH169" s="712"/>
      <c r="AI169" s="712"/>
      <c r="AJ169" s="712"/>
      <c r="AK169" s="712"/>
      <c r="AL169" s="712"/>
      <c r="AO169" s="712"/>
      <c r="AP169" s="712"/>
      <c r="AQ169" s="712"/>
      <c r="AR169" s="712"/>
      <c r="AS169" s="712"/>
      <c r="AT169" s="712"/>
      <c r="AU169" s="712"/>
      <c r="BE169" s="712"/>
      <c r="BF169" s="712"/>
      <c r="BG169" s="712"/>
    </row>
    <row r="170" spans="24:59">
      <c r="X170" s="712"/>
      <c r="Z170" s="712"/>
      <c r="AA170" s="712"/>
      <c r="AF170" s="712"/>
      <c r="AH170" s="712"/>
      <c r="AI170" s="712"/>
      <c r="AJ170" s="712"/>
      <c r="AK170" s="712"/>
      <c r="AL170" s="712"/>
      <c r="AO170" s="712"/>
      <c r="AP170" s="712"/>
      <c r="AQ170" s="712"/>
      <c r="AR170" s="712"/>
      <c r="AS170" s="712"/>
      <c r="AT170" s="712"/>
      <c r="AU170" s="712"/>
      <c r="BE170" s="712"/>
      <c r="BF170" s="712"/>
      <c r="BG170" s="712"/>
    </row>
    <row r="171" spans="24:59">
      <c r="X171" s="712"/>
      <c r="Z171" s="712"/>
      <c r="AA171" s="712"/>
      <c r="AF171" s="712"/>
      <c r="AH171" s="712"/>
      <c r="AI171" s="712"/>
      <c r="AJ171" s="712"/>
      <c r="AK171" s="712"/>
      <c r="AL171" s="712"/>
      <c r="AO171" s="712"/>
      <c r="AP171" s="712"/>
      <c r="AQ171" s="712"/>
      <c r="AR171" s="712"/>
      <c r="AS171" s="712"/>
      <c r="AT171" s="712"/>
      <c r="AU171" s="712"/>
      <c r="BE171" s="712"/>
      <c r="BF171" s="712"/>
      <c r="BG171" s="712"/>
    </row>
    <row r="172" spans="24:59">
      <c r="X172" s="712"/>
      <c r="Z172" s="712"/>
      <c r="AA172" s="712"/>
      <c r="AF172" s="712"/>
      <c r="AH172" s="712"/>
      <c r="AI172" s="712"/>
      <c r="AJ172" s="712"/>
      <c r="AK172" s="712"/>
      <c r="AL172" s="712"/>
      <c r="AO172" s="712"/>
      <c r="AP172" s="712"/>
      <c r="AQ172" s="712"/>
      <c r="AR172" s="712"/>
      <c r="AS172" s="712"/>
      <c r="AT172" s="712"/>
      <c r="AU172" s="712"/>
      <c r="BE172" s="712"/>
      <c r="BF172" s="712"/>
      <c r="BG172" s="712"/>
    </row>
    <row r="173" spans="24:59">
      <c r="X173" s="712"/>
      <c r="Z173" s="712"/>
      <c r="AA173" s="712"/>
      <c r="AF173" s="712"/>
      <c r="AH173" s="712"/>
      <c r="AI173" s="712"/>
      <c r="AJ173" s="712"/>
      <c r="AK173" s="712"/>
      <c r="AL173" s="712"/>
      <c r="AO173" s="712"/>
      <c r="AP173" s="712"/>
      <c r="AQ173" s="712"/>
      <c r="AR173" s="712"/>
      <c r="AS173" s="712"/>
      <c r="AT173" s="712"/>
      <c r="AU173" s="712"/>
      <c r="BE173" s="712"/>
      <c r="BF173" s="712"/>
      <c r="BG173" s="712"/>
    </row>
    <row r="174" spans="24:59">
      <c r="X174" s="712"/>
      <c r="Z174" s="712"/>
      <c r="AA174" s="712"/>
      <c r="AF174" s="712"/>
      <c r="AH174" s="712"/>
      <c r="AI174" s="712"/>
      <c r="AJ174" s="712"/>
      <c r="AK174" s="712"/>
      <c r="AL174" s="712"/>
      <c r="AO174" s="712"/>
      <c r="AP174" s="712"/>
      <c r="AQ174" s="712"/>
      <c r="AR174" s="712"/>
      <c r="AS174" s="712"/>
      <c r="AT174" s="712"/>
      <c r="AU174" s="712"/>
      <c r="BE174" s="712"/>
      <c r="BF174" s="712"/>
      <c r="BG174" s="712"/>
    </row>
    <row r="175" spans="24:59">
      <c r="X175" s="712"/>
      <c r="Z175" s="712"/>
      <c r="AA175" s="712"/>
      <c r="AF175" s="712"/>
      <c r="AH175" s="712"/>
      <c r="AI175" s="712"/>
      <c r="AJ175" s="712"/>
      <c r="AK175" s="712"/>
      <c r="AL175" s="712"/>
      <c r="AO175" s="712"/>
      <c r="AP175" s="712"/>
      <c r="AQ175" s="712"/>
      <c r="AR175" s="712"/>
      <c r="AS175" s="712"/>
      <c r="AT175" s="712"/>
      <c r="AU175" s="712"/>
      <c r="BE175" s="712"/>
      <c r="BF175" s="712"/>
      <c r="BG175" s="712"/>
    </row>
    <row r="176" spans="24:59">
      <c r="X176" s="712"/>
      <c r="Z176" s="712"/>
      <c r="AA176" s="712"/>
      <c r="AF176" s="712"/>
      <c r="AH176" s="712"/>
      <c r="AI176" s="712"/>
      <c r="AJ176" s="712"/>
      <c r="AK176" s="712"/>
      <c r="AL176" s="712"/>
      <c r="AO176" s="712"/>
      <c r="AP176" s="712"/>
      <c r="AQ176" s="712"/>
      <c r="AR176" s="712"/>
      <c r="AS176" s="712"/>
      <c r="AT176" s="712"/>
      <c r="AU176" s="712"/>
      <c r="BE176" s="712"/>
      <c r="BF176" s="712"/>
      <c r="BG176" s="712"/>
    </row>
    <row r="177" spans="24:59">
      <c r="X177" s="712"/>
      <c r="Z177" s="712"/>
      <c r="AA177" s="712"/>
      <c r="AF177" s="712"/>
      <c r="AH177" s="712"/>
      <c r="AI177" s="712"/>
      <c r="AJ177" s="712"/>
      <c r="AK177" s="712"/>
      <c r="AL177" s="712"/>
      <c r="AO177" s="712"/>
      <c r="AP177" s="712"/>
      <c r="AQ177" s="712"/>
      <c r="AR177" s="712"/>
      <c r="AS177" s="712"/>
      <c r="AT177" s="712"/>
      <c r="AU177" s="712"/>
      <c r="BE177" s="712"/>
      <c r="BF177" s="712"/>
      <c r="BG177" s="712"/>
    </row>
    <row r="178" spans="24:59">
      <c r="X178" s="712"/>
      <c r="Z178" s="712"/>
      <c r="AA178" s="712"/>
      <c r="AF178" s="712"/>
      <c r="AH178" s="712"/>
      <c r="AI178" s="712"/>
      <c r="AJ178" s="712"/>
      <c r="AK178" s="712"/>
      <c r="AL178" s="712"/>
      <c r="AO178" s="712"/>
      <c r="AP178" s="712"/>
      <c r="AQ178" s="712"/>
      <c r="AR178" s="712"/>
      <c r="AS178" s="712"/>
      <c r="AT178" s="712"/>
      <c r="AU178" s="712"/>
      <c r="BE178" s="712"/>
      <c r="BF178" s="712"/>
      <c r="BG178" s="712"/>
    </row>
    <row r="179" spans="24:59">
      <c r="X179" s="712"/>
      <c r="Z179" s="712"/>
      <c r="AA179" s="712"/>
      <c r="AF179" s="712"/>
      <c r="AH179" s="712"/>
      <c r="AI179" s="712"/>
      <c r="AJ179" s="712"/>
      <c r="AK179" s="712"/>
      <c r="AL179" s="712"/>
      <c r="AO179" s="712"/>
      <c r="AP179" s="712"/>
      <c r="AQ179" s="712"/>
      <c r="AR179" s="712"/>
      <c r="AS179" s="712"/>
      <c r="AT179" s="712"/>
      <c r="AU179" s="712"/>
      <c r="BE179" s="712"/>
      <c r="BF179" s="712"/>
      <c r="BG179" s="712"/>
    </row>
    <row r="180" spans="24:59">
      <c r="X180" s="712"/>
      <c r="Z180" s="712"/>
      <c r="AA180" s="712"/>
      <c r="AF180" s="712"/>
      <c r="AH180" s="712"/>
      <c r="AI180" s="712"/>
      <c r="AJ180" s="712"/>
      <c r="AK180" s="712"/>
      <c r="AL180" s="712"/>
      <c r="AO180" s="712"/>
      <c r="AP180" s="712"/>
      <c r="AQ180" s="712"/>
      <c r="AR180" s="712"/>
      <c r="AS180" s="712"/>
      <c r="AT180" s="712"/>
      <c r="AU180" s="712"/>
      <c r="BE180" s="712"/>
      <c r="BF180" s="712"/>
      <c r="BG180" s="712"/>
    </row>
    <row r="181" spans="24:59">
      <c r="X181" s="712"/>
      <c r="Z181" s="712"/>
      <c r="AA181" s="712"/>
      <c r="AF181" s="712"/>
      <c r="AH181" s="712"/>
      <c r="AI181" s="712"/>
      <c r="AJ181" s="712"/>
      <c r="AK181" s="712"/>
      <c r="AL181" s="712"/>
      <c r="AO181" s="712"/>
      <c r="AP181" s="712"/>
      <c r="AQ181" s="712"/>
      <c r="AR181" s="712"/>
      <c r="AS181" s="712"/>
      <c r="AT181" s="712"/>
      <c r="AU181" s="712"/>
      <c r="BE181" s="712"/>
      <c r="BF181" s="712"/>
      <c r="BG181" s="712"/>
    </row>
    <row r="182" spans="24:59">
      <c r="X182" s="712"/>
      <c r="Z182" s="712"/>
      <c r="AA182" s="712"/>
      <c r="AF182" s="712"/>
      <c r="AH182" s="712"/>
      <c r="AI182" s="712"/>
      <c r="AJ182" s="712"/>
      <c r="AK182" s="712"/>
      <c r="AL182" s="712"/>
      <c r="AO182" s="712"/>
      <c r="AP182" s="712"/>
      <c r="AQ182" s="712"/>
      <c r="AR182" s="712"/>
      <c r="AS182" s="712"/>
      <c r="AT182" s="712"/>
      <c r="AU182" s="712"/>
      <c r="BE182" s="712"/>
      <c r="BF182" s="712"/>
      <c r="BG182" s="712"/>
    </row>
    <row r="183" spans="24:59">
      <c r="X183" s="712"/>
      <c r="Z183" s="712"/>
      <c r="AA183" s="712"/>
      <c r="AF183" s="712"/>
      <c r="AH183" s="712"/>
      <c r="AI183" s="712"/>
      <c r="AJ183" s="712"/>
      <c r="AK183" s="712"/>
      <c r="AL183" s="712"/>
      <c r="AO183" s="712"/>
      <c r="AP183" s="712"/>
      <c r="AQ183" s="712"/>
      <c r="AR183" s="712"/>
      <c r="AS183" s="712"/>
      <c r="AT183" s="712"/>
      <c r="AU183" s="712"/>
      <c r="BE183" s="712"/>
      <c r="BF183" s="712"/>
      <c r="BG183" s="712"/>
    </row>
    <row r="184" spans="24:59">
      <c r="X184" s="712"/>
      <c r="Z184" s="712"/>
      <c r="AA184" s="712"/>
      <c r="AF184" s="712"/>
      <c r="AH184" s="712"/>
      <c r="AI184" s="712"/>
      <c r="AJ184" s="712"/>
      <c r="AK184" s="712"/>
      <c r="AL184" s="712"/>
      <c r="AO184" s="712"/>
      <c r="AP184" s="712"/>
      <c r="AQ184" s="712"/>
      <c r="AR184" s="712"/>
      <c r="AS184" s="712"/>
      <c r="AT184" s="712"/>
      <c r="AU184" s="712"/>
      <c r="BE184" s="712"/>
      <c r="BF184" s="712"/>
      <c r="BG184" s="712"/>
    </row>
    <row r="185" spans="24:59">
      <c r="X185" s="712"/>
      <c r="Z185" s="712"/>
      <c r="AA185" s="712"/>
      <c r="AF185" s="712"/>
      <c r="AH185" s="712"/>
      <c r="AI185" s="712"/>
      <c r="AJ185" s="712"/>
      <c r="AK185" s="712"/>
      <c r="AL185" s="712"/>
      <c r="AO185" s="712"/>
      <c r="AP185" s="712"/>
      <c r="AQ185" s="712"/>
      <c r="AR185" s="712"/>
      <c r="AS185" s="712"/>
      <c r="AT185" s="712"/>
      <c r="AU185" s="712"/>
      <c r="BE185" s="712"/>
      <c r="BF185" s="712"/>
      <c r="BG185" s="712"/>
    </row>
    <row r="186" spans="24:59">
      <c r="X186" s="712"/>
      <c r="Z186" s="712"/>
      <c r="AA186" s="712"/>
      <c r="AF186" s="712"/>
      <c r="AH186" s="712"/>
      <c r="AI186" s="712"/>
      <c r="AJ186" s="712"/>
      <c r="AK186" s="712"/>
      <c r="AL186" s="712"/>
      <c r="AO186" s="712"/>
      <c r="AP186" s="712"/>
      <c r="AQ186" s="712"/>
      <c r="AR186" s="712"/>
      <c r="AS186" s="712"/>
      <c r="AT186" s="712"/>
      <c r="AU186" s="712"/>
      <c r="BE186" s="712"/>
      <c r="BF186" s="712"/>
      <c r="BG186" s="712"/>
    </row>
    <row r="187" spans="24:59">
      <c r="X187" s="712"/>
      <c r="Z187" s="712"/>
      <c r="AA187" s="712"/>
      <c r="AF187" s="712"/>
      <c r="AH187" s="712"/>
      <c r="AI187" s="712"/>
      <c r="AJ187" s="712"/>
      <c r="AK187" s="712"/>
      <c r="AL187" s="712"/>
      <c r="AO187" s="712"/>
      <c r="AP187" s="712"/>
      <c r="AQ187" s="712"/>
      <c r="AR187" s="712"/>
      <c r="AS187" s="712"/>
      <c r="AT187" s="712"/>
      <c r="AU187" s="712"/>
      <c r="BE187" s="712"/>
      <c r="BF187" s="712"/>
      <c r="BG187" s="712"/>
    </row>
    <row r="188" spans="24:59">
      <c r="X188" s="712"/>
      <c r="Z188" s="712"/>
      <c r="AA188" s="712"/>
      <c r="AF188" s="712"/>
      <c r="AH188" s="712"/>
      <c r="AI188" s="712"/>
      <c r="AJ188" s="712"/>
      <c r="AK188" s="712"/>
      <c r="AL188" s="712"/>
      <c r="AO188" s="712"/>
      <c r="AP188" s="712"/>
      <c r="AQ188" s="712"/>
      <c r="AR188" s="712"/>
      <c r="AS188" s="712"/>
      <c r="AT188" s="712"/>
      <c r="AU188" s="712"/>
      <c r="BE188" s="712"/>
      <c r="BF188" s="712"/>
      <c r="BG188" s="712"/>
    </row>
    <row r="189" spans="24:59">
      <c r="X189" s="712"/>
      <c r="Z189" s="712"/>
      <c r="AA189" s="712"/>
      <c r="AF189" s="712"/>
      <c r="AH189" s="712"/>
      <c r="AI189" s="712"/>
      <c r="AJ189" s="712"/>
      <c r="AK189" s="712"/>
      <c r="AL189" s="712"/>
      <c r="AO189" s="712"/>
      <c r="AP189" s="712"/>
      <c r="AQ189" s="712"/>
      <c r="AR189" s="712"/>
      <c r="AS189" s="712"/>
      <c r="AT189" s="712"/>
      <c r="AU189" s="712"/>
      <c r="BE189" s="712"/>
      <c r="BF189" s="712"/>
      <c r="BG189" s="712"/>
    </row>
    <row r="190" spans="24:59">
      <c r="X190" s="712"/>
      <c r="Z190" s="712"/>
      <c r="AA190" s="712"/>
      <c r="AF190" s="712"/>
      <c r="AH190" s="712"/>
      <c r="AI190" s="712"/>
      <c r="AJ190" s="712"/>
      <c r="AK190" s="712"/>
      <c r="AL190" s="712"/>
      <c r="AO190" s="712"/>
      <c r="AP190" s="712"/>
      <c r="AQ190" s="712"/>
      <c r="AR190" s="712"/>
      <c r="AS190" s="712"/>
      <c r="AT190" s="712"/>
      <c r="AU190" s="712"/>
      <c r="BE190" s="712"/>
      <c r="BF190" s="712"/>
      <c r="BG190" s="712"/>
    </row>
    <row r="191" spans="24:59">
      <c r="X191" s="712"/>
      <c r="Z191" s="712"/>
      <c r="AA191" s="712"/>
      <c r="AF191" s="712"/>
      <c r="AH191" s="712"/>
      <c r="AI191" s="712"/>
      <c r="AJ191" s="712"/>
      <c r="AK191" s="712"/>
      <c r="AL191" s="712"/>
      <c r="AO191" s="712"/>
      <c r="AP191" s="712"/>
      <c r="AQ191" s="712"/>
      <c r="AR191" s="712"/>
      <c r="AS191" s="712"/>
      <c r="AT191" s="712"/>
      <c r="AU191" s="712"/>
      <c r="BE191" s="712"/>
      <c r="BF191" s="712"/>
      <c r="BG191" s="712"/>
    </row>
    <row r="192" spans="24:59">
      <c r="X192" s="712"/>
      <c r="Z192" s="712"/>
      <c r="AA192" s="712"/>
      <c r="AF192" s="712"/>
      <c r="AH192" s="712"/>
      <c r="AI192" s="712"/>
      <c r="AJ192" s="712"/>
      <c r="AK192" s="712"/>
      <c r="AL192" s="712"/>
      <c r="AO192" s="712"/>
      <c r="AP192" s="712"/>
      <c r="AQ192" s="712"/>
      <c r="AR192" s="712"/>
      <c r="AS192" s="712"/>
      <c r="AT192" s="712"/>
      <c r="AU192" s="712"/>
      <c r="BE192" s="712"/>
      <c r="BF192" s="712"/>
      <c r="BG192" s="712"/>
    </row>
    <row r="193" spans="24:59">
      <c r="X193" s="712"/>
      <c r="Z193" s="712"/>
      <c r="AA193" s="712"/>
      <c r="AF193" s="712"/>
      <c r="AH193" s="712"/>
      <c r="AI193" s="712"/>
      <c r="AJ193" s="712"/>
      <c r="AK193" s="712"/>
      <c r="AL193" s="712"/>
      <c r="AO193" s="712"/>
      <c r="AP193" s="712"/>
      <c r="AQ193" s="712"/>
      <c r="AR193" s="712"/>
      <c r="AS193" s="712"/>
      <c r="AT193" s="712"/>
      <c r="AU193" s="712"/>
      <c r="BE193" s="712"/>
      <c r="BF193" s="712"/>
      <c r="BG193" s="712"/>
    </row>
    <row r="194" spans="24:59">
      <c r="X194" s="712"/>
      <c r="Z194" s="712"/>
      <c r="AA194" s="712"/>
      <c r="AF194" s="712"/>
      <c r="AH194" s="712"/>
      <c r="AI194" s="712"/>
      <c r="AJ194" s="712"/>
      <c r="AK194" s="712"/>
      <c r="AL194" s="712"/>
      <c r="AO194" s="712"/>
      <c r="AP194" s="712"/>
      <c r="AQ194" s="712"/>
      <c r="AR194" s="712"/>
      <c r="AS194" s="712"/>
      <c r="AT194" s="712"/>
      <c r="AU194" s="712"/>
      <c r="BE194" s="712"/>
      <c r="BF194" s="712"/>
      <c r="BG194" s="712"/>
    </row>
    <row r="195" spans="24:59">
      <c r="X195" s="712"/>
      <c r="Z195" s="712"/>
      <c r="AA195" s="712"/>
      <c r="AF195" s="712"/>
      <c r="AH195" s="712"/>
      <c r="AI195" s="712"/>
      <c r="AJ195" s="712"/>
      <c r="AK195" s="712"/>
      <c r="AL195" s="712"/>
      <c r="AO195" s="712"/>
      <c r="AP195" s="712"/>
      <c r="AQ195" s="712"/>
      <c r="AR195" s="712"/>
      <c r="AS195" s="712"/>
      <c r="AT195" s="712"/>
      <c r="AU195" s="712"/>
      <c r="BE195" s="712"/>
      <c r="BF195" s="712"/>
      <c r="BG195" s="712"/>
    </row>
    <row r="196" spans="24:59">
      <c r="X196" s="712"/>
      <c r="Z196" s="712"/>
      <c r="AA196" s="712"/>
      <c r="AF196" s="712"/>
      <c r="AH196" s="712"/>
      <c r="AI196" s="712"/>
      <c r="AJ196" s="712"/>
      <c r="AK196" s="712"/>
      <c r="AL196" s="712"/>
      <c r="AO196" s="712"/>
      <c r="AP196" s="712"/>
      <c r="AQ196" s="712"/>
      <c r="AR196" s="712"/>
      <c r="AS196" s="712"/>
      <c r="AT196" s="712"/>
      <c r="AU196" s="712"/>
      <c r="BE196" s="712"/>
      <c r="BF196" s="712"/>
      <c r="BG196" s="712"/>
    </row>
    <row r="197" spans="24:59">
      <c r="X197" s="712"/>
      <c r="Z197" s="712"/>
      <c r="AA197" s="712"/>
      <c r="AF197" s="712"/>
      <c r="AH197" s="712"/>
      <c r="AI197" s="712"/>
      <c r="AJ197" s="712"/>
      <c r="AK197" s="712"/>
      <c r="AL197" s="712"/>
      <c r="AO197" s="712"/>
      <c r="AP197" s="712"/>
      <c r="AQ197" s="712"/>
      <c r="AR197" s="712"/>
      <c r="AS197" s="712"/>
      <c r="AT197" s="712"/>
      <c r="AU197" s="712"/>
      <c r="BE197" s="712"/>
      <c r="BF197" s="712"/>
      <c r="BG197" s="712"/>
    </row>
    <row r="198" spans="24:59">
      <c r="X198" s="712"/>
      <c r="Z198" s="712"/>
      <c r="AA198" s="712"/>
      <c r="AF198" s="712"/>
      <c r="AH198" s="712"/>
      <c r="AI198" s="712"/>
      <c r="AJ198" s="712"/>
      <c r="AK198" s="712"/>
      <c r="AL198" s="712"/>
      <c r="AO198" s="712"/>
      <c r="AP198" s="712"/>
      <c r="AQ198" s="712"/>
      <c r="AR198" s="712"/>
      <c r="AS198" s="712"/>
      <c r="AT198" s="712"/>
      <c r="AU198" s="712"/>
      <c r="BE198" s="712"/>
      <c r="BF198" s="712"/>
      <c r="BG198" s="712"/>
    </row>
    <row r="199" spans="24:59">
      <c r="X199" s="712"/>
      <c r="Z199" s="712"/>
      <c r="AA199" s="712"/>
      <c r="AF199" s="712"/>
      <c r="AH199" s="712"/>
      <c r="AI199" s="712"/>
      <c r="AJ199" s="712"/>
      <c r="AK199" s="712"/>
      <c r="AL199" s="712"/>
      <c r="AO199" s="712"/>
      <c r="AP199" s="712"/>
      <c r="AQ199" s="712"/>
      <c r="AR199" s="712"/>
      <c r="AS199" s="712"/>
      <c r="AT199" s="712"/>
      <c r="AU199" s="712"/>
      <c r="BE199" s="712"/>
      <c r="BF199" s="712"/>
      <c r="BG199" s="712"/>
    </row>
    <row r="200" spans="24:59">
      <c r="X200" s="712"/>
      <c r="Z200" s="712"/>
      <c r="AA200" s="712"/>
      <c r="AF200" s="712"/>
      <c r="AH200" s="712"/>
      <c r="AI200" s="712"/>
      <c r="AJ200" s="712"/>
      <c r="AK200" s="712"/>
      <c r="AL200" s="712"/>
      <c r="AO200" s="712"/>
      <c r="AP200" s="712"/>
      <c r="AQ200" s="712"/>
      <c r="AR200" s="712"/>
      <c r="AS200" s="712"/>
      <c r="AT200" s="712"/>
      <c r="AU200" s="712"/>
      <c r="BE200" s="712"/>
      <c r="BF200" s="712"/>
      <c r="BG200" s="712"/>
    </row>
    <row r="201" spans="24:59">
      <c r="X201" s="712"/>
      <c r="Z201" s="712"/>
      <c r="AA201" s="712"/>
      <c r="AF201" s="712"/>
      <c r="AH201" s="712"/>
      <c r="AI201" s="712"/>
      <c r="AJ201" s="712"/>
      <c r="AK201" s="712"/>
      <c r="AL201" s="712"/>
      <c r="AO201" s="712"/>
      <c r="AP201" s="712"/>
      <c r="AQ201" s="712"/>
      <c r="AR201" s="712"/>
      <c r="AS201" s="712"/>
      <c r="AT201" s="712"/>
      <c r="AU201" s="712"/>
      <c r="BE201" s="712"/>
      <c r="BF201" s="712"/>
      <c r="BG201" s="712"/>
    </row>
    <row r="202" spans="24:59">
      <c r="X202" s="712"/>
      <c r="Z202" s="712"/>
      <c r="AA202" s="712"/>
      <c r="AF202" s="712"/>
      <c r="AH202" s="712"/>
      <c r="AI202" s="712"/>
      <c r="AJ202" s="712"/>
      <c r="AK202" s="712"/>
      <c r="AL202" s="712"/>
      <c r="AO202" s="712"/>
      <c r="AP202" s="712"/>
      <c r="AQ202" s="712"/>
      <c r="AR202" s="712"/>
      <c r="AS202" s="712"/>
      <c r="AT202" s="712"/>
      <c r="AU202" s="712"/>
      <c r="BE202" s="712"/>
      <c r="BF202" s="712"/>
      <c r="BG202" s="712"/>
    </row>
    <row r="203" spans="24:59">
      <c r="X203" s="712"/>
      <c r="Z203" s="712"/>
      <c r="AA203" s="712"/>
      <c r="AF203" s="712"/>
      <c r="AH203" s="712"/>
      <c r="AI203" s="712"/>
      <c r="AJ203" s="712"/>
      <c r="AK203" s="712"/>
      <c r="AL203" s="712"/>
      <c r="AO203" s="712"/>
      <c r="AP203" s="712"/>
      <c r="AQ203" s="712"/>
      <c r="AR203" s="712"/>
      <c r="AS203" s="712"/>
      <c r="AT203" s="712"/>
      <c r="AU203" s="712"/>
      <c r="BE203" s="712"/>
      <c r="BF203" s="712"/>
      <c r="BG203" s="712"/>
    </row>
    <row r="204" spans="24:59">
      <c r="X204" s="712"/>
      <c r="Z204" s="712"/>
      <c r="AA204" s="712"/>
      <c r="AF204" s="712"/>
      <c r="AH204" s="712"/>
      <c r="AI204" s="712"/>
      <c r="AJ204" s="712"/>
      <c r="AK204" s="712"/>
      <c r="AL204" s="712"/>
      <c r="AO204" s="712"/>
      <c r="AP204" s="712"/>
      <c r="AQ204" s="712"/>
      <c r="AR204" s="712"/>
      <c r="AS204" s="712"/>
      <c r="AT204" s="712"/>
      <c r="AU204" s="712"/>
      <c r="BE204" s="712"/>
      <c r="BF204" s="712"/>
      <c r="BG204" s="712"/>
    </row>
    <row r="205" spans="24:59">
      <c r="X205" s="712"/>
      <c r="Z205" s="712"/>
      <c r="AA205" s="712"/>
      <c r="AF205" s="712"/>
      <c r="AH205" s="712"/>
      <c r="AI205" s="712"/>
      <c r="AJ205" s="712"/>
      <c r="AK205" s="712"/>
      <c r="AL205" s="712"/>
      <c r="AO205" s="712"/>
      <c r="AP205" s="712"/>
      <c r="AQ205" s="712"/>
      <c r="AR205" s="712"/>
      <c r="AS205" s="712"/>
      <c r="AT205" s="712"/>
      <c r="AU205" s="712"/>
      <c r="BE205" s="712"/>
      <c r="BF205" s="712"/>
      <c r="BG205" s="712"/>
    </row>
    <row r="206" spans="24:59">
      <c r="X206" s="712"/>
      <c r="Z206" s="712"/>
      <c r="AA206" s="712"/>
      <c r="AF206" s="712"/>
      <c r="AH206" s="712"/>
      <c r="AI206" s="712"/>
      <c r="AJ206" s="712"/>
      <c r="AK206" s="712"/>
      <c r="AL206" s="712"/>
      <c r="AO206" s="712"/>
      <c r="AP206" s="712"/>
      <c r="AQ206" s="712"/>
      <c r="AR206" s="712"/>
      <c r="AS206" s="712"/>
      <c r="AT206" s="712"/>
      <c r="AU206" s="712"/>
      <c r="BE206" s="712"/>
      <c r="BF206" s="712"/>
      <c r="BG206" s="712"/>
    </row>
    <row r="207" spans="24:59">
      <c r="X207" s="712"/>
      <c r="Z207" s="712"/>
      <c r="AA207" s="712"/>
      <c r="AF207" s="712"/>
      <c r="AH207" s="712"/>
      <c r="AI207" s="712"/>
      <c r="AJ207" s="712"/>
      <c r="AK207" s="712"/>
      <c r="AL207" s="712"/>
      <c r="AO207" s="712"/>
      <c r="AP207" s="712"/>
      <c r="AQ207" s="712"/>
      <c r="AR207" s="712"/>
      <c r="AS207" s="712"/>
      <c r="AT207" s="712"/>
      <c r="AU207" s="712"/>
      <c r="BE207" s="712"/>
      <c r="BF207" s="712"/>
      <c r="BG207" s="712"/>
    </row>
    <row r="208" spans="24:59">
      <c r="X208" s="712"/>
      <c r="Z208" s="712"/>
      <c r="AA208" s="712"/>
      <c r="AF208" s="712"/>
      <c r="AH208" s="712"/>
      <c r="AI208" s="712"/>
      <c r="AJ208" s="712"/>
      <c r="AK208" s="712"/>
      <c r="AL208" s="712"/>
      <c r="AO208" s="712"/>
      <c r="AP208" s="712"/>
      <c r="AQ208" s="712"/>
      <c r="AR208" s="712"/>
      <c r="AS208" s="712"/>
      <c r="AT208" s="712"/>
      <c r="AU208" s="712"/>
      <c r="BE208" s="712"/>
      <c r="BF208" s="712"/>
      <c r="BG208" s="712"/>
    </row>
    <row r="209" spans="24:59">
      <c r="X209" s="712"/>
      <c r="Z209" s="712"/>
      <c r="AA209" s="712"/>
      <c r="AF209" s="712"/>
      <c r="AH209" s="712"/>
      <c r="AI209" s="712"/>
      <c r="AJ209" s="712"/>
      <c r="AK209" s="712"/>
      <c r="AL209" s="712"/>
      <c r="AO209" s="712"/>
      <c r="AP209" s="712"/>
      <c r="AQ209" s="712"/>
      <c r="AR209" s="712"/>
      <c r="AS209" s="712"/>
      <c r="AT209" s="712"/>
      <c r="AU209" s="712"/>
      <c r="BE209" s="712"/>
      <c r="BF209" s="712"/>
      <c r="BG209" s="712"/>
    </row>
    <row r="210" spans="24:59">
      <c r="X210" s="712"/>
      <c r="Z210" s="712"/>
      <c r="AA210" s="712"/>
      <c r="AF210" s="712"/>
      <c r="AH210" s="712"/>
      <c r="AI210" s="712"/>
      <c r="AJ210" s="712"/>
      <c r="AK210" s="712"/>
      <c r="AL210" s="712"/>
      <c r="AO210" s="712"/>
      <c r="AP210" s="712"/>
      <c r="AQ210" s="712"/>
      <c r="AR210" s="712"/>
      <c r="AS210" s="712"/>
      <c r="AT210" s="712"/>
      <c r="AU210" s="712"/>
      <c r="BE210" s="712"/>
      <c r="BF210" s="712"/>
      <c r="BG210" s="712"/>
    </row>
    <row r="211" spans="24:59">
      <c r="X211" s="712"/>
      <c r="Z211" s="712"/>
      <c r="AA211" s="712"/>
      <c r="AF211" s="712"/>
      <c r="AH211" s="712"/>
      <c r="AI211" s="712"/>
      <c r="AJ211" s="712"/>
      <c r="AK211" s="712"/>
      <c r="AL211" s="712"/>
      <c r="AO211" s="712"/>
      <c r="AP211" s="712"/>
      <c r="AQ211" s="712"/>
      <c r="AR211" s="712"/>
      <c r="AS211" s="712"/>
      <c r="AT211" s="712"/>
      <c r="AU211" s="712"/>
      <c r="BE211" s="712"/>
      <c r="BF211" s="712"/>
      <c r="BG211" s="712"/>
    </row>
    <row r="212" spans="24:59">
      <c r="X212" s="712"/>
      <c r="Z212" s="712"/>
      <c r="AA212" s="712"/>
      <c r="AF212" s="712"/>
      <c r="AH212" s="712"/>
      <c r="AI212" s="712"/>
      <c r="AJ212" s="712"/>
      <c r="AK212" s="712"/>
      <c r="AL212" s="712"/>
      <c r="AO212" s="712"/>
      <c r="AP212" s="712"/>
      <c r="AQ212" s="712"/>
      <c r="AR212" s="712"/>
      <c r="AS212" s="712"/>
      <c r="AT212" s="712"/>
      <c r="AU212" s="712"/>
      <c r="BE212" s="712"/>
      <c r="BF212" s="712"/>
      <c r="BG212" s="712"/>
    </row>
    <row r="213" spans="24:59">
      <c r="X213" s="712"/>
      <c r="Z213" s="712"/>
      <c r="AA213" s="712"/>
      <c r="AF213" s="712"/>
      <c r="AH213" s="712"/>
      <c r="AI213" s="712"/>
      <c r="AJ213" s="712"/>
      <c r="AK213" s="712"/>
      <c r="AL213" s="712"/>
      <c r="AO213" s="712"/>
      <c r="AP213" s="712"/>
      <c r="AQ213" s="712"/>
      <c r="AR213" s="712"/>
      <c r="AS213" s="712"/>
      <c r="AT213" s="712"/>
      <c r="AU213" s="712"/>
      <c r="BE213" s="712"/>
      <c r="BF213" s="712"/>
      <c r="BG213" s="712"/>
    </row>
    <row r="214" spans="24:59">
      <c r="X214" s="712"/>
      <c r="Z214" s="712"/>
      <c r="AA214" s="712"/>
      <c r="AF214" s="712"/>
      <c r="AH214" s="712"/>
      <c r="AI214" s="712"/>
      <c r="AJ214" s="712"/>
      <c r="AK214" s="712"/>
      <c r="AL214" s="712"/>
      <c r="AO214" s="712"/>
      <c r="AP214" s="712"/>
      <c r="AQ214" s="712"/>
      <c r="AR214" s="712"/>
      <c r="AS214" s="712"/>
      <c r="AT214" s="712"/>
      <c r="AU214" s="712"/>
      <c r="BE214" s="712"/>
      <c r="BF214" s="712"/>
      <c r="BG214" s="712"/>
    </row>
    <row r="215" spans="24:59">
      <c r="X215" s="712"/>
      <c r="Z215" s="712"/>
      <c r="AA215" s="712"/>
      <c r="AF215" s="712"/>
      <c r="AH215" s="712"/>
      <c r="AI215" s="712"/>
      <c r="AJ215" s="712"/>
      <c r="AK215" s="712"/>
      <c r="AL215" s="712"/>
      <c r="AO215" s="712"/>
      <c r="AP215" s="712"/>
      <c r="AQ215" s="712"/>
      <c r="AR215" s="712"/>
      <c r="AS215" s="712"/>
      <c r="AT215" s="712"/>
      <c r="AU215" s="712"/>
      <c r="BE215" s="712"/>
      <c r="BF215" s="712"/>
      <c r="BG215" s="712"/>
    </row>
    <row r="216" spans="24:59">
      <c r="X216" s="712"/>
      <c r="Z216" s="712"/>
      <c r="AA216" s="712"/>
      <c r="AF216" s="712"/>
      <c r="AH216" s="712"/>
      <c r="AI216" s="712"/>
      <c r="AJ216" s="712"/>
      <c r="AK216" s="712"/>
      <c r="AL216" s="712"/>
      <c r="AO216" s="712"/>
      <c r="AP216" s="712"/>
      <c r="AQ216" s="712"/>
      <c r="AR216" s="712"/>
      <c r="AS216" s="712"/>
      <c r="AT216" s="712"/>
      <c r="AU216" s="712"/>
      <c r="BE216" s="712"/>
      <c r="BF216" s="712"/>
      <c r="BG216" s="712"/>
    </row>
    <row r="217" spans="24:59">
      <c r="X217" s="712"/>
      <c r="Z217" s="712"/>
      <c r="AA217" s="712"/>
      <c r="AF217" s="712"/>
      <c r="AH217" s="712"/>
      <c r="AI217" s="712"/>
      <c r="AJ217" s="712"/>
      <c r="AK217" s="712"/>
      <c r="AL217" s="712"/>
      <c r="AO217" s="712"/>
      <c r="AP217" s="712"/>
      <c r="AQ217" s="712"/>
      <c r="AR217" s="712"/>
      <c r="AS217" s="712"/>
      <c r="AT217" s="712"/>
      <c r="AU217" s="712"/>
      <c r="BE217" s="712"/>
      <c r="BF217" s="712"/>
      <c r="BG217" s="712"/>
    </row>
    <row r="218" spans="24:59">
      <c r="X218" s="712"/>
      <c r="Z218" s="712"/>
      <c r="AA218" s="712"/>
      <c r="AF218" s="712"/>
      <c r="AH218" s="712"/>
      <c r="AI218" s="712"/>
      <c r="AJ218" s="712"/>
      <c r="AK218" s="712"/>
      <c r="AL218" s="712"/>
      <c r="AO218" s="712"/>
      <c r="AP218" s="712"/>
      <c r="AQ218" s="712"/>
      <c r="AR218" s="712"/>
      <c r="AS218" s="712"/>
      <c r="AT218" s="712"/>
      <c r="AU218" s="712"/>
      <c r="BE218" s="712"/>
      <c r="BF218" s="712"/>
      <c r="BG218" s="712"/>
    </row>
    <row r="219" spans="24:59">
      <c r="AT219" s="712"/>
      <c r="AU219" s="712"/>
      <c r="BE219" s="712"/>
      <c r="BF219" s="712"/>
      <c r="BG219" s="712"/>
    </row>
    <row r="220" spans="24:59">
      <c r="AT220" s="712"/>
      <c r="AU220" s="712"/>
      <c r="BE220" s="712"/>
      <c r="BF220" s="712"/>
      <c r="BG220" s="712"/>
    </row>
    <row r="221" spans="24:59">
      <c r="AT221" s="712"/>
      <c r="AU221" s="712"/>
      <c r="BE221" s="712"/>
      <c r="BF221" s="712"/>
      <c r="BG221" s="712"/>
    </row>
    <row r="222" spans="24:59">
      <c r="AT222" s="712"/>
      <c r="AU222" s="712"/>
      <c r="BE222" s="712"/>
      <c r="BF222" s="712"/>
      <c r="BG222" s="712"/>
    </row>
    <row r="223" spans="24:59">
      <c r="AT223" s="712"/>
      <c r="AU223" s="712"/>
      <c r="BE223" s="712"/>
      <c r="BF223" s="712"/>
      <c r="BG223" s="712"/>
    </row>
    <row r="224" spans="24:59">
      <c r="AT224" s="712"/>
      <c r="AU224" s="712"/>
      <c r="BE224" s="712"/>
      <c r="BF224" s="712"/>
      <c r="BG224" s="712"/>
    </row>
    <row r="225" spans="46:59">
      <c r="AT225" s="712"/>
      <c r="AU225" s="712"/>
      <c r="BE225" s="712"/>
      <c r="BF225" s="712"/>
      <c r="BG225" s="712"/>
    </row>
    <row r="226" spans="46:59">
      <c r="AT226" s="712"/>
      <c r="AU226" s="712"/>
      <c r="BE226" s="712"/>
      <c r="BF226" s="712"/>
      <c r="BG226" s="712"/>
    </row>
    <row r="227" spans="46:59">
      <c r="AT227" s="712"/>
      <c r="AU227" s="712"/>
      <c r="BE227" s="712"/>
      <c r="BF227" s="712"/>
      <c r="BG227" s="712"/>
    </row>
    <row r="228" spans="46:59">
      <c r="AT228" s="712"/>
      <c r="AU228" s="712"/>
      <c r="BE228" s="712"/>
      <c r="BF228" s="712"/>
      <c r="BG228" s="712"/>
    </row>
    <row r="229" spans="46:59">
      <c r="AT229" s="712"/>
      <c r="AU229" s="712"/>
      <c r="BE229" s="712"/>
      <c r="BF229" s="712"/>
      <c r="BG229" s="712"/>
    </row>
    <row r="230" spans="46:59">
      <c r="AT230" s="712"/>
    </row>
  </sheetData>
  <phoneticPr fontId="9" type="noConversion"/>
  <printOptions horizontalCentered="1" verticalCentered="1"/>
  <pageMargins left="0.16" right="0.16" top="0.34" bottom="0.36" header="0.16" footer="0.16"/>
  <pageSetup scale="125" orientation="portrait" verticalDpi="1200" r:id="rId1"/>
  <headerFooter>
    <oddHeader>&amp;CREAL PRICES</oddHeader>
    <oddFooter>&amp;CREAL PRICES</oddFooter>
  </headerFooter>
  <tableParts count="1">
    <tablePart r:id="rId2"/>
  </tablePart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J4_Quick_PAH"/>
  <dimension ref="A1:AG45"/>
  <sheetViews>
    <sheetView topLeftCell="D1" zoomScaleNormal="100" workbookViewId="0">
      <selection activeCell="V18" sqref="V18"/>
    </sheetView>
  </sheetViews>
  <sheetFormatPr defaultRowHeight="15"/>
  <cols>
    <col min="1" max="1" width="12.140625" customWidth="1"/>
    <col min="2" max="2" width="12.5703125" customWidth="1"/>
    <col min="6" max="6" width="10.85546875" customWidth="1"/>
    <col min="9" max="9" width="13.42578125" customWidth="1"/>
    <col min="12" max="12" width="12.28515625" customWidth="1"/>
    <col min="13" max="13" width="7.42578125" customWidth="1"/>
    <col min="14" max="14" width="15.5703125" customWidth="1"/>
    <col min="16" max="16" width="17.7109375" customWidth="1"/>
    <col min="18" max="18" width="16.28515625" bestFit="1" customWidth="1"/>
    <col min="19" max="19" width="13" customWidth="1"/>
    <col min="20" max="20" width="13.5703125" customWidth="1"/>
  </cols>
  <sheetData>
    <row r="1" spans="1:33" ht="19.5" thickBot="1">
      <c r="A1" s="2493"/>
      <c r="B1" s="2494"/>
      <c r="D1" s="2495" t="s">
        <v>1759</v>
      </c>
      <c r="E1" s="2496"/>
      <c r="F1" s="2496"/>
      <c r="G1" s="2496"/>
      <c r="H1" s="2496"/>
      <c r="I1" s="2496"/>
      <c r="J1" s="2496"/>
      <c r="K1" s="2496"/>
      <c r="L1" s="2496"/>
      <c r="M1" s="2496"/>
      <c r="N1" s="2497"/>
      <c r="R1" s="638" t="s">
        <v>1760</v>
      </c>
      <c r="S1" s="638" t="s">
        <v>0</v>
      </c>
      <c r="T1" s="638" t="s">
        <v>1761</v>
      </c>
      <c r="U1" s="1611" t="s">
        <v>2133</v>
      </c>
      <c r="V1" s="1611" t="s">
        <v>1790</v>
      </c>
      <c r="W1" s="1611" t="s">
        <v>1781</v>
      </c>
      <c r="X1" s="1611" t="s">
        <v>1810</v>
      </c>
      <c r="Y1" s="1611" t="s">
        <v>1812</v>
      </c>
      <c r="Z1" s="1611" t="s">
        <v>1813</v>
      </c>
      <c r="AA1" s="1611" t="s">
        <v>1816</v>
      </c>
      <c r="AB1" s="1611" t="s">
        <v>1837</v>
      </c>
      <c r="AC1" s="1611" t="s">
        <v>1782</v>
      </c>
      <c r="AD1" s="1611" t="s">
        <v>1783</v>
      </c>
      <c r="AE1" s="1611" t="s">
        <v>1784</v>
      </c>
      <c r="AF1" s="1611" t="s">
        <v>1833</v>
      </c>
      <c r="AG1" s="1611" t="s">
        <v>1835</v>
      </c>
    </row>
    <row r="2" spans="1:33" ht="16.5" thickBot="1">
      <c r="D2" s="2498" t="s">
        <v>1764</v>
      </c>
      <c r="E2" s="2499"/>
      <c r="F2" s="2500"/>
      <c r="G2" s="2501" t="s">
        <v>1765</v>
      </c>
      <c r="H2" s="2502"/>
      <c r="I2" s="2503"/>
      <c r="J2" s="2504" t="s">
        <v>1766</v>
      </c>
      <c r="K2" s="2505"/>
      <c r="L2" s="2506"/>
      <c r="M2" s="2507" t="s">
        <v>1767</v>
      </c>
      <c r="N2" s="2508"/>
      <c r="R2" s="639" t="s">
        <v>410</v>
      </c>
      <c r="S2" s="640" t="s">
        <v>410</v>
      </c>
      <c r="T2" s="640">
        <v>4605.12</v>
      </c>
      <c r="U2" s="1610">
        <v>21.610800000000005</v>
      </c>
      <c r="V2" s="1610">
        <v>288.26470588235293</v>
      </c>
      <c r="W2" s="1610">
        <v>66.705882352941174</v>
      </c>
      <c r="X2" s="1610">
        <v>73.66942372881357</v>
      </c>
      <c r="Y2" s="1610">
        <v>41.500498504486544</v>
      </c>
      <c r="Z2" s="1610">
        <v>46.184974488299808</v>
      </c>
      <c r="AA2" s="1610">
        <v>114.40677966101704</v>
      </c>
      <c r="AB2" s="1610">
        <v>2698.4117647058824</v>
      </c>
      <c r="AC2" s="1610">
        <v>76.235294117647058</v>
      </c>
      <c r="AD2" s="1610">
        <v>63.529411764705884</v>
      </c>
      <c r="AE2" s="1610">
        <v>63.529411764705884</v>
      </c>
      <c r="AF2" s="1610">
        <v>69.103342372881357</v>
      </c>
      <c r="AG2" s="1610">
        <v>138.15360000000001</v>
      </c>
    </row>
    <row r="3" spans="1:33">
      <c r="A3" s="641" t="s">
        <v>1768</v>
      </c>
      <c r="B3" s="642" t="s">
        <v>1769</v>
      </c>
      <c r="D3" s="643"/>
      <c r="E3" s="644"/>
      <c r="F3" s="645"/>
      <c r="G3" s="646"/>
      <c r="H3" s="647"/>
      <c r="I3" s="647"/>
      <c r="J3" s="648"/>
      <c r="K3" s="649"/>
      <c r="L3" s="650"/>
      <c r="M3" s="651"/>
      <c r="N3" s="652"/>
      <c r="R3" s="639" t="s">
        <v>415</v>
      </c>
      <c r="S3" s="653" t="s">
        <v>415</v>
      </c>
      <c r="T3" s="653">
        <v>8574.1200000000008</v>
      </c>
      <c r="U3" s="1610">
        <v>53.46</v>
      </c>
      <c r="V3" s="1610">
        <v>576.52941176470586</v>
      </c>
      <c r="W3" s="1610">
        <v>66.705882352941174</v>
      </c>
      <c r="X3" s="1610">
        <v>73.66942372881357</v>
      </c>
      <c r="Y3" s="1610">
        <v>83.000997008973087</v>
      </c>
      <c r="Z3" s="1610">
        <v>92.369948976599616</v>
      </c>
      <c r="AA3" s="1610">
        <v>152.54237288135596</v>
      </c>
      <c r="AB3" s="1610">
        <v>3451.2352941176473</v>
      </c>
      <c r="AC3" s="1610">
        <v>76.235294117647058</v>
      </c>
      <c r="AD3" s="1610">
        <v>63.529411764705884</v>
      </c>
      <c r="AE3" s="1610">
        <v>63.529411764705884</v>
      </c>
      <c r="AF3" s="1610">
        <v>76.915533050847472</v>
      </c>
      <c r="AG3" s="1610">
        <v>428.70600000000007</v>
      </c>
    </row>
    <row r="4" spans="1:33">
      <c r="A4" s="654"/>
      <c r="B4" s="655"/>
      <c r="D4" s="656"/>
      <c r="E4" s="657"/>
      <c r="F4" s="658"/>
      <c r="G4" s="659"/>
      <c r="H4" s="660"/>
      <c r="I4" s="660"/>
      <c r="J4" s="661"/>
      <c r="K4" s="662"/>
      <c r="L4" s="663"/>
      <c r="M4" s="664"/>
      <c r="N4" s="665"/>
      <c r="P4" t="s">
        <v>2501</v>
      </c>
      <c r="R4" s="639" t="s">
        <v>417</v>
      </c>
      <c r="S4" s="653" t="s">
        <v>417</v>
      </c>
      <c r="T4" s="653">
        <v>11370.240000000002</v>
      </c>
      <c r="U4" s="1610">
        <v>79.185600000000008</v>
      </c>
      <c r="V4" s="1610">
        <v>1229.9294117647062</v>
      </c>
      <c r="W4" s="1610">
        <v>66.705882352941174</v>
      </c>
      <c r="X4" s="1610">
        <v>73.66942372881357</v>
      </c>
      <c r="Y4" s="1610">
        <v>145.25174476570291</v>
      </c>
      <c r="Z4" s="1610">
        <v>92.369948976599616</v>
      </c>
      <c r="AA4" s="1610">
        <v>270.74044511084753</v>
      </c>
      <c r="AB4" s="1610">
        <v>3907.0588235294117</v>
      </c>
      <c r="AC4" s="1610">
        <v>76.235294117647058</v>
      </c>
      <c r="AD4" s="1610">
        <v>63.529411764705884</v>
      </c>
      <c r="AE4" s="1610">
        <v>63.529411764705884</v>
      </c>
      <c r="AF4" s="1610">
        <v>85.561085593220355</v>
      </c>
      <c r="AG4" s="1610">
        <v>568.51200000000006</v>
      </c>
    </row>
    <row r="5" spans="1:33">
      <c r="A5" s="654"/>
      <c r="B5" s="655"/>
      <c r="D5" s="656"/>
      <c r="E5" s="657"/>
      <c r="F5" s="658"/>
      <c r="G5" s="659"/>
      <c r="H5" s="660"/>
      <c r="I5" s="660"/>
      <c r="J5" s="661"/>
      <c r="K5" s="662"/>
      <c r="L5" s="663"/>
      <c r="M5" s="664"/>
      <c r="N5" s="665"/>
      <c r="R5" s="639" t="s">
        <v>419</v>
      </c>
      <c r="S5" s="653" t="s">
        <v>419</v>
      </c>
      <c r="T5" s="653">
        <v>15053.04</v>
      </c>
      <c r="U5" s="1610">
        <v>111.77999999999999</v>
      </c>
      <c r="V5" s="1610">
        <v>1729.5882352941176</v>
      </c>
      <c r="W5" s="1610">
        <v>66.705882352941174</v>
      </c>
      <c r="X5" s="1610">
        <v>73.66942372881357</v>
      </c>
      <c r="Y5" s="1610">
        <v>145.25174476570291</v>
      </c>
      <c r="Z5" s="1610">
        <v>46.184974488299808</v>
      </c>
      <c r="AA5" s="1610">
        <v>270.74044511084753</v>
      </c>
      <c r="AB5" s="1610">
        <v>5490.5294117647054</v>
      </c>
      <c r="AC5" s="1610">
        <v>76.235294117647058</v>
      </c>
      <c r="AD5" s="1610">
        <v>63.529411764705884</v>
      </c>
      <c r="AE5" s="1610">
        <v>63.529411764705884</v>
      </c>
      <c r="AF5" s="1610">
        <v>158.14843093220338</v>
      </c>
      <c r="AG5" s="1610">
        <v>1204.2432000000001</v>
      </c>
    </row>
    <row r="6" spans="1:33" ht="15.75" thickBot="1">
      <c r="A6" s="635"/>
      <c r="B6" s="655"/>
      <c r="D6" s="666"/>
      <c r="E6" s="667"/>
      <c r="F6" s="668"/>
      <c r="G6" s="659"/>
      <c r="H6" s="660"/>
      <c r="I6" s="660"/>
      <c r="J6" s="661"/>
      <c r="K6" s="662"/>
      <c r="L6" s="663"/>
      <c r="M6" s="664"/>
      <c r="N6" s="665"/>
      <c r="R6" s="639" t="s">
        <v>422</v>
      </c>
      <c r="S6" s="653" t="s">
        <v>422</v>
      </c>
      <c r="T6" s="653">
        <v>25102.440000000002</v>
      </c>
      <c r="U6" s="1610">
        <v>207.10080000000002</v>
      </c>
      <c r="V6" s="1610">
        <v>1921.7647058823529</v>
      </c>
      <c r="W6" s="1610">
        <v>66.705882352941174</v>
      </c>
      <c r="X6" s="1610">
        <v>73.66942372881357</v>
      </c>
      <c r="Y6" s="1610">
        <v>145.25174476570291</v>
      </c>
      <c r="Z6" s="1610">
        <v>46.184974488299808</v>
      </c>
      <c r="AA6" s="1610">
        <v>270.74044511084753</v>
      </c>
      <c r="AB6" s="1610">
        <v>7842.7058823529405</v>
      </c>
      <c r="AC6" s="1610">
        <v>76.235294117647058</v>
      </c>
      <c r="AD6" s="1610">
        <v>63.529411764705884</v>
      </c>
      <c r="AE6" s="1610">
        <v>63.529411764705884</v>
      </c>
      <c r="AF6" s="1610">
        <v>176.98725000000005</v>
      </c>
      <c r="AG6" s="1610">
        <v>2008.1952000000001</v>
      </c>
    </row>
    <row r="7" spans="1:33" ht="15.75" thickBot="1">
      <c r="A7" s="635"/>
      <c r="B7" s="635"/>
      <c r="D7" s="643"/>
      <c r="E7" s="644"/>
      <c r="F7" s="645"/>
      <c r="G7" s="659"/>
      <c r="H7" s="660"/>
      <c r="I7" s="660"/>
      <c r="J7" s="661"/>
      <c r="K7" s="662"/>
      <c r="L7" s="663"/>
      <c r="M7" s="664"/>
      <c r="N7" s="665"/>
      <c r="R7" s="639" t="s">
        <v>423</v>
      </c>
      <c r="S7" s="653" t="s">
        <v>423</v>
      </c>
      <c r="T7" s="653">
        <v>29006.640000000003</v>
      </c>
      <c r="U7" s="1610">
        <v>242.19000000000003</v>
      </c>
      <c r="V7" s="1610">
        <v>3074.8235294117649</v>
      </c>
      <c r="W7" s="1610">
        <v>66.705882352941174</v>
      </c>
      <c r="X7" s="1610">
        <v>73.66942372881357</v>
      </c>
      <c r="Y7" s="1610">
        <v>290.50348953140582</v>
      </c>
      <c r="Z7" s="1610">
        <v>92.369948976599616</v>
      </c>
      <c r="AA7" s="1610">
        <v>270.74044511084753</v>
      </c>
      <c r="AB7" s="1610">
        <v>10099.588235294117</v>
      </c>
      <c r="AC7" s="1610">
        <v>76.235294117647058</v>
      </c>
      <c r="AD7" s="1610">
        <v>63.529411764705884</v>
      </c>
      <c r="AE7" s="1610">
        <v>63.529411764705884</v>
      </c>
      <c r="AF7" s="1610">
        <v>176.98725000000005</v>
      </c>
      <c r="AG7" s="1610">
        <v>2320.5311999999999</v>
      </c>
    </row>
    <row r="8" spans="1:33" ht="23.25" customHeight="1" thickBot="1">
      <c r="A8" s="635"/>
      <c r="B8" s="635"/>
      <c r="D8" s="643"/>
      <c r="E8" s="644"/>
      <c r="F8" s="645"/>
      <c r="G8" s="660"/>
      <c r="H8" s="660"/>
      <c r="I8" s="660"/>
      <c r="J8" s="661"/>
      <c r="K8" s="662"/>
      <c r="L8" s="663"/>
      <c r="M8" s="664"/>
      <c r="N8" s="665"/>
      <c r="R8" s="639" t="s">
        <v>414</v>
      </c>
      <c r="S8" s="653" t="s">
        <v>414</v>
      </c>
      <c r="T8" s="653">
        <v>6598.8</v>
      </c>
      <c r="U8" s="1610">
        <v>40.5</v>
      </c>
      <c r="V8" s="1610">
        <v>576.52941176470586</v>
      </c>
      <c r="W8" s="1610">
        <v>66.705882352941174</v>
      </c>
      <c r="X8" s="1610">
        <v>73.66942372881357</v>
      </c>
      <c r="Y8" s="1610">
        <v>83.000997008973087</v>
      </c>
      <c r="Z8" s="1610">
        <v>92.369948976599616</v>
      </c>
      <c r="AA8" s="1610">
        <v>152.54237288135596</v>
      </c>
      <c r="AB8" s="1610">
        <v>2827.0588235294117</v>
      </c>
      <c r="AC8" s="1610">
        <v>76.235294117647058</v>
      </c>
      <c r="AD8" s="1610">
        <v>63.529411764705884</v>
      </c>
      <c r="AE8" s="1610">
        <v>63.529411764705884</v>
      </c>
      <c r="AF8" s="1610">
        <v>77.96397870762712</v>
      </c>
      <c r="AG8" s="1610">
        <v>329.94</v>
      </c>
    </row>
    <row r="9" spans="1:33" ht="15.75" thickBot="1">
      <c r="A9" s="2509"/>
      <c r="B9" s="2510"/>
      <c r="D9" s="656"/>
      <c r="E9" s="657"/>
      <c r="F9" s="658"/>
      <c r="G9" s="660"/>
      <c r="H9" s="660"/>
      <c r="I9" s="660"/>
      <c r="J9" s="661"/>
      <c r="K9" s="662"/>
      <c r="L9" s="663"/>
      <c r="M9" s="664"/>
      <c r="N9" s="665"/>
      <c r="R9" s="639" t="s">
        <v>415</v>
      </c>
      <c r="S9" s="653" t="s">
        <v>415</v>
      </c>
      <c r="T9" s="653">
        <v>8574.1200000000008</v>
      </c>
      <c r="U9" s="1610">
        <v>53.46</v>
      </c>
      <c r="V9" s="1610">
        <v>576.52941176470586</v>
      </c>
      <c r="W9" s="1610">
        <v>66.705882352941174</v>
      </c>
      <c r="X9" s="1610">
        <v>73.66942372881357</v>
      </c>
      <c r="Y9" s="1610">
        <v>83.000997008973087</v>
      </c>
      <c r="Z9" s="1610">
        <v>92.369948976599616</v>
      </c>
      <c r="AA9" s="1610">
        <v>152.54237288135596</v>
      </c>
      <c r="AB9" s="1610">
        <v>3451.2352941176473</v>
      </c>
      <c r="AC9" s="1610">
        <v>76.235294117647058</v>
      </c>
      <c r="AD9" s="1610">
        <v>63.529411764705884</v>
      </c>
      <c r="AE9" s="1610">
        <v>63.529411764705884</v>
      </c>
      <c r="AF9" s="1610">
        <v>76.915533050847472</v>
      </c>
      <c r="AG9" s="1610">
        <v>428.70600000000007</v>
      </c>
    </row>
    <row r="10" spans="1:33" ht="18" customHeight="1" thickBot="1">
      <c r="A10" s="2509"/>
      <c r="B10" s="2510"/>
      <c r="D10" s="666"/>
      <c r="E10" s="667"/>
      <c r="F10" s="668"/>
      <c r="G10" s="660"/>
      <c r="H10" s="660"/>
      <c r="I10" s="660"/>
      <c r="J10" s="661"/>
      <c r="K10" s="662"/>
      <c r="L10" s="663"/>
      <c r="M10" s="664"/>
      <c r="N10" s="665"/>
      <c r="R10" s="639" t="s">
        <v>416</v>
      </c>
      <c r="S10" s="653" t="s">
        <v>416</v>
      </c>
      <c r="T10" s="653">
        <v>10008.36</v>
      </c>
      <c r="U10" s="1610">
        <v>65.221199999999996</v>
      </c>
      <c r="V10" s="1610">
        <v>768.70588235294122</v>
      </c>
      <c r="W10" s="1610">
        <v>66.705882352941174</v>
      </c>
      <c r="X10" s="1610">
        <v>73.66942372881357</v>
      </c>
      <c r="Y10" s="1610">
        <v>83.000997008973087</v>
      </c>
      <c r="Z10" s="1610">
        <v>92.369948976599616</v>
      </c>
      <c r="AA10" s="1610">
        <v>152.54237288135596</v>
      </c>
      <c r="AB10" s="1610">
        <v>3451.2352941176473</v>
      </c>
      <c r="AC10" s="1610">
        <v>76.235294117647058</v>
      </c>
      <c r="AD10" s="1610">
        <v>63.529411764705884</v>
      </c>
      <c r="AE10" s="1610">
        <v>63.529411764705884</v>
      </c>
      <c r="AF10" s="1610">
        <v>85.561085593220355</v>
      </c>
      <c r="AG10" s="1610">
        <v>500.41800000000006</v>
      </c>
    </row>
    <row r="11" spans="1:33" ht="18" customHeight="1" thickBot="1">
      <c r="A11" s="2509"/>
      <c r="B11" s="2510"/>
      <c r="D11" s="2511" t="s">
        <v>1770</v>
      </c>
      <c r="E11" s="2512"/>
      <c r="F11" s="2513"/>
      <c r="G11" s="659"/>
      <c r="H11" s="660"/>
      <c r="I11" s="660"/>
      <c r="J11" s="661"/>
      <c r="K11" s="662"/>
      <c r="L11" s="663"/>
      <c r="M11" s="664"/>
      <c r="N11" s="665"/>
      <c r="R11" s="639" t="s">
        <v>417</v>
      </c>
      <c r="S11" s="653" t="s">
        <v>417</v>
      </c>
      <c r="T11" s="653">
        <v>11370.240000000002</v>
      </c>
      <c r="U11" s="1610">
        <v>79.185600000000008</v>
      </c>
      <c r="V11" s="1610">
        <v>1229.9294117647062</v>
      </c>
      <c r="W11" s="1610">
        <v>66.705882352941174</v>
      </c>
      <c r="X11" s="1610">
        <v>73.66942372881357</v>
      </c>
      <c r="Y11" s="1610">
        <v>145.25174476570291</v>
      </c>
      <c r="Z11" s="1610">
        <v>92.369948976599616</v>
      </c>
      <c r="AA11" s="1610">
        <v>270.74044511084753</v>
      </c>
      <c r="AB11" s="1610">
        <v>3907.0588235294117</v>
      </c>
      <c r="AC11" s="1610">
        <v>76.235294117647058</v>
      </c>
      <c r="AD11" s="1610">
        <v>63.529411764705884</v>
      </c>
      <c r="AE11" s="1610">
        <v>63.529411764705884</v>
      </c>
      <c r="AF11" s="1610">
        <v>85.561085593220355</v>
      </c>
      <c r="AG11" s="1610">
        <v>568.51200000000006</v>
      </c>
    </row>
    <row r="12" spans="1:33" ht="18" customHeight="1" thickBot="1">
      <c r="D12" s="669"/>
      <c r="E12" s="670"/>
      <c r="F12" s="671"/>
      <c r="G12" s="659"/>
      <c r="H12" s="660"/>
      <c r="I12" s="660"/>
      <c r="J12" s="661"/>
      <c r="K12" s="662"/>
      <c r="L12" s="663"/>
      <c r="M12" s="664"/>
      <c r="N12" s="665"/>
      <c r="R12" s="639" t="s">
        <v>418</v>
      </c>
      <c r="S12" s="653" t="s">
        <v>418</v>
      </c>
      <c r="T12" s="653">
        <v>13559.400000000001</v>
      </c>
      <c r="U12" s="1610">
        <v>97.815600000000018</v>
      </c>
      <c r="V12" s="1610">
        <v>1229.9294117647062</v>
      </c>
      <c r="W12" s="1610">
        <v>66.705882352941174</v>
      </c>
      <c r="X12" s="1610">
        <v>73.66942372881357</v>
      </c>
      <c r="Y12" s="1610">
        <v>145.25174476570291</v>
      </c>
      <c r="Z12" s="1610">
        <v>92.369948976599616</v>
      </c>
      <c r="AA12" s="1610">
        <v>270.74044511084753</v>
      </c>
      <c r="AB12" s="1610">
        <v>4510.5882352941171</v>
      </c>
      <c r="AC12" s="1610">
        <v>76.235294117647058</v>
      </c>
      <c r="AD12" s="1610">
        <v>63.529411764705884</v>
      </c>
      <c r="AE12" s="1610">
        <v>63.529411764705884</v>
      </c>
      <c r="AF12" s="1610">
        <v>149.2619644067797</v>
      </c>
      <c r="AG12" s="1610">
        <v>1084.752</v>
      </c>
    </row>
    <row r="13" spans="1:33" ht="18" customHeight="1" thickBot="1">
      <c r="A13" s="2514" t="s">
        <v>1771</v>
      </c>
      <c r="B13" s="2515"/>
      <c r="D13" s="672"/>
      <c r="E13" s="673"/>
      <c r="F13" s="674"/>
      <c r="G13" s="659"/>
      <c r="H13" s="660"/>
      <c r="I13" s="660"/>
      <c r="J13" s="661"/>
      <c r="K13" s="662"/>
      <c r="L13" s="663"/>
      <c r="M13" s="664"/>
      <c r="N13" s="665"/>
      <c r="R13" s="639" t="s">
        <v>419</v>
      </c>
      <c r="S13" s="653" t="s">
        <v>419</v>
      </c>
      <c r="T13" s="653">
        <v>15053.04</v>
      </c>
      <c r="U13" s="1610">
        <v>111.77999999999999</v>
      </c>
      <c r="V13" s="1610">
        <v>1729.5882352941176</v>
      </c>
      <c r="W13" s="1610">
        <v>66.705882352941174</v>
      </c>
      <c r="X13" s="1610">
        <v>73.66942372881357</v>
      </c>
      <c r="Y13" s="1610">
        <v>145.25174476570291</v>
      </c>
      <c r="Z13" s="1610">
        <v>46.184974488299808</v>
      </c>
      <c r="AA13" s="1610">
        <v>270.74044511084753</v>
      </c>
      <c r="AB13" s="1610">
        <v>5490.5294117647054</v>
      </c>
      <c r="AC13" s="1610">
        <v>76.235294117647058</v>
      </c>
      <c r="AD13" s="1610">
        <v>63.529411764705884</v>
      </c>
      <c r="AE13" s="1610">
        <v>63.529411764705884</v>
      </c>
      <c r="AF13" s="1610">
        <v>158.14843093220338</v>
      </c>
      <c r="AG13" s="1610">
        <v>1204.2432000000001</v>
      </c>
    </row>
    <row r="14" spans="1:33" ht="18" customHeight="1" thickBot="1">
      <c r="A14" s="2489"/>
      <c r="B14" s="2490"/>
      <c r="D14" s="672"/>
      <c r="E14" s="673"/>
      <c r="F14" s="674"/>
      <c r="G14" s="659"/>
      <c r="H14" s="660"/>
      <c r="I14" s="660"/>
      <c r="J14" s="661"/>
      <c r="K14" s="662"/>
      <c r="L14" s="663"/>
      <c r="M14" s="664"/>
      <c r="N14" s="665"/>
      <c r="R14" s="639" t="s">
        <v>420</v>
      </c>
      <c r="S14" s="653" t="s">
        <v>420</v>
      </c>
      <c r="T14" s="653">
        <v>16212.960000000001</v>
      </c>
      <c r="U14" s="1610">
        <v>121.11120000000001</v>
      </c>
      <c r="V14" s="1610">
        <v>1729.5882352941176</v>
      </c>
      <c r="W14" s="1610">
        <v>66.705882352941174</v>
      </c>
      <c r="X14" s="1610">
        <v>73.66942372881357</v>
      </c>
      <c r="Y14" s="1610">
        <v>145.25174476570291</v>
      </c>
      <c r="Z14" s="1610">
        <v>46.184974488299808</v>
      </c>
      <c r="AA14" s="1610">
        <v>270.74044511084753</v>
      </c>
      <c r="AB14" s="1610">
        <v>5490.5294117647054</v>
      </c>
      <c r="AC14" s="1610">
        <v>76.235294117647058</v>
      </c>
      <c r="AD14" s="1610">
        <v>63.529411764705884</v>
      </c>
      <c r="AE14" s="1610">
        <v>63.529411764705884</v>
      </c>
      <c r="AF14" s="1610">
        <v>158.14843093220338</v>
      </c>
      <c r="AG14" s="1610">
        <v>1297.0368000000001</v>
      </c>
    </row>
    <row r="15" spans="1:33" ht="18" customHeight="1" thickBot="1">
      <c r="A15" s="2491"/>
      <c r="B15" s="2492"/>
      <c r="D15" s="672"/>
      <c r="E15" s="673"/>
      <c r="F15" s="674"/>
      <c r="G15" s="2525" t="s">
        <v>1772</v>
      </c>
      <c r="H15" s="2526"/>
      <c r="I15" s="2527"/>
      <c r="J15" s="2528" t="s">
        <v>205</v>
      </c>
      <c r="K15" s="2529"/>
      <c r="L15" s="2530"/>
      <c r="M15" s="2523" t="s">
        <v>1773</v>
      </c>
      <c r="N15" s="2524"/>
      <c r="R15" s="639" t="s">
        <v>421</v>
      </c>
      <c r="S15" s="653" t="s">
        <v>421</v>
      </c>
      <c r="T15" s="653">
        <v>19698.120000000003</v>
      </c>
      <c r="U15" s="1610">
        <v>157.95000000000005</v>
      </c>
      <c r="V15" s="1610">
        <v>1729.5882352941176</v>
      </c>
      <c r="W15" s="1610">
        <v>66.705882352941174</v>
      </c>
      <c r="X15" s="1610">
        <v>73.66942372881357</v>
      </c>
      <c r="Y15" s="1610">
        <v>145.25174476570291</v>
      </c>
      <c r="Z15" s="1610">
        <v>46.184974488299808</v>
      </c>
      <c r="AA15" s="1610">
        <v>270.74044511084753</v>
      </c>
      <c r="AB15" s="1610">
        <v>6689.6470588235297</v>
      </c>
      <c r="AC15" s="1610">
        <v>76.235294117647058</v>
      </c>
      <c r="AD15" s="1610">
        <v>63.529411764705884</v>
      </c>
      <c r="AE15" s="1610">
        <v>63.529411764705884</v>
      </c>
      <c r="AF15" s="1610">
        <v>197.01486819915252</v>
      </c>
      <c r="AG15" s="1610">
        <v>1575.8496000000002</v>
      </c>
    </row>
    <row r="16" spans="1:33" ht="18" customHeight="1" thickBot="1">
      <c r="A16" s="2531"/>
      <c r="B16" s="2532"/>
      <c r="D16" s="675"/>
      <c r="E16" s="676"/>
      <c r="F16" s="677"/>
      <c r="G16" s="678"/>
      <c r="H16" s="679"/>
      <c r="I16" s="680"/>
      <c r="J16" s="681"/>
      <c r="K16" s="682"/>
      <c r="L16" s="683"/>
      <c r="M16" s="684"/>
      <c r="N16" s="685"/>
      <c r="R16" s="639" t="s">
        <v>422</v>
      </c>
      <c r="S16" s="653" t="s">
        <v>422</v>
      </c>
      <c r="T16" s="653">
        <v>25102.440000000002</v>
      </c>
      <c r="U16" s="1610">
        <v>207.10080000000002</v>
      </c>
      <c r="V16" s="1610">
        <v>1921.7647058823529</v>
      </c>
      <c r="W16" s="1610">
        <v>66.705882352941174</v>
      </c>
      <c r="X16" s="1610">
        <v>73.66942372881357</v>
      </c>
      <c r="Y16" s="1610">
        <v>145.25174476570291</v>
      </c>
      <c r="Z16" s="1610">
        <v>46.184974488299808</v>
      </c>
      <c r="AA16" s="1610">
        <v>270.74044511084753</v>
      </c>
      <c r="AB16" s="1610">
        <v>7842.7058823529405</v>
      </c>
      <c r="AC16" s="1610">
        <v>76.235294117647058</v>
      </c>
      <c r="AD16" s="1610">
        <v>63.529411764705884</v>
      </c>
      <c r="AE16" s="1610">
        <v>63.529411764705884</v>
      </c>
      <c r="AF16" s="1610">
        <v>176.98725000000005</v>
      </c>
      <c r="AG16" s="1610">
        <v>2008.1952000000001</v>
      </c>
    </row>
    <row r="17" spans="1:33" ht="18" customHeight="1" thickBot="1">
      <c r="D17" s="669"/>
      <c r="E17" s="670"/>
      <c r="F17" s="671"/>
      <c r="G17" s="678"/>
      <c r="H17" s="679"/>
      <c r="I17" s="680"/>
      <c r="J17" s="681"/>
      <c r="K17" s="682"/>
      <c r="L17" s="683"/>
      <c r="M17" s="686"/>
      <c r="N17" s="687"/>
      <c r="R17" s="639" t="s">
        <v>423</v>
      </c>
      <c r="S17" s="653" t="s">
        <v>423</v>
      </c>
      <c r="T17" s="653">
        <v>29006.640000000003</v>
      </c>
      <c r="U17" s="1610">
        <v>242.19000000000003</v>
      </c>
      <c r="V17" s="1610">
        <v>3074.8235294117649</v>
      </c>
      <c r="W17" s="1610">
        <v>66.705882352941174</v>
      </c>
      <c r="X17" s="1610">
        <v>73.66942372881357</v>
      </c>
      <c r="Y17" s="1610">
        <v>290.50348953140582</v>
      </c>
      <c r="Z17" s="1610">
        <v>92.369948976599616</v>
      </c>
      <c r="AA17" s="1610">
        <v>270.74044511084753</v>
      </c>
      <c r="AB17" s="1610">
        <v>10099.588235294117</v>
      </c>
      <c r="AC17" s="1610">
        <v>76.235294117647058</v>
      </c>
      <c r="AD17" s="1610">
        <v>63.529411764705884</v>
      </c>
      <c r="AE17" s="1610">
        <v>63.529411764705884</v>
      </c>
      <c r="AF17" s="1610">
        <v>176.98725000000005</v>
      </c>
      <c r="AG17" s="1610">
        <v>2320.5311999999999</v>
      </c>
    </row>
    <row r="18" spans="1:33" ht="18" customHeight="1" thickBot="1">
      <c r="A18" s="2535" t="s">
        <v>1774</v>
      </c>
      <c r="B18" s="2536"/>
      <c r="D18" s="672"/>
      <c r="E18" s="673"/>
      <c r="F18" s="674"/>
      <c r="G18" s="678"/>
      <c r="H18" s="679"/>
      <c r="I18" s="680"/>
      <c r="J18" s="681"/>
      <c r="K18" s="682"/>
      <c r="L18" s="683"/>
      <c r="M18" s="686"/>
      <c r="N18" s="687"/>
      <c r="R18" s="639" t="s">
        <v>424</v>
      </c>
      <c r="S18" s="653" t="s">
        <v>424</v>
      </c>
      <c r="T18" s="653">
        <v>32445.360000000001</v>
      </c>
      <c r="U18" s="1610">
        <v>280.81080000000003</v>
      </c>
      <c r="V18" s="1610">
        <v>3074.8235294117649</v>
      </c>
      <c r="W18" s="1610">
        <v>66.705882352941174</v>
      </c>
      <c r="X18" s="1610">
        <v>73.66942372881357</v>
      </c>
      <c r="Y18" s="1610">
        <v>290.50348953140582</v>
      </c>
      <c r="Z18" s="1610">
        <v>92.369948976599616</v>
      </c>
      <c r="AA18" s="1610">
        <v>270.74044511084753</v>
      </c>
      <c r="AB18" s="1610">
        <v>11760.882352941177</v>
      </c>
      <c r="AC18" s="1610">
        <v>76.235294117647058</v>
      </c>
      <c r="AD18" s="1610">
        <v>63.529411764705884</v>
      </c>
      <c r="AE18" s="1610">
        <v>63.529411764705884</v>
      </c>
      <c r="AF18" s="1610">
        <v>700.8262855932204</v>
      </c>
      <c r="AG18" s="1610">
        <v>2595.6288000000004</v>
      </c>
    </row>
    <row r="19" spans="1:33" ht="18" customHeight="1">
      <c r="A19" s="2533"/>
      <c r="B19" s="2534"/>
      <c r="D19" s="672"/>
      <c r="E19" s="673"/>
      <c r="F19" s="674"/>
      <c r="G19" s="678"/>
      <c r="H19" s="679"/>
      <c r="I19" s="680"/>
      <c r="J19" s="681"/>
      <c r="K19" s="682"/>
      <c r="L19" s="683"/>
      <c r="M19" s="686"/>
      <c r="N19" s="687"/>
      <c r="R19" s="639"/>
      <c r="S19" s="653"/>
      <c r="T19" s="653"/>
      <c r="U19" s="1610"/>
      <c r="V19" s="1610"/>
      <c r="W19" s="1610"/>
      <c r="X19" s="1610"/>
      <c r="Y19" s="1610"/>
      <c r="Z19" s="1610"/>
      <c r="AA19" s="1610"/>
      <c r="AB19" s="1610"/>
      <c r="AC19" s="1610"/>
      <c r="AD19" s="1610"/>
      <c r="AE19" s="1610"/>
      <c r="AF19" s="1610"/>
      <c r="AG19" s="1610"/>
    </row>
    <row r="20" spans="1:33" ht="18" customHeight="1">
      <c r="A20" s="2516"/>
      <c r="B20" s="2517"/>
      <c r="D20" s="672"/>
      <c r="E20" s="673"/>
      <c r="F20" s="674"/>
      <c r="G20" s="678"/>
      <c r="H20" s="679"/>
      <c r="I20" s="680"/>
      <c r="J20" s="681"/>
      <c r="K20" s="682"/>
      <c r="L20" s="683"/>
      <c r="M20" s="686"/>
      <c r="N20" s="687"/>
      <c r="R20" s="639"/>
      <c r="S20" s="653"/>
      <c r="T20" s="653"/>
      <c r="U20" s="1610"/>
      <c r="V20" s="1610"/>
      <c r="W20" s="1610"/>
      <c r="X20" s="1610"/>
      <c r="Y20" s="1610"/>
      <c r="Z20" s="1610"/>
      <c r="AA20" s="1610"/>
      <c r="AB20" s="1610"/>
      <c r="AC20" s="1610"/>
      <c r="AD20" s="1610"/>
      <c r="AE20" s="1610"/>
      <c r="AF20" s="1610"/>
      <c r="AG20" s="1610"/>
    </row>
    <row r="21" spans="1:33" ht="22.5" customHeight="1" thickBot="1">
      <c r="A21" s="2518"/>
      <c r="B21" s="2519"/>
      <c r="D21" s="672"/>
      <c r="E21" s="673"/>
      <c r="F21" s="674"/>
      <c r="G21" s="678"/>
      <c r="H21" s="679"/>
      <c r="I21" s="680"/>
      <c r="J21" s="681"/>
      <c r="K21" s="682"/>
      <c r="L21" s="683"/>
      <c r="M21" s="686"/>
      <c r="N21" s="687"/>
      <c r="R21" s="639"/>
      <c r="S21" s="653"/>
      <c r="T21" s="653"/>
      <c r="U21" s="1610"/>
      <c r="V21" s="1610"/>
      <c r="W21" s="1610"/>
      <c r="X21" s="1610"/>
      <c r="Y21" s="1610"/>
      <c r="Z21" s="1610"/>
      <c r="AA21" s="1610"/>
      <c r="AB21" s="1610"/>
      <c r="AC21" s="1610"/>
      <c r="AD21" s="1610"/>
      <c r="AE21" s="1610"/>
      <c r="AF21" s="1610"/>
      <c r="AG21" s="1610"/>
    </row>
    <row r="22" spans="1:33" ht="22.5" customHeight="1" thickBot="1">
      <c r="D22" s="675"/>
      <c r="E22" s="676"/>
      <c r="F22" s="677"/>
      <c r="G22" s="678"/>
      <c r="H22" s="679"/>
      <c r="I22" s="680"/>
      <c r="J22" s="681"/>
      <c r="K22" s="682"/>
      <c r="L22" s="683"/>
      <c r="M22" s="686"/>
      <c r="N22" s="687"/>
      <c r="R22" s="639"/>
      <c r="S22" s="653"/>
      <c r="T22" s="653"/>
      <c r="U22" s="1610"/>
      <c r="V22" s="1610"/>
      <c r="W22" s="1610"/>
      <c r="X22" s="1610"/>
      <c r="Y22" s="1610"/>
      <c r="Z22" s="1610"/>
      <c r="AA22" s="1610"/>
      <c r="AB22" s="1610"/>
      <c r="AC22" s="1610"/>
      <c r="AD22" s="1610"/>
      <c r="AE22" s="1610"/>
      <c r="AF22" s="1610"/>
      <c r="AG22" s="1610"/>
    </row>
    <row r="23" spans="1:33" ht="18" customHeight="1">
      <c r="D23" s="672"/>
      <c r="E23" s="673"/>
      <c r="F23" s="674"/>
      <c r="G23" s="678"/>
      <c r="H23" s="679"/>
      <c r="I23" s="680"/>
      <c r="J23" s="681"/>
      <c r="K23" s="682"/>
      <c r="L23" s="683"/>
      <c r="M23" s="686"/>
      <c r="N23" s="687"/>
      <c r="R23" s="639"/>
      <c r="S23" s="653"/>
      <c r="T23" s="653"/>
      <c r="U23" s="1610"/>
      <c r="V23" s="1610"/>
      <c r="W23" s="1610"/>
      <c r="X23" s="1610"/>
      <c r="Y23" s="1610"/>
      <c r="Z23" s="1610"/>
      <c r="AA23" s="1610"/>
      <c r="AB23" s="1610"/>
      <c r="AC23" s="1610"/>
      <c r="AD23" s="1610"/>
      <c r="AE23" s="1610"/>
      <c r="AF23" s="1610"/>
      <c r="AG23" s="1610"/>
    </row>
    <row r="24" spans="1:33" ht="18" customHeight="1">
      <c r="D24" s="672"/>
      <c r="E24" s="673"/>
      <c r="F24" s="674"/>
      <c r="G24" s="678"/>
      <c r="H24" s="679"/>
      <c r="I24" s="680"/>
      <c r="J24" s="681"/>
      <c r="K24" s="682"/>
      <c r="L24" s="683"/>
      <c r="M24" s="686"/>
      <c r="N24" s="687"/>
      <c r="R24" s="639"/>
      <c r="S24" s="653"/>
      <c r="T24" s="653"/>
      <c r="U24" s="1610"/>
      <c r="V24" s="1610"/>
      <c r="W24" s="1610"/>
      <c r="X24" s="1610"/>
      <c r="Y24" s="1610"/>
      <c r="Z24" s="1610"/>
      <c r="AA24" s="1610"/>
      <c r="AB24" s="1610"/>
      <c r="AC24" s="1610"/>
      <c r="AD24" s="1610"/>
      <c r="AE24" s="1610"/>
      <c r="AF24" s="1610"/>
      <c r="AG24" s="1610"/>
    </row>
    <row r="25" spans="1:33" ht="18" customHeight="1">
      <c r="D25" s="672"/>
      <c r="E25" s="673"/>
      <c r="F25" s="674"/>
      <c r="G25" s="678"/>
      <c r="H25" s="679"/>
      <c r="I25" s="680"/>
      <c r="J25" s="681"/>
      <c r="K25" s="682"/>
      <c r="L25" s="683"/>
      <c r="M25" s="686"/>
      <c r="N25" s="687"/>
      <c r="R25" s="639"/>
      <c r="S25" s="653"/>
      <c r="T25" s="653"/>
      <c r="U25" s="1610"/>
      <c r="V25" s="1610"/>
      <c r="W25" s="1610"/>
      <c r="X25" s="1610"/>
      <c r="Y25" s="1610"/>
      <c r="Z25" s="1610"/>
      <c r="AA25" s="1610"/>
      <c r="AB25" s="1610"/>
      <c r="AC25" s="1610"/>
      <c r="AD25" s="1610"/>
      <c r="AE25" s="1610"/>
      <c r="AF25" s="1610"/>
      <c r="AG25" s="1610"/>
    </row>
    <row r="26" spans="1:33" ht="18" customHeight="1">
      <c r="D26" s="672"/>
      <c r="E26" s="673"/>
      <c r="F26" s="674"/>
      <c r="G26" s="678"/>
      <c r="H26" s="679"/>
      <c r="I26" s="680"/>
      <c r="J26" s="681"/>
      <c r="K26" s="682"/>
      <c r="L26" s="683"/>
      <c r="M26" s="686"/>
      <c r="N26" s="687"/>
      <c r="R26" s="639"/>
      <c r="S26" s="653"/>
      <c r="T26" s="653"/>
      <c r="U26" s="1610"/>
      <c r="V26" s="1610"/>
      <c r="W26" s="1610"/>
      <c r="X26" s="1610"/>
      <c r="Y26" s="1610"/>
      <c r="Z26" s="1610"/>
      <c r="AA26" s="1610"/>
      <c r="AB26" s="1610"/>
      <c r="AC26" s="1610"/>
      <c r="AD26" s="1610"/>
      <c r="AE26" s="1610"/>
      <c r="AF26" s="1610"/>
      <c r="AG26" s="1610"/>
    </row>
    <row r="27" spans="1:33" ht="18" customHeight="1">
      <c r="D27" s="672"/>
      <c r="E27" s="673"/>
      <c r="F27" s="674"/>
      <c r="G27" s="678"/>
      <c r="H27" s="679"/>
      <c r="I27" s="680"/>
      <c r="J27" s="681"/>
      <c r="K27" s="682"/>
      <c r="L27" s="683"/>
      <c r="M27" s="686"/>
      <c r="N27" s="687"/>
      <c r="R27" s="639"/>
      <c r="S27" s="653"/>
      <c r="T27" s="653"/>
      <c r="U27" s="1610"/>
      <c r="V27" s="1610"/>
      <c r="W27" s="1610"/>
      <c r="X27" s="1610"/>
      <c r="Y27" s="1610"/>
      <c r="Z27" s="1610"/>
      <c r="AA27" s="1610"/>
      <c r="AB27" s="1610"/>
      <c r="AC27" s="1610"/>
      <c r="AD27" s="1610"/>
      <c r="AE27" s="1610"/>
      <c r="AF27" s="1610"/>
      <c r="AG27" s="1610"/>
    </row>
    <row r="28" spans="1:33" ht="18" customHeight="1">
      <c r="D28" s="672"/>
      <c r="E28" s="673"/>
      <c r="F28" s="674"/>
      <c r="G28" s="678"/>
      <c r="H28" s="679"/>
      <c r="I28" s="680"/>
      <c r="J28" s="681"/>
      <c r="K28" s="682"/>
      <c r="L28" s="683"/>
      <c r="M28" s="686"/>
      <c r="N28" s="687"/>
      <c r="R28" s="639"/>
      <c r="S28" s="653"/>
      <c r="T28" s="653"/>
      <c r="U28" s="1610"/>
      <c r="V28" s="1610"/>
      <c r="W28" s="1610"/>
      <c r="X28" s="1610"/>
      <c r="Y28" s="1610"/>
      <c r="Z28" s="1610"/>
      <c r="AA28" s="1610"/>
      <c r="AB28" s="1610"/>
      <c r="AC28" s="1610"/>
      <c r="AD28" s="1610"/>
      <c r="AE28" s="1610"/>
      <c r="AF28" s="1610"/>
      <c r="AG28" s="1610"/>
    </row>
    <row r="29" spans="1:33" ht="24" customHeight="1" thickBot="1">
      <c r="D29" s="672"/>
      <c r="E29" s="673"/>
      <c r="F29" s="674"/>
      <c r="G29" s="678"/>
      <c r="H29" s="679"/>
      <c r="I29" s="680"/>
      <c r="J29" s="688"/>
      <c r="K29" s="689"/>
      <c r="L29" s="690"/>
      <c r="M29" s="686"/>
      <c r="N29" s="687"/>
      <c r="R29" s="639"/>
      <c r="S29" s="653"/>
      <c r="T29" s="653"/>
      <c r="U29" s="1610"/>
      <c r="V29" s="1610"/>
      <c r="W29" s="1610"/>
      <c r="X29" s="1610"/>
      <c r="Y29" s="1610"/>
      <c r="Z29" s="1610"/>
      <c r="AA29" s="1610"/>
      <c r="AB29" s="1610"/>
      <c r="AC29" s="1610"/>
      <c r="AD29" s="1610"/>
      <c r="AE29" s="1610"/>
      <c r="AF29" s="1610"/>
      <c r="AG29" s="1610"/>
    </row>
    <row r="30" spans="1:33" ht="18" customHeight="1" thickBot="1">
      <c r="D30" s="669"/>
      <c r="E30" s="670"/>
      <c r="F30" s="671"/>
      <c r="G30" s="691"/>
      <c r="H30" s="692"/>
      <c r="I30" s="693"/>
      <c r="J30" s="2520" t="s">
        <v>1775</v>
      </c>
      <c r="K30" s="2521"/>
      <c r="L30" s="2522"/>
      <c r="M30" s="2523" t="s">
        <v>1776</v>
      </c>
      <c r="N30" s="2524"/>
      <c r="R30" s="639"/>
      <c r="S30" s="653"/>
      <c r="T30" s="653"/>
      <c r="U30" s="1610"/>
      <c r="V30" s="1610"/>
      <c r="W30" s="1610"/>
      <c r="X30" s="1610"/>
      <c r="Y30" s="1610"/>
      <c r="Z30" s="1610"/>
      <c r="AA30" s="1610"/>
      <c r="AB30" s="1610"/>
      <c r="AC30" s="1610"/>
      <c r="AD30" s="1610"/>
      <c r="AE30" s="1610"/>
      <c r="AF30" s="1610"/>
      <c r="AG30" s="1610"/>
    </row>
    <row r="31" spans="1:33" ht="24" customHeight="1">
      <c r="D31" s="672"/>
      <c r="E31" s="673"/>
      <c r="F31" s="674"/>
      <c r="G31" s="694"/>
      <c r="H31" s="694"/>
      <c r="I31" s="694"/>
      <c r="J31" s="695"/>
      <c r="K31" s="696"/>
      <c r="L31" s="697"/>
      <c r="M31" s="684"/>
      <c r="N31" s="685"/>
      <c r="R31" s="639"/>
      <c r="S31" s="653"/>
      <c r="T31" s="653"/>
      <c r="U31" s="1610"/>
      <c r="V31" s="1610"/>
      <c r="W31" s="1610"/>
      <c r="X31" s="1610"/>
      <c r="Y31" s="1610"/>
      <c r="Z31" s="1610"/>
      <c r="AA31" s="1610"/>
      <c r="AB31" s="1610"/>
      <c r="AC31" s="1610"/>
      <c r="AD31" s="1610"/>
      <c r="AE31" s="1610"/>
      <c r="AF31" s="1610"/>
      <c r="AG31" s="1610"/>
    </row>
    <row r="32" spans="1:33">
      <c r="D32" s="672"/>
      <c r="E32" s="673"/>
      <c r="F32" s="674"/>
      <c r="G32" s="679"/>
      <c r="H32" s="679"/>
      <c r="I32" s="679"/>
      <c r="J32" s="698"/>
      <c r="K32" s="699"/>
      <c r="L32" s="700"/>
      <c r="M32" s="686"/>
      <c r="N32" s="687"/>
      <c r="R32" s="639"/>
      <c r="S32" s="653"/>
      <c r="T32" s="653"/>
      <c r="U32" s="1610"/>
      <c r="V32" s="1610"/>
      <c r="W32" s="1610"/>
      <c r="X32" s="1610"/>
      <c r="Y32" s="1610"/>
      <c r="Z32" s="1610"/>
      <c r="AA32" s="1610"/>
      <c r="AB32" s="1610"/>
      <c r="AC32" s="1610"/>
      <c r="AD32" s="1610"/>
      <c r="AE32" s="1610"/>
      <c r="AF32" s="1610"/>
      <c r="AG32" s="1610"/>
    </row>
    <row r="33" spans="4:33" ht="15.75" thickBot="1">
      <c r="D33" s="675"/>
      <c r="E33" s="676"/>
      <c r="F33" s="677"/>
      <c r="G33" s="692"/>
      <c r="H33" s="692"/>
      <c r="I33" s="692"/>
      <c r="J33" s="701"/>
      <c r="K33" s="702"/>
      <c r="L33" s="703"/>
      <c r="M33" s="704"/>
      <c r="N33" s="705"/>
      <c r="R33" s="639"/>
      <c r="S33" s="653"/>
      <c r="T33" s="653"/>
      <c r="U33" s="1610"/>
      <c r="V33" s="1610"/>
      <c r="W33" s="1610"/>
      <c r="X33" s="1610"/>
      <c r="Y33" s="1610"/>
      <c r="Z33" s="1610"/>
      <c r="AA33" s="1610"/>
      <c r="AB33" s="1610"/>
      <c r="AC33" s="1610"/>
      <c r="AD33" s="1610"/>
      <c r="AE33" s="1610"/>
      <c r="AF33" s="1610"/>
      <c r="AG33" s="1610"/>
    </row>
    <row r="34" spans="4:33">
      <c r="R34" s="639"/>
      <c r="S34" s="653"/>
      <c r="T34" s="653"/>
      <c r="U34" s="1610"/>
      <c r="V34" s="1610"/>
      <c r="W34" s="1610"/>
      <c r="X34" s="1610"/>
      <c r="Y34" s="1610"/>
      <c r="Z34" s="1610"/>
      <c r="AA34" s="1610"/>
      <c r="AB34" s="1610"/>
      <c r="AC34" s="1610"/>
      <c r="AD34" s="1610"/>
      <c r="AE34" s="1610"/>
      <c r="AF34" s="1610"/>
      <c r="AG34" s="1610"/>
    </row>
    <row r="35" spans="4:33">
      <c r="R35" s="639"/>
      <c r="S35" s="653"/>
      <c r="T35" s="653"/>
      <c r="U35" s="1610"/>
      <c r="V35" s="1610"/>
      <c r="W35" s="1610"/>
      <c r="X35" s="1610"/>
      <c r="Y35" s="1610"/>
      <c r="Z35" s="1610"/>
      <c r="AA35" s="1610"/>
      <c r="AB35" s="1610"/>
      <c r="AC35" s="1610"/>
      <c r="AD35" s="1610"/>
      <c r="AE35" s="1610"/>
      <c r="AF35" s="1610"/>
      <c r="AG35" s="1610"/>
    </row>
    <row r="36" spans="4:33">
      <c r="R36" s="639"/>
      <c r="S36" s="653"/>
      <c r="T36" s="653"/>
      <c r="U36" s="1610"/>
      <c r="V36" s="1610"/>
      <c r="W36" s="1610"/>
      <c r="X36" s="1610"/>
      <c r="Y36" s="1610"/>
      <c r="Z36" s="1610"/>
      <c r="AA36" s="1610"/>
      <c r="AB36" s="1610"/>
      <c r="AC36" s="1610"/>
      <c r="AD36" s="1610"/>
      <c r="AE36" s="1610"/>
      <c r="AF36" s="1610"/>
      <c r="AG36" s="1610"/>
    </row>
    <row r="37" spans="4:33" ht="21.75" customHeight="1">
      <c r="R37" s="639"/>
      <c r="S37" s="653"/>
      <c r="T37" s="653"/>
      <c r="U37" s="1610"/>
      <c r="V37" s="1610"/>
      <c r="W37" s="1610"/>
      <c r="X37" s="1610"/>
      <c r="Y37" s="1610"/>
      <c r="Z37" s="1610"/>
      <c r="AA37" s="1610"/>
      <c r="AB37" s="1610"/>
      <c r="AC37" s="1610"/>
      <c r="AD37" s="1610"/>
      <c r="AE37" s="1610"/>
      <c r="AF37" s="1610"/>
      <c r="AG37" s="1610"/>
    </row>
    <row r="38" spans="4:33" ht="17.25" customHeight="1">
      <c r="R38" s="639"/>
      <c r="S38" s="653"/>
      <c r="T38" s="653"/>
      <c r="U38" s="1610"/>
      <c r="V38" s="1610"/>
      <c r="W38" s="1610"/>
      <c r="X38" s="1610"/>
      <c r="Y38" s="1610"/>
      <c r="Z38" s="1610"/>
      <c r="AA38" s="1610"/>
      <c r="AB38" s="1610"/>
      <c r="AC38" s="1610"/>
      <c r="AD38" s="1610"/>
      <c r="AE38" s="1610"/>
      <c r="AF38" s="1610"/>
      <c r="AG38" s="1610"/>
    </row>
    <row r="39" spans="4:33" ht="17.25" customHeight="1">
      <c r="R39" s="639"/>
      <c r="S39" s="653"/>
      <c r="T39" s="653"/>
      <c r="U39" s="1610"/>
      <c r="V39" s="1610"/>
      <c r="W39" s="1610"/>
      <c r="X39" s="1610"/>
      <c r="Y39" s="1610"/>
      <c r="Z39" s="1610"/>
      <c r="AA39" s="1610"/>
      <c r="AB39" s="1610"/>
      <c r="AC39" s="1610"/>
      <c r="AD39" s="1610"/>
      <c r="AE39" s="1610"/>
      <c r="AF39" s="1610"/>
      <c r="AG39" s="1610"/>
    </row>
    <row r="40" spans="4:33" ht="17.25" customHeight="1">
      <c r="R40" s="639"/>
      <c r="S40" s="653"/>
      <c r="T40" s="653"/>
      <c r="U40" s="1610"/>
      <c r="V40" s="1610"/>
      <c r="W40" s="1610"/>
      <c r="X40" s="1610"/>
      <c r="Y40" s="1610"/>
      <c r="Z40" s="1610"/>
      <c r="AA40" s="1610"/>
      <c r="AB40" s="1610"/>
      <c r="AC40" s="1610"/>
      <c r="AD40" s="1610"/>
      <c r="AE40" s="1610"/>
      <c r="AF40" s="1610"/>
      <c r="AG40" s="1610"/>
    </row>
    <row r="41" spans="4:33">
      <c r="R41" s="639"/>
      <c r="S41" s="653"/>
      <c r="T41" s="653"/>
      <c r="U41" s="1610"/>
      <c r="V41" s="1610"/>
      <c r="W41" s="1610"/>
      <c r="X41" s="1610"/>
      <c r="Y41" s="1610"/>
      <c r="Z41" s="1610"/>
      <c r="AA41" s="1610"/>
      <c r="AB41" s="1610"/>
      <c r="AC41" s="1610"/>
      <c r="AD41" s="1610"/>
      <c r="AE41" s="1610"/>
      <c r="AF41" s="1610"/>
      <c r="AG41" s="1610"/>
    </row>
    <row r="42" spans="4:33">
      <c r="R42" s="639"/>
      <c r="S42" s="653"/>
      <c r="T42" s="653"/>
      <c r="U42" s="1610"/>
      <c r="V42" s="1610"/>
      <c r="W42" s="1610"/>
      <c r="X42" s="1610"/>
      <c r="Y42" s="1610"/>
      <c r="Z42" s="1610"/>
      <c r="AA42" s="1610"/>
      <c r="AB42" s="1610"/>
      <c r="AC42" s="1610"/>
      <c r="AD42" s="1610"/>
      <c r="AE42" s="1610"/>
      <c r="AF42" s="1610"/>
      <c r="AG42" s="1610"/>
    </row>
    <row r="43" spans="4:33">
      <c r="R43" s="639"/>
      <c r="S43" s="653"/>
      <c r="T43" s="653"/>
      <c r="U43" s="1610"/>
      <c r="V43" s="1610"/>
      <c r="W43" s="1610"/>
      <c r="X43" s="1610"/>
      <c r="Y43" s="1610"/>
      <c r="Z43" s="1610"/>
      <c r="AA43" s="1610"/>
      <c r="AB43" s="1610"/>
      <c r="AC43" s="1610"/>
      <c r="AD43" s="1610"/>
      <c r="AE43" s="1610"/>
      <c r="AF43" s="1610"/>
      <c r="AG43" s="1610"/>
    </row>
    <row r="44" spans="4:33">
      <c r="R44" s="639"/>
      <c r="S44" s="653"/>
      <c r="T44" s="653"/>
      <c r="U44" s="1610"/>
      <c r="V44" s="1610"/>
      <c r="W44" s="1610"/>
      <c r="X44" s="1610"/>
      <c r="Y44" s="1610"/>
      <c r="Z44" s="1610"/>
      <c r="AA44" s="1610"/>
      <c r="AB44" s="1610"/>
      <c r="AC44" s="1610"/>
      <c r="AD44" s="1610"/>
      <c r="AE44" s="1610"/>
      <c r="AF44" s="1610"/>
      <c r="AG44" s="1610"/>
    </row>
    <row r="45" spans="4:33">
      <c r="R45" s="639"/>
      <c r="S45" s="653"/>
      <c r="T45" s="653"/>
      <c r="U45" s="1610"/>
      <c r="V45" s="1610"/>
      <c r="W45" s="1610"/>
      <c r="X45" s="1610"/>
      <c r="Y45" s="1610"/>
      <c r="Z45" s="1610"/>
      <c r="AA45" s="1610"/>
      <c r="AB45" s="1610"/>
      <c r="AC45" s="1610"/>
      <c r="AD45" s="1610"/>
      <c r="AE45" s="1610"/>
      <c r="AF45" s="1610"/>
      <c r="AG45" s="1610"/>
    </row>
  </sheetData>
  <mergeCells count="23">
    <mergeCell ref="A20:B20"/>
    <mergeCell ref="A21:B21"/>
    <mergeCell ref="J30:L30"/>
    <mergeCell ref="M30:N30"/>
    <mergeCell ref="G15:I15"/>
    <mergeCell ref="J15:L15"/>
    <mergeCell ref="M15:N15"/>
    <mergeCell ref="A16:B16"/>
    <mergeCell ref="A19:B19"/>
    <mergeCell ref="A18:B18"/>
    <mergeCell ref="A14:B14"/>
    <mergeCell ref="A15:B15"/>
    <mergeCell ref="A1:B1"/>
    <mergeCell ref="D1:N1"/>
    <mergeCell ref="D2:F2"/>
    <mergeCell ref="G2:I2"/>
    <mergeCell ref="J2:L2"/>
    <mergeCell ref="M2:N2"/>
    <mergeCell ref="A9:B9"/>
    <mergeCell ref="A10:B10"/>
    <mergeCell ref="A11:B11"/>
    <mergeCell ref="D11:F11"/>
    <mergeCell ref="A13:B1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95312" r:id="rId4" name="Q_PAH_DIFFUSER">
          <controlPr defaultSize="0" autoLine="0" r:id="rId5">
            <anchor moveWithCells="1">
              <from>
                <xdr:col>3</xdr:col>
                <xdr:colOff>38100</xdr:colOff>
                <xdr:row>26</xdr:row>
                <xdr:rowOff>152400</xdr:rowOff>
              </from>
              <to>
                <xdr:col>4</xdr:col>
                <xdr:colOff>514350</xdr:colOff>
                <xdr:row>27</xdr:row>
                <xdr:rowOff>180975</xdr:rowOff>
              </to>
            </anchor>
          </controlPr>
        </control>
      </mc:Choice>
      <mc:Fallback>
        <control shapeId="95312" r:id="rId4" name="Q_PAH_DIFFUSER"/>
      </mc:Fallback>
    </mc:AlternateContent>
    <mc:AlternateContent xmlns:mc="http://schemas.openxmlformats.org/markup-compatibility/2006">
      <mc:Choice Requires="x14">
        <control shapeId="95311" r:id="rId6" name="Q_PAH_HPD_SEC">
          <controlPr defaultSize="0" autoLine="0" autoPict="0" r:id="rId7">
            <anchor moveWithCells="1">
              <from>
                <xdr:col>3</xdr:col>
                <xdr:colOff>57150</xdr:colOff>
                <xdr:row>29</xdr:row>
                <xdr:rowOff>219075</xdr:rowOff>
              </from>
              <to>
                <xdr:col>5</xdr:col>
                <xdr:colOff>609600</xdr:colOff>
                <xdr:row>30</xdr:row>
                <xdr:rowOff>257175</xdr:rowOff>
              </to>
            </anchor>
          </controlPr>
        </control>
      </mc:Choice>
      <mc:Fallback>
        <control shapeId="95311" r:id="rId6" name="Q_PAH_HPD_SEC"/>
      </mc:Fallback>
    </mc:AlternateContent>
    <mc:AlternateContent xmlns:mc="http://schemas.openxmlformats.org/markup-compatibility/2006">
      <mc:Choice Requires="x14">
        <control shapeId="95310" r:id="rId8" name="Q_PAH_EW_SECTION">
          <controlPr defaultSize="0" autoLine="0" r:id="rId9">
            <anchor moveWithCells="1">
              <from>
                <xdr:col>3</xdr:col>
                <xdr:colOff>47625</xdr:colOff>
                <xdr:row>6</xdr:row>
                <xdr:rowOff>190500</xdr:rowOff>
              </from>
              <to>
                <xdr:col>5</xdr:col>
                <xdr:colOff>228600</xdr:colOff>
                <xdr:row>7</xdr:row>
                <xdr:rowOff>238125</xdr:rowOff>
              </to>
            </anchor>
          </controlPr>
        </control>
      </mc:Choice>
      <mc:Fallback>
        <control shapeId="95310" r:id="rId8" name="Q_PAH_EW_SECTION"/>
      </mc:Fallback>
    </mc:AlternateContent>
    <mc:AlternateContent xmlns:mc="http://schemas.openxmlformats.org/markup-compatibility/2006">
      <mc:Choice Requires="x14">
        <control shapeId="95309" r:id="rId10" name="Q_PAH_Standerd">
          <controlPr defaultSize="0" autoLine="0" autoPict="0" r:id="rId11">
            <anchor moveWithCells="1">
              <from>
                <xdr:col>3</xdr:col>
                <xdr:colOff>76200</xdr:colOff>
                <xdr:row>2</xdr:row>
                <xdr:rowOff>47625</xdr:rowOff>
              </from>
              <to>
                <xdr:col>5</xdr:col>
                <xdr:colOff>257175</xdr:colOff>
                <xdr:row>3</xdr:row>
                <xdr:rowOff>104775</xdr:rowOff>
              </to>
            </anchor>
          </controlPr>
        </control>
      </mc:Choice>
      <mc:Fallback>
        <control shapeId="95309" r:id="rId10" name="Q_PAH_Standerd"/>
      </mc:Fallback>
    </mc:AlternateContent>
    <mc:AlternateContent xmlns:mc="http://schemas.openxmlformats.org/markup-compatibility/2006">
      <mc:Choice Requires="x14">
        <control shapeId="95308" r:id="rId12" name="Q_PAH_ECO">
          <controlPr defaultSize="0" autoLine="0" r:id="rId13">
            <anchor moveWithCells="1">
              <from>
                <xdr:col>3</xdr:col>
                <xdr:colOff>47625</xdr:colOff>
                <xdr:row>5</xdr:row>
                <xdr:rowOff>180975</xdr:rowOff>
              </from>
              <to>
                <xdr:col>5</xdr:col>
                <xdr:colOff>95250</xdr:colOff>
                <xdr:row>7</xdr:row>
                <xdr:rowOff>28575</xdr:rowOff>
              </to>
            </anchor>
          </controlPr>
        </control>
      </mc:Choice>
      <mc:Fallback>
        <control shapeId="95308" r:id="rId12" name="Q_PAH_ECO"/>
      </mc:Fallback>
    </mc:AlternateContent>
    <mc:AlternateContent xmlns:mc="http://schemas.openxmlformats.org/markup-compatibility/2006">
      <mc:Choice Requires="x14">
        <control shapeId="95307" r:id="rId14" name="Q_PAH_STD_ID">
          <controlPr defaultSize="0" autoLine="0" autoPict="0" r:id="rId15">
            <anchor moveWithCells="1">
              <from>
                <xdr:col>3</xdr:col>
                <xdr:colOff>85725</xdr:colOff>
                <xdr:row>4</xdr:row>
                <xdr:rowOff>66675</xdr:rowOff>
              </from>
              <to>
                <xdr:col>5</xdr:col>
                <xdr:colOff>266700</xdr:colOff>
                <xdr:row>5</xdr:row>
                <xdr:rowOff>123825</xdr:rowOff>
              </to>
            </anchor>
          </controlPr>
        </control>
      </mc:Choice>
      <mc:Fallback>
        <control shapeId="95307" r:id="rId14" name="Q_PAH_STD_ID"/>
      </mc:Fallback>
    </mc:AlternateContent>
    <mc:AlternateContent xmlns:mc="http://schemas.openxmlformats.org/markup-compatibility/2006">
      <mc:Choice Requires="x14">
        <control shapeId="95306" r:id="rId16" name="Q_PAH_STD_MB">
          <controlPr defaultSize="0" autoLine="0" autoPict="0" r:id="rId17">
            <anchor moveWithCells="1">
              <from>
                <xdr:col>3</xdr:col>
                <xdr:colOff>85725</xdr:colOff>
                <xdr:row>3</xdr:row>
                <xdr:rowOff>57150</xdr:rowOff>
              </from>
              <to>
                <xdr:col>5</xdr:col>
                <xdr:colOff>266700</xdr:colOff>
                <xdr:row>4</xdr:row>
                <xdr:rowOff>114300</xdr:rowOff>
              </to>
            </anchor>
          </controlPr>
        </control>
      </mc:Choice>
      <mc:Fallback>
        <control shapeId="95306" r:id="rId16" name="Q_PAH_STD_MB"/>
      </mc:Fallback>
    </mc:AlternateContent>
    <mc:AlternateContent xmlns:mc="http://schemas.openxmlformats.org/markup-compatibility/2006">
      <mc:Choice Requires="x14">
        <control shapeId="95305" r:id="rId18" name="Q_PAH_EW">
          <controlPr defaultSize="0" autoLine="0" autoPict="0" r:id="rId19">
            <anchor moveWithCells="1">
              <from>
                <xdr:col>3</xdr:col>
                <xdr:colOff>57150</xdr:colOff>
                <xdr:row>28</xdr:row>
                <xdr:rowOff>295275</xdr:rowOff>
              </from>
              <to>
                <xdr:col>5</xdr:col>
                <xdr:colOff>609600</xdr:colOff>
                <xdr:row>30</xdr:row>
                <xdr:rowOff>28575</xdr:rowOff>
              </to>
            </anchor>
          </controlPr>
        </control>
      </mc:Choice>
      <mc:Fallback>
        <control shapeId="95305" r:id="rId18" name="Q_PAH_EW"/>
      </mc:Fallback>
    </mc:AlternateContent>
    <mc:AlternateContent xmlns:mc="http://schemas.openxmlformats.org/markup-compatibility/2006">
      <mc:Choice Requires="x14">
        <control shapeId="95304" r:id="rId20" name="Q_PAH_CHEMICAL_2STG">
          <controlPr defaultSize="0" autoLine="0" autoPict="0" r:id="rId21">
            <anchor moveWithCells="1">
              <from>
                <xdr:col>3</xdr:col>
                <xdr:colOff>57150</xdr:colOff>
                <xdr:row>21</xdr:row>
                <xdr:rowOff>66675</xdr:rowOff>
              </from>
              <to>
                <xdr:col>5</xdr:col>
                <xdr:colOff>609600</xdr:colOff>
                <xdr:row>22</xdr:row>
                <xdr:rowOff>47625</xdr:rowOff>
              </to>
            </anchor>
          </controlPr>
        </control>
      </mc:Choice>
      <mc:Fallback>
        <control shapeId="95304" r:id="rId20" name="Q_PAH_CHEMICAL_2STG"/>
      </mc:Fallback>
    </mc:AlternateContent>
    <mc:AlternateContent xmlns:mc="http://schemas.openxmlformats.org/markup-compatibility/2006">
      <mc:Choice Requires="x14">
        <control shapeId="95303" r:id="rId22" name="Q_PAH_CHEMICAL_1STG">
          <controlPr defaultSize="0" autoLine="0" autoPict="0" r:id="rId23">
            <anchor moveWithCells="1">
              <from>
                <xdr:col>3</xdr:col>
                <xdr:colOff>57150</xdr:colOff>
                <xdr:row>20</xdr:row>
                <xdr:rowOff>142875</xdr:rowOff>
              </from>
              <to>
                <xdr:col>5</xdr:col>
                <xdr:colOff>609600</xdr:colOff>
                <xdr:row>21</xdr:row>
                <xdr:rowOff>123825</xdr:rowOff>
              </to>
            </anchor>
          </controlPr>
        </control>
      </mc:Choice>
      <mc:Fallback>
        <control shapeId="95303" r:id="rId22" name="Q_PAH_CHEMICAL_1STG"/>
      </mc:Fallback>
    </mc:AlternateContent>
    <mc:AlternateContent xmlns:mc="http://schemas.openxmlformats.org/markup-compatibility/2006">
      <mc:Choice Requires="x14">
        <control shapeId="95302" r:id="rId24" name="Q_PAH_ESP_WAW">
          <controlPr defaultSize="0" autoLine="0" autoPict="0" r:id="rId25">
            <anchor moveWithCells="1">
              <from>
                <xdr:col>3</xdr:col>
                <xdr:colOff>66675</xdr:colOff>
                <xdr:row>19</xdr:row>
                <xdr:rowOff>180975</xdr:rowOff>
              </from>
              <to>
                <xdr:col>5</xdr:col>
                <xdr:colOff>619125</xdr:colOff>
                <xdr:row>20</xdr:row>
                <xdr:rowOff>219075</xdr:rowOff>
              </to>
            </anchor>
          </controlPr>
        </control>
      </mc:Choice>
      <mc:Fallback>
        <control shapeId="95302" r:id="rId24" name="Q_PAH_ESP_WAW"/>
      </mc:Fallback>
    </mc:AlternateContent>
    <mc:AlternateContent xmlns:mc="http://schemas.openxmlformats.org/markup-compatibility/2006">
      <mc:Choice Requires="x14">
        <control shapeId="95301" r:id="rId26" name="Q_PAH_ESP_WOAW">
          <controlPr defaultSize="0" autoLine="0" autoPict="0" r:id="rId27">
            <anchor moveWithCells="1">
              <from>
                <xdr:col>3</xdr:col>
                <xdr:colOff>57150</xdr:colOff>
                <xdr:row>18</xdr:row>
                <xdr:rowOff>200025</xdr:rowOff>
              </from>
              <to>
                <xdr:col>5</xdr:col>
                <xdr:colOff>609600</xdr:colOff>
                <xdr:row>20</xdr:row>
                <xdr:rowOff>9525</xdr:rowOff>
              </to>
            </anchor>
          </controlPr>
        </control>
      </mc:Choice>
      <mc:Fallback>
        <control shapeId="95301" r:id="rId26" name="Q_PAH_ESP_WOAW"/>
      </mc:Fallback>
    </mc:AlternateContent>
    <mc:AlternateContent xmlns:mc="http://schemas.openxmlformats.org/markup-compatibility/2006">
      <mc:Choice Requires="x14">
        <control shapeId="95300" r:id="rId28" name="Q_PAH_PLENUM_FAN">
          <controlPr defaultSize="0" autoLine="0" autoPict="0" r:id="rId29">
            <anchor moveWithCells="1">
              <from>
                <xdr:col>3</xdr:col>
                <xdr:colOff>66675</xdr:colOff>
                <xdr:row>24</xdr:row>
                <xdr:rowOff>161925</xdr:rowOff>
              </from>
              <to>
                <xdr:col>5</xdr:col>
                <xdr:colOff>361950</xdr:colOff>
                <xdr:row>25</xdr:row>
                <xdr:rowOff>200025</xdr:rowOff>
              </to>
            </anchor>
          </controlPr>
        </control>
      </mc:Choice>
      <mc:Fallback>
        <control shapeId="95300" r:id="rId28" name="Q_PAH_PLENUM_FAN"/>
      </mc:Fallback>
    </mc:AlternateContent>
    <mc:AlternateContent xmlns:mc="http://schemas.openxmlformats.org/markup-compatibility/2006">
      <mc:Choice Requires="x14">
        <control shapeId="95299" r:id="rId30" name="Q_PAH_CARBON">
          <controlPr defaultSize="0" autoLine="0" autoPict="0" r:id="rId31">
            <anchor moveWithCells="1">
              <from>
                <xdr:col>3</xdr:col>
                <xdr:colOff>66675</xdr:colOff>
                <xdr:row>17</xdr:row>
                <xdr:rowOff>9525</xdr:rowOff>
              </from>
              <to>
                <xdr:col>5</xdr:col>
                <xdr:colOff>361950</xdr:colOff>
                <xdr:row>18</xdr:row>
                <xdr:rowOff>47625</xdr:rowOff>
              </to>
            </anchor>
          </controlPr>
        </control>
      </mc:Choice>
      <mc:Fallback>
        <control shapeId="95299" r:id="rId30" name="Q_PAH_CARBON"/>
      </mc:Fallback>
    </mc:AlternateContent>
    <mc:AlternateContent xmlns:mc="http://schemas.openxmlformats.org/markup-compatibility/2006">
      <mc:Choice Requires="x14">
        <control shapeId="95298" r:id="rId32" name="Q_PAH_ACCESS_ECOLOGY">
          <controlPr defaultSize="0" autoLine="0" autoPict="0" r:id="rId33">
            <anchor moveWithCells="1">
              <from>
                <xdr:col>3</xdr:col>
                <xdr:colOff>57150</xdr:colOff>
                <xdr:row>25</xdr:row>
                <xdr:rowOff>152400</xdr:rowOff>
              </from>
              <to>
                <xdr:col>6</xdr:col>
                <xdr:colOff>0</xdr:colOff>
                <xdr:row>26</xdr:row>
                <xdr:rowOff>180975</xdr:rowOff>
              </to>
            </anchor>
          </controlPr>
        </control>
      </mc:Choice>
      <mc:Fallback>
        <control shapeId="95298" r:id="rId32" name="Q_PAH_ACCESS_ECOLOGY"/>
      </mc:Fallback>
    </mc:AlternateContent>
    <mc:AlternateContent xmlns:mc="http://schemas.openxmlformats.org/markup-compatibility/2006">
      <mc:Choice Requires="x14">
        <control shapeId="95297" r:id="rId34" name="Q_PAH_HESP">
          <controlPr defaultSize="0" autoLine="0" autoPict="0" r:id="rId35">
            <anchor moveWithCells="1">
              <from>
                <xdr:col>0</xdr:col>
                <xdr:colOff>66675</xdr:colOff>
                <xdr:row>20</xdr:row>
                <xdr:rowOff>38100</xdr:rowOff>
              </from>
              <to>
                <xdr:col>1</xdr:col>
                <xdr:colOff>714375</xdr:colOff>
                <xdr:row>21</xdr:row>
                <xdr:rowOff>0</xdr:rowOff>
              </to>
            </anchor>
          </controlPr>
        </control>
      </mc:Choice>
      <mc:Fallback>
        <control shapeId="95297" r:id="rId34" name="Q_PAH_HESP"/>
      </mc:Fallback>
    </mc:AlternateContent>
    <mc:AlternateContent xmlns:mc="http://schemas.openxmlformats.org/markup-compatibility/2006">
      <mc:Choice Requires="x14">
        <control shapeId="95296" r:id="rId36" name="Q_PAH_LESP">
          <controlPr defaultSize="0" autoLine="0" autoPict="0" r:id="rId37">
            <anchor moveWithCells="1">
              <from>
                <xdr:col>0</xdr:col>
                <xdr:colOff>76200</xdr:colOff>
                <xdr:row>18</xdr:row>
                <xdr:rowOff>28575</xdr:rowOff>
              </from>
              <to>
                <xdr:col>1</xdr:col>
                <xdr:colOff>409575</xdr:colOff>
                <xdr:row>19</xdr:row>
                <xdr:rowOff>47625</xdr:rowOff>
              </to>
            </anchor>
          </controlPr>
        </control>
      </mc:Choice>
      <mc:Fallback>
        <control shapeId="95296" r:id="rId36" name="Q_PAH_LESP"/>
      </mc:Fallback>
    </mc:AlternateContent>
    <mc:AlternateContent xmlns:mc="http://schemas.openxmlformats.org/markup-compatibility/2006">
      <mc:Choice Requires="x14">
        <control shapeId="95295" r:id="rId38" name="Q_PAH_MESP">
          <controlPr defaultSize="0" autoLine="0" autoPict="0" r:id="rId39">
            <anchor moveWithCells="1">
              <from>
                <xdr:col>0</xdr:col>
                <xdr:colOff>95250</xdr:colOff>
                <xdr:row>19</xdr:row>
                <xdr:rowOff>28575</xdr:rowOff>
              </from>
              <to>
                <xdr:col>1</xdr:col>
                <xdr:colOff>133350</xdr:colOff>
                <xdr:row>20</xdr:row>
                <xdr:rowOff>47625</xdr:rowOff>
              </to>
            </anchor>
          </controlPr>
        </control>
      </mc:Choice>
      <mc:Fallback>
        <control shapeId="95295" r:id="rId38" name="Q_PAH_MESP"/>
      </mc:Fallback>
    </mc:AlternateContent>
    <mc:AlternateContent xmlns:mc="http://schemas.openxmlformats.org/markup-compatibility/2006">
      <mc:Choice Requires="x14">
        <control shapeId="95294" r:id="rId40" name="Q_PPH_Belt_Spare">
          <controlPr defaultSize="0" autoLine="0" r:id="rId41">
            <anchor moveWithCells="1">
              <from>
                <xdr:col>9</xdr:col>
                <xdr:colOff>95250</xdr:colOff>
                <xdr:row>14</xdr:row>
                <xdr:rowOff>219075</xdr:rowOff>
              </from>
              <to>
                <xdr:col>11</xdr:col>
                <xdr:colOff>428625</xdr:colOff>
                <xdr:row>16</xdr:row>
                <xdr:rowOff>28575</xdr:rowOff>
              </to>
            </anchor>
          </controlPr>
        </control>
      </mc:Choice>
      <mc:Fallback>
        <control shapeId="95294" r:id="rId40" name="Q_PPH_Belt_Spare"/>
      </mc:Fallback>
    </mc:AlternateContent>
    <mc:AlternateContent xmlns:mc="http://schemas.openxmlformats.org/markup-compatibility/2006">
      <mc:Choice Requires="x14">
        <control shapeId="95293" r:id="rId42" name="Q_PPH_Current_Transformer_Evap">
          <controlPr defaultSize="0" autoLine="0" autoPict="0" r:id="rId43">
            <anchor moveWithCells="1">
              <from>
                <xdr:col>9</xdr:col>
                <xdr:colOff>85725</xdr:colOff>
                <xdr:row>3</xdr:row>
                <xdr:rowOff>38100</xdr:rowOff>
              </from>
              <to>
                <xdr:col>12</xdr:col>
                <xdr:colOff>0</xdr:colOff>
                <xdr:row>4</xdr:row>
                <xdr:rowOff>114300</xdr:rowOff>
              </to>
            </anchor>
          </controlPr>
        </control>
      </mc:Choice>
      <mc:Fallback>
        <control shapeId="95293" r:id="rId42" name="Q_PPH_Current_Transformer_Evap"/>
      </mc:Fallback>
    </mc:AlternateContent>
    <mc:AlternateContent xmlns:mc="http://schemas.openxmlformats.org/markup-compatibility/2006">
      <mc:Choice Requires="x14">
        <control shapeId="95292" r:id="rId44" name="Q_PPH_Earth_Leakage">
          <controlPr defaultSize="0" disabled="1" autoLine="0" autoPict="0" r:id="rId45">
            <anchor moveWithCells="1">
              <from>
                <xdr:col>9</xdr:col>
                <xdr:colOff>85725</xdr:colOff>
                <xdr:row>5</xdr:row>
                <xdr:rowOff>76200</xdr:rowOff>
              </from>
              <to>
                <xdr:col>10</xdr:col>
                <xdr:colOff>571500</xdr:colOff>
                <xdr:row>6</xdr:row>
                <xdr:rowOff>142875</xdr:rowOff>
              </to>
            </anchor>
          </controlPr>
        </control>
      </mc:Choice>
      <mc:Fallback>
        <control shapeId="95292" r:id="rId44" name="Q_PPH_Earth_Leakage"/>
      </mc:Fallback>
    </mc:AlternateContent>
    <mc:AlternateContent xmlns:mc="http://schemas.openxmlformats.org/markup-compatibility/2006">
      <mc:Choice Requires="x14">
        <control shapeId="95291" r:id="rId46" name="Q_PPH_Earth_Boss">
          <controlPr defaultSize="0" autoLine="0" autoPict="0" r:id="rId47">
            <anchor moveWithCells="1">
              <from>
                <xdr:col>9</xdr:col>
                <xdr:colOff>85725</xdr:colOff>
                <xdr:row>4</xdr:row>
                <xdr:rowOff>57150</xdr:rowOff>
              </from>
              <to>
                <xdr:col>10</xdr:col>
                <xdr:colOff>590550</xdr:colOff>
                <xdr:row>5</xdr:row>
                <xdr:rowOff>133350</xdr:rowOff>
              </to>
            </anchor>
          </controlPr>
        </control>
      </mc:Choice>
      <mc:Fallback>
        <control shapeId="95291" r:id="rId46" name="Q_PPH_Earth_Boss"/>
      </mc:Fallback>
    </mc:AlternateContent>
    <mc:AlternateContent xmlns:mc="http://schemas.openxmlformats.org/markup-compatibility/2006">
      <mc:Choice Requires="x14">
        <control shapeId="95290" r:id="rId48" name="Q_PPH_SS_Filter_304">
          <controlPr defaultSize="0" autoLine="0" r:id="rId49">
            <anchor moveWithCells="1">
              <from>
                <xdr:col>6</xdr:col>
                <xdr:colOff>28575</xdr:colOff>
                <xdr:row>17</xdr:row>
                <xdr:rowOff>161925</xdr:rowOff>
              </from>
              <to>
                <xdr:col>8</xdr:col>
                <xdr:colOff>600075</xdr:colOff>
                <xdr:row>18</xdr:row>
                <xdr:rowOff>200025</xdr:rowOff>
              </to>
            </anchor>
          </controlPr>
        </control>
      </mc:Choice>
      <mc:Fallback>
        <control shapeId="95290" r:id="rId48" name="Q_PPH_SS_Filter_304"/>
      </mc:Fallback>
    </mc:AlternateContent>
    <mc:AlternateContent xmlns:mc="http://schemas.openxmlformats.org/markup-compatibility/2006">
      <mc:Choice Requires="x14">
        <control shapeId="95289" r:id="rId50" name="Q_PPH_MMS_Evap">
          <controlPr defaultSize="0" autoLine="0" autoPict="0" r:id="rId51">
            <anchor moveWithCells="1">
              <from>
                <xdr:col>9</xdr:col>
                <xdr:colOff>95250</xdr:colOff>
                <xdr:row>2</xdr:row>
                <xdr:rowOff>19050</xdr:rowOff>
              </from>
              <to>
                <xdr:col>11</xdr:col>
                <xdr:colOff>723900</xdr:colOff>
                <xdr:row>3</xdr:row>
                <xdr:rowOff>95250</xdr:rowOff>
              </to>
            </anchor>
          </controlPr>
        </control>
      </mc:Choice>
      <mc:Fallback>
        <control shapeId="95289" r:id="rId50" name="Q_PPH_MMS_Evap"/>
      </mc:Fallback>
    </mc:AlternateContent>
    <mc:AlternateContent xmlns:mc="http://schemas.openxmlformats.org/markup-compatibility/2006">
      <mc:Choice Requires="x14">
        <control shapeId="95288" r:id="rId52" name="Q_PPH_Spring_Under_Units">
          <controlPr defaultSize="0" disabled="1" autoLine="0" r:id="rId53">
            <anchor moveWithCells="1">
              <from>
                <xdr:col>6</xdr:col>
                <xdr:colOff>66675</xdr:colOff>
                <xdr:row>9</xdr:row>
                <xdr:rowOff>38100</xdr:rowOff>
              </from>
              <to>
                <xdr:col>8</xdr:col>
                <xdr:colOff>323850</xdr:colOff>
                <xdr:row>10</xdr:row>
                <xdr:rowOff>76200</xdr:rowOff>
              </to>
            </anchor>
          </controlPr>
        </control>
      </mc:Choice>
      <mc:Fallback>
        <control shapeId="95288" r:id="rId52" name="Q_PPH_Spring_Under_Units"/>
      </mc:Fallback>
    </mc:AlternateContent>
    <mc:AlternateContent xmlns:mc="http://schemas.openxmlformats.org/markup-compatibility/2006">
      <mc:Choice Requires="x14">
        <control shapeId="95287" r:id="rId54" name="Q_PPH_Inner_Coating">
          <controlPr defaultSize="0" autoLine="0" r:id="rId55">
            <anchor moveWithCells="1">
              <from>
                <xdr:col>6</xdr:col>
                <xdr:colOff>66675</xdr:colOff>
                <xdr:row>8</xdr:row>
                <xdr:rowOff>38100</xdr:rowOff>
              </from>
              <to>
                <xdr:col>8</xdr:col>
                <xdr:colOff>323850</xdr:colOff>
                <xdr:row>9</xdr:row>
                <xdr:rowOff>104775</xdr:rowOff>
              </to>
            </anchor>
          </controlPr>
        </control>
      </mc:Choice>
      <mc:Fallback>
        <control shapeId="95287" r:id="rId54" name="Q_PPH_Inner_Coating"/>
      </mc:Fallback>
    </mc:AlternateContent>
    <mc:AlternateContent xmlns:mc="http://schemas.openxmlformats.org/markup-compatibility/2006">
      <mc:Choice Requires="x14">
        <control shapeId="95286" r:id="rId56" name="Q_PPH_Base_Coating">
          <controlPr defaultSize="0" autoLine="0" autoPict="0" r:id="rId57">
            <anchor moveWithCells="1">
              <from>
                <xdr:col>6</xdr:col>
                <xdr:colOff>57150</xdr:colOff>
                <xdr:row>7</xdr:row>
                <xdr:rowOff>123825</xdr:rowOff>
              </from>
              <to>
                <xdr:col>8</xdr:col>
                <xdr:colOff>9525</xdr:colOff>
                <xdr:row>8</xdr:row>
                <xdr:rowOff>95250</xdr:rowOff>
              </to>
            </anchor>
          </controlPr>
        </control>
      </mc:Choice>
      <mc:Fallback>
        <control shapeId="95286" r:id="rId56" name="Q_PPH_Base_Coating"/>
      </mc:Fallback>
    </mc:AlternateContent>
    <mc:AlternateContent xmlns:mc="http://schemas.openxmlformats.org/markup-compatibility/2006">
      <mc:Choice Requires="x14">
        <control shapeId="95285" r:id="rId58" name="Q_PPH_Droplet_ele_PVC">
          <controlPr defaultSize="0" autoLine="0" autoPict="0" r:id="rId59">
            <anchor moveWithCells="1">
              <from>
                <xdr:col>3</xdr:col>
                <xdr:colOff>47625</xdr:colOff>
                <xdr:row>22</xdr:row>
                <xdr:rowOff>190500</xdr:rowOff>
              </from>
              <to>
                <xdr:col>5</xdr:col>
                <xdr:colOff>428625</xdr:colOff>
                <xdr:row>24</xdr:row>
                <xdr:rowOff>0</xdr:rowOff>
              </to>
            </anchor>
          </controlPr>
        </control>
      </mc:Choice>
      <mc:Fallback>
        <control shapeId="95285" r:id="rId58" name="Q_PPH_Droplet_ele_PVC"/>
      </mc:Fallback>
    </mc:AlternateContent>
    <mc:AlternateContent xmlns:mc="http://schemas.openxmlformats.org/markup-compatibility/2006">
      <mc:Choice Requires="x14">
        <control shapeId="95284" r:id="rId60" name="Q_PPH_Droplet_ele_AL">
          <controlPr defaultSize="0" autoLine="0" autoPict="0" r:id="rId61">
            <anchor moveWithCells="1">
              <from>
                <xdr:col>3</xdr:col>
                <xdr:colOff>47625</xdr:colOff>
                <xdr:row>21</xdr:row>
                <xdr:rowOff>285750</xdr:rowOff>
              </from>
              <to>
                <xdr:col>5</xdr:col>
                <xdr:colOff>361950</xdr:colOff>
                <xdr:row>23</xdr:row>
                <xdr:rowOff>38100</xdr:rowOff>
              </to>
            </anchor>
          </controlPr>
        </control>
      </mc:Choice>
      <mc:Fallback>
        <control shapeId="95284" r:id="rId60" name="Q_PPH_Droplet_ele_AL"/>
      </mc:Fallback>
    </mc:AlternateContent>
    <mc:AlternateContent xmlns:mc="http://schemas.openxmlformats.org/markup-compatibility/2006">
      <mc:Choice Requires="x14">
        <control shapeId="95283" r:id="rId62" name="Q_PPH_SS_Drain_304">
          <controlPr defaultSize="0" autoLine="0" r:id="rId63">
            <anchor moveWithCells="1">
              <from>
                <xdr:col>6</xdr:col>
                <xdr:colOff>47625</xdr:colOff>
                <xdr:row>20</xdr:row>
                <xdr:rowOff>66675</xdr:rowOff>
              </from>
              <to>
                <xdr:col>8</xdr:col>
                <xdr:colOff>419100</xdr:colOff>
                <xdr:row>21</xdr:row>
                <xdr:rowOff>38100</xdr:rowOff>
              </to>
            </anchor>
          </controlPr>
        </control>
      </mc:Choice>
      <mc:Fallback>
        <control shapeId="95283" r:id="rId62" name="Q_PPH_SS_Drain_304"/>
      </mc:Fallback>
    </mc:AlternateContent>
    <mc:AlternateContent xmlns:mc="http://schemas.openxmlformats.org/markup-compatibility/2006">
      <mc:Choice Requires="x14">
        <control shapeId="95282" r:id="rId64" name="Q_PPH_Report">
          <controlPr defaultSize="0" disabled="1" autoLine="0" autoPict="0" r:id="rId65">
            <anchor moveWithCells="1">
              <from>
                <xdr:col>14</xdr:col>
                <xdr:colOff>152400</xdr:colOff>
                <xdr:row>3</xdr:row>
                <xdr:rowOff>38100</xdr:rowOff>
              </from>
              <to>
                <xdr:col>16</xdr:col>
                <xdr:colOff>571500</xdr:colOff>
                <xdr:row>5</xdr:row>
                <xdr:rowOff>19050</xdr:rowOff>
              </to>
            </anchor>
          </controlPr>
        </control>
      </mc:Choice>
      <mc:Fallback>
        <control shapeId="95282" r:id="rId64" name="Q_PPH_Report"/>
      </mc:Fallback>
    </mc:AlternateContent>
    <mc:AlternateContent xmlns:mc="http://schemas.openxmlformats.org/markup-compatibility/2006">
      <mc:Choice Requires="x14">
        <control shapeId="95281" r:id="rId66" name="Q_SCECO">
          <controlPr defaultSize="0" autoLine="0" autoPict="0" r:id="rId67">
            <anchor moveWithCells="1">
              <from>
                <xdr:col>0</xdr:col>
                <xdr:colOff>152400</xdr:colOff>
                <xdr:row>10</xdr:row>
                <xdr:rowOff>0</xdr:rowOff>
              </from>
              <to>
                <xdr:col>1</xdr:col>
                <xdr:colOff>295275</xdr:colOff>
                <xdr:row>11</xdr:row>
                <xdr:rowOff>19050</xdr:rowOff>
              </to>
            </anchor>
          </controlPr>
        </control>
      </mc:Choice>
      <mc:Fallback>
        <control shapeId="95281" r:id="rId66" name="Q_SCECO"/>
      </mc:Fallback>
    </mc:AlternateContent>
    <mc:AlternateContent xmlns:mc="http://schemas.openxmlformats.org/markup-compatibility/2006">
      <mc:Choice Requires="x14">
        <control shapeId="95280" r:id="rId68" name="Q_PPH_1_15">
          <controlPr defaultSize="0" autoLine="0" autoPict="0" r:id="rId69">
            <anchor moveWithCells="1">
              <from>
                <xdr:col>6</xdr:col>
                <xdr:colOff>66675</xdr:colOff>
                <xdr:row>1</xdr:row>
                <xdr:rowOff>209550</xdr:rowOff>
              </from>
              <to>
                <xdr:col>8</xdr:col>
                <xdr:colOff>104775</xdr:colOff>
                <xdr:row>3</xdr:row>
                <xdr:rowOff>76200</xdr:rowOff>
              </to>
            </anchor>
          </controlPr>
        </control>
      </mc:Choice>
      <mc:Fallback>
        <control shapeId="95280" r:id="rId68" name="Q_PPH_1_15"/>
      </mc:Fallback>
    </mc:AlternateContent>
    <mc:AlternateContent xmlns:mc="http://schemas.openxmlformats.org/markup-compatibility/2006">
      <mc:Choice Requires="x14">
        <control shapeId="95279" r:id="rId70" name="Q_PPH_Inspec_Fan">
          <controlPr defaultSize="0" autoLine="0" r:id="rId71">
            <anchor moveWithCells="1">
              <from>
                <xdr:col>6</xdr:col>
                <xdr:colOff>38100</xdr:colOff>
                <xdr:row>24</xdr:row>
                <xdr:rowOff>180975</xdr:rowOff>
              </from>
              <to>
                <xdr:col>8</xdr:col>
                <xdr:colOff>485775</xdr:colOff>
                <xdr:row>25</xdr:row>
                <xdr:rowOff>219075</xdr:rowOff>
              </to>
            </anchor>
          </controlPr>
        </control>
      </mc:Choice>
      <mc:Fallback>
        <control shapeId="95279" r:id="rId70" name="Q_PPH_Inspec_Fan"/>
      </mc:Fallback>
    </mc:AlternateContent>
    <mc:AlternateContent xmlns:mc="http://schemas.openxmlformats.org/markup-compatibility/2006">
      <mc:Choice Requires="x14">
        <control shapeId="95278" r:id="rId72" name="Q_PPH_Inspection_Filter">
          <controlPr defaultSize="0" autoLine="0" r:id="rId73">
            <anchor moveWithCells="1">
              <from>
                <xdr:col>6</xdr:col>
                <xdr:colOff>47625</xdr:colOff>
                <xdr:row>24</xdr:row>
                <xdr:rowOff>9525</xdr:rowOff>
              </from>
              <to>
                <xdr:col>8</xdr:col>
                <xdr:colOff>495300</xdr:colOff>
                <xdr:row>25</xdr:row>
                <xdr:rowOff>47625</xdr:rowOff>
              </to>
            </anchor>
          </controlPr>
        </control>
      </mc:Choice>
      <mc:Fallback>
        <control shapeId="95278" r:id="rId72" name="Q_PPH_Inspection_Filter"/>
      </mc:Fallback>
    </mc:AlternateContent>
    <mc:AlternateContent xmlns:mc="http://schemas.openxmlformats.org/markup-compatibility/2006">
      <mc:Choice Requires="x14">
        <control shapeId="95277" r:id="rId74" name="Q_PPH_ARAMCO">
          <controlPr defaultSize="0" autoLine="0" autoPict="0" r:id="rId75">
            <anchor moveWithCells="1">
              <from>
                <xdr:col>0</xdr:col>
                <xdr:colOff>161925</xdr:colOff>
                <xdr:row>8</xdr:row>
                <xdr:rowOff>295275</xdr:rowOff>
              </from>
              <to>
                <xdr:col>1</xdr:col>
                <xdr:colOff>304800</xdr:colOff>
                <xdr:row>10</xdr:row>
                <xdr:rowOff>19050</xdr:rowOff>
              </to>
            </anchor>
          </controlPr>
        </control>
      </mc:Choice>
      <mc:Fallback>
        <control shapeId="95277" r:id="rId74" name="Q_PPH_ARAMCO"/>
      </mc:Fallback>
    </mc:AlternateContent>
    <mc:AlternateContent xmlns:mc="http://schemas.openxmlformats.org/markup-compatibility/2006">
      <mc:Choice Requires="x14">
        <control shapeId="95276" r:id="rId76" name="Q_PPH_Standerd">
          <controlPr defaultSize="0" autoLine="0" autoPict="0" r:id="rId77">
            <anchor moveWithCells="1">
              <from>
                <xdr:col>0</xdr:col>
                <xdr:colOff>171450</xdr:colOff>
                <xdr:row>8</xdr:row>
                <xdr:rowOff>0</xdr:rowOff>
              </from>
              <to>
                <xdr:col>1</xdr:col>
                <xdr:colOff>219075</xdr:colOff>
                <xdr:row>9</xdr:row>
                <xdr:rowOff>47625</xdr:rowOff>
              </to>
            </anchor>
          </controlPr>
        </control>
      </mc:Choice>
      <mc:Fallback>
        <control shapeId="95276" r:id="rId76" name="Q_PPH_Standerd"/>
      </mc:Fallback>
    </mc:AlternateContent>
    <mc:AlternateContent xmlns:mc="http://schemas.openxmlformats.org/markup-compatibility/2006">
      <mc:Choice Requires="x14">
        <control shapeId="95275" r:id="rId78" name="Q_UVC_Lamp">
          <controlPr defaultSize="0" autoLine="0" autoPict="0" r:id="rId79">
            <anchor moveWithCells="1">
              <from>
                <xdr:col>3</xdr:col>
                <xdr:colOff>57150</xdr:colOff>
                <xdr:row>23</xdr:row>
                <xdr:rowOff>171450</xdr:rowOff>
              </from>
              <to>
                <xdr:col>5</xdr:col>
                <xdr:colOff>352425</xdr:colOff>
                <xdr:row>24</xdr:row>
                <xdr:rowOff>209550</xdr:rowOff>
              </to>
            </anchor>
          </controlPr>
        </control>
      </mc:Choice>
      <mc:Fallback>
        <control shapeId="95275" r:id="rId78" name="Q_UVC_Lamp"/>
      </mc:Fallback>
    </mc:AlternateContent>
    <mc:AlternateContent xmlns:mc="http://schemas.openxmlformats.org/markup-compatibility/2006">
      <mc:Choice Requires="x14">
        <control shapeId="95274" r:id="rId80" name="Q_PPH_Screws_Bolts">
          <controlPr defaultSize="0" autoLine="0" autoPict="0" r:id="rId81">
            <anchor moveWithCells="1">
              <from>
                <xdr:col>6</xdr:col>
                <xdr:colOff>47625</xdr:colOff>
                <xdr:row>5</xdr:row>
                <xdr:rowOff>85725</xdr:rowOff>
              </from>
              <to>
                <xdr:col>8</xdr:col>
                <xdr:colOff>419100</xdr:colOff>
                <xdr:row>6</xdr:row>
                <xdr:rowOff>152400</xdr:rowOff>
              </to>
            </anchor>
          </controlPr>
        </control>
      </mc:Choice>
      <mc:Fallback>
        <control shapeId="95274" r:id="rId80" name="Q_PPH_Screws_Bolts"/>
      </mc:Fallback>
    </mc:AlternateContent>
    <mc:AlternateContent xmlns:mc="http://schemas.openxmlformats.org/markup-compatibility/2006">
      <mc:Choice Requires="x14">
        <control shapeId="95273" r:id="rId82" name="Q_PPH_BHL_Fan">
          <controlPr defaultSize="0" autoLine="0" r:id="rId83">
            <anchor moveWithCells="1">
              <from>
                <xdr:col>6</xdr:col>
                <xdr:colOff>38100</xdr:colOff>
                <xdr:row>26</xdr:row>
                <xdr:rowOff>104775</xdr:rowOff>
              </from>
              <to>
                <xdr:col>8</xdr:col>
                <xdr:colOff>409575</xdr:colOff>
                <xdr:row>27</xdr:row>
                <xdr:rowOff>142875</xdr:rowOff>
              </to>
            </anchor>
          </controlPr>
        </control>
      </mc:Choice>
      <mc:Fallback>
        <control shapeId="95273" r:id="rId82" name="Q_PPH_BHL_Fan"/>
      </mc:Fallback>
    </mc:AlternateContent>
    <mc:AlternateContent xmlns:mc="http://schemas.openxmlformats.org/markup-compatibility/2006">
      <mc:Choice Requires="x14">
        <control shapeId="95272" r:id="rId84" name="Q_PPH_HEPA">
          <controlPr defaultSize="0" autoLine="0" autoPict="0" r:id="rId85">
            <anchor moveWithCells="1">
              <from>
                <xdr:col>3</xdr:col>
                <xdr:colOff>57150</xdr:colOff>
                <xdr:row>18</xdr:row>
                <xdr:rowOff>0</xdr:rowOff>
              </from>
              <to>
                <xdr:col>4</xdr:col>
                <xdr:colOff>533400</xdr:colOff>
                <xdr:row>19</xdr:row>
                <xdr:rowOff>38100</xdr:rowOff>
              </to>
            </anchor>
          </controlPr>
        </control>
      </mc:Choice>
      <mc:Fallback>
        <control shapeId="95272" r:id="rId84" name="Q_PPH_HEPA"/>
      </mc:Fallback>
    </mc:AlternateContent>
    <mc:AlternateContent xmlns:mc="http://schemas.openxmlformats.org/markup-compatibility/2006">
      <mc:Choice Requires="x14">
        <control shapeId="95271" r:id="rId86" name="Q_PPH_Bulkhead_Filter">
          <controlPr defaultSize="0" autoLine="0" r:id="rId87">
            <anchor moveWithCells="1">
              <from>
                <xdr:col>6</xdr:col>
                <xdr:colOff>38100</xdr:colOff>
                <xdr:row>25</xdr:row>
                <xdr:rowOff>133350</xdr:rowOff>
              </from>
              <to>
                <xdr:col>8</xdr:col>
                <xdr:colOff>542925</xdr:colOff>
                <xdr:row>26</xdr:row>
                <xdr:rowOff>171450</xdr:rowOff>
              </to>
            </anchor>
          </controlPr>
        </control>
      </mc:Choice>
      <mc:Fallback>
        <control shapeId="95271" r:id="rId86" name="Q_PPH_Bulkhead_Filter"/>
      </mc:Fallback>
    </mc:AlternateContent>
    <mc:AlternateContent xmlns:mc="http://schemas.openxmlformats.org/markup-compatibility/2006">
      <mc:Choice Requires="x14">
        <control shapeId="95270" r:id="rId88" name="Q_PPH">
          <controlPr defaultSize="0" autoLine="0" autoPict="0" r:id="rId89">
            <anchor moveWithCells="1">
              <from>
                <xdr:col>0</xdr:col>
                <xdr:colOff>0</xdr:colOff>
                <xdr:row>0</xdr:row>
                <xdr:rowOff>0</xdr:rowOff>
              </from>
              <to>
                <xdr:col>2</xdr:col>
                <xdr:colOff>104775</xdr:colOff>
                <xdr:row>1</xdr:row>
                <xdr:rowOff>0</xdr:rowOff>
              </to>
            </anchor>
          </controlPr>
        </control>
      </mc:Choice>
      <mc:Fallback>
        <control shapeId="95270" r:id="rId88" name="Q_PPH"/>
      </mc:Fallback>
    </mc:AlternateContent>
    <mc:AlternateContent xmlns:mc="http://schemas.openxmlformats.org/markup-compatibility/2006">
      <mc:Choice Requires="x14">
        <control shapeId="95269" r:id="rId90" name="Q_PPH_Casing_Coating">
          <controlPr defaultSize="0" autoLine="0" autoPict="0" r:id="rId91">
            <anchor moveWithCells="1">
              <from>
                <xdr:col>6</xdr:col>
                <xdr:colOff>66675</xdr:colOff>
                <xdr:row>11</xdr:row>
                <xdr:rowOff>114300</xdr:rowOff>
              </from>
              <to>
                <xdr:col>8</xdr:col>
                <xdr:colOff>428625</xdr:colOff>
                <xdr:row>12</xdr:row>
                <xdr:rowOff>152400</xdr:rowOff>
              </to>
            </anchor>
          </controlPr>
        </control>
      </mc:Choice>
      <mc:Fallback>
        <control shapeId="95269" r:id="rId90" name="Q_PPH_Casing_Coating"/>
      </mc:Fallback>
    </mc:AlternateContent>
    <mc:AlternateContent xmlns:mc="http://schemas.openxmlformats.org/markup-compatibility/2006">
      <mc:Choice Requires="x14">
        <control shapeId="95268" r:id="rId92" name="Q_PPH_Const_Coating">
          <controlPr defaultSize="0" disabled="1" autoLine="0" r:id="rId93">
            <anchor moveWithCells="1">
              <from>
                <xdr:col>6</xdr:col>
                <xdr:colOff>57150</xdr:colOff>
                <xdr:row>12</xdr:row>
                <xdr:rowOff>152400</xdr:rowOff>
              </from>
              <to>
                <xdr:col>8</xdr:col>
                <xdr:colOff>533400</xdr:colOff>
                <xdr:row>13</xdr:row>
                <xdr:rowOff>161925</xdr:rowOff>
              </to>
            </anchor>
          </controlPr>
        </control>
      </mc:Choice>
      <mc:Fallback>
        <control shapeId="95268" r:id="rId92" name="Q_PPH_Const_Coating"/>
      </mc:Fallback>
    </mc:AlternateContent>
    <mc:AlternateContent xmlns:mc="http://schemas.openxmlformats.org/markup-compatibility/2006">
      <mc:Choice Requires="x14">
        <control shapeId="95267" r:id="rId94" name="Q_PPH_VFD_Evap">
          <controlPr defaultSize="0" autoLine="0" autoPict="0" r:id="rId95">
            <anchor moveWithCells="1">
              <from>
                <xdr:col>9</xdr:col>
                <xdr:colOff>76200</xdr:colOff>
                <xdr:row>7</xdr:row>
                <xdr:rowOff>133350</xdr:rowOff>
              </from>
              <to>
                <xdr:col>12</xdr:col>
                <xdr:colOff>95250</xdr:colOff>
                <xdr:row>8</xdr:row>
                <xdr:rowOff>104775</xdr:rowOff>
              </to>
            </anchor>
          </controlPr>
        </control>
      </mc:Choice>
      <mc:Fallback>
        <control shapeId="95267" r:id="rId94" name="Q_PPH_VFD_Evap"/>
      </mc:Fallback>
    </mc:AlternateContent>
    <mc:AlternateContent xmlns:mc="http://schemas.openxmlformats.org/markup-compatibility/2006">
      <mc:Choice Requires="x14">
        <control shapeId="95266" r:id="rId96" name="Q_PPH_ACC_Doors">
          <controlPr defaultSize="0" autoLine="0" autoPict="0" r:id="rId97">
            <anchor moveWithCells="1">
              <from>
                <xdr:col>6</xdr:col>
                <xdr:colOff>47625</xdr:colOff>
                <xdr:row>4</xdr:row>
                <xdr:rowOff>57150</xdr:rowOff>
              </from>
              <to>
                <xdr:col>7</xdr:col>
                <xdr:colOff>552450</xdr:colOff>
                <xdr:row>5</xdr:row>
                <xdr:rowOff>133350</xdr:rowOff>
              </to>
            </anchor>
          </controlPr>
        </control>
      </mc:Choice>
      <mc:Fallback>
        <control shapeId="95266" r:id="rId96" name="Q_PPH_ACC_Doors"/>
      </mc:Fallback>
    </mc:AlternateContent>
    <mc:AlternateContent xmlns:mc="http://schemas.openxmlformats.org/markup-compatibility/2006">
      <mc:Choice Requires="x14">
        <control shapeId="95265" r:id="rId98" name="Q_PPH_NEMA4_Elec_panel">
          <controlPr defaultSize="0" disabled="1" autoLine="0" r:id="rId99">
            <anchor moveWithCells="1">
              <from>
                <xdr:col>9</xdr:col>
                <xdr:colOff>66675</xdr:colOff>
                <xdr:row>6</xdr:row>
                <xdr:rowOff>95250</xdr:rowOff>
              </from>
              <to>
                <xdr:col>11</xdr:col>
                <xdr:colOff>476250</xdr:colOff>
                <xdr:row>7</xdr:row>
                <xdr:rowOff>161925</xdr:rowOff>
              </to>
            </anchor>
          </controlPr>
        </control>
      </mc:Choice>
      <mc:Fallback>
        <control shapeId="95265" r:id="rId98" name="Q_PPH_NEMA4_Elec_panel"/>
      </mc:Fallback>
    </mc:AlternateContent>
    <mc:AlternateContent xmlns:mc="http://schemas.openxmlformats.org/markup-compatibility/2006">
      <mc:Choice Requires="x14">
        <control shapeId="95264" r:id="rId100" name="Q_PPH_Roof_Canopy">
          <controlPr defaultSize="0" autoLine="0" autoPict="0" r:id="rId101">
            <anchor moveWithCells="1">
              <from>
                <xdr:col>6</xdr:col>
                <xdr:colOff>57150</xdr:colOff>
                <xdr:row>3</xdr:row>
                <xdr:rowOff>28575</xdr:rowOff>
              </from>
              <to>
                <xdr:col>7</xdr:col>
                <xdr:colOff>447675</xdr:colOff>
                <xdr:row>4</xdr:row>
                <xdr:rowOff>104775</xdr:rowOff>
              </to>
            </anchor>
          </controlPr>
        </control>
      </mc:Choice>
      <mc:Fallback>
        <control shapeId="95264" r:id="rId100" name="Q_PPH_Roof_Canopy"/>
      </mc:Fallback>
    </mc:AlternateContent>
    <mc:AlternateContent xmlns:mc="http://schemas.openxmlformats.org/markup-compatibility/2006">
      <mc:Choice Requires="x14">
        <control shapeId="95263" r:id="rId102" name="Q_PPH_UL">
          <controlPr defaultSize="0" disabled="1" autoLine="0" autoPict="0" r:id="rId103">
            <anchor moveWithCells="1">
              <from>
                <xdr:col>0</xdr:col>
                <xdr:colOff>95250</xdr:colOff>
                <xdr:row>21</xdr:row>
                <xdr:rowOff>276225</xdr:rowOff>
              </from>
              <to>
                <xdr:col>1</xdr:col>
                <xdr:colOff>219075</xdr:colOff>
                <xdr:row>23</xdr:row>
                <xdr:rowOff>38100</xdr:rowOff>
              </to>
            </anchor>
          </controlPr>
        </control>
      </mc:Choice>
      <mc:Fallback>
        <control shapeId="95263" r:id="rId102" name="Q_PPH_UL"/>
      </mc:Fallback>
    </mc:AlternateContent>
    <mc:AlternateContent xmlns:mc="http://schemas.openxmlformats.org/markup-compatibility/2006">
      <mc:Choice Requires="x14">
        <control shapeId="95262" r:id="rId104" name="Q_PPH_Coating_Evap">
          <controlPr defaultSize="0" autoLine="0" autoPict="0" r:id="rId105">
            <anchor moveWithCells="1">
              <from>
                <xdr:col>6</xdr:col>
                <xdr:colOff>47625</xdr:colOff>
                <xdr:row>30</xdr:row>
                <xdr:rowOff>104775</xdr:rowOff>
              </from>
              <to>
                <xdr:col>8</xdr:col>
                <xdr:colOff>409575</xdr:colOff>
                <xdr:row>31</xdr:row>
                <xdr:rowOff>66675</xdr:rowOff>
              </to>
            </anchor>
          </controlPr>
        </control>
      </mc:Choice>
      <mc:Fallback>
        <control shapeId="95262" r:id="rId104" name="Q_PPH_Coating_Evap"/>
      </mc:Fallback>
    </mc:AlternateContent>
    <mc:AlternateContent xmlns:mc="http://schemas.openxmlformats.org/markup-compatibility/2006">
      <mc:Choice Requires="x14">
        <control shapeId="95261" r:id="rId106" name="Q_PPH_Evap_Coating">
          <controlPr defaultSize="0" disabled="1" autoLine="0" autoPict="0" r:id="rId107">
            <anchor moveWithCells="1">
              <from>
                <xdr:col>6</xdr:col>
                <xdr:colOff>28575</xdr:colOff>
                <xdr:row>31</xdr:row>
                <xdr:rowOff>85725</xdr:rowOff>
              </from>
              <to>
                <xdr:col>8</xdr:col>
                <xdr:colOff>542925</xdr:colOff>
                <xdr:row>32</xdr:row>
                <xdr:rowOff>133350</xdr:rowOff>
              </to>
            </anchor>
          </controlPr>
        </control>
      </mc:Choice>
      <mc:Fallback>
        <control shapeId="95261" r:id="rId106" name="Q_PPH_Evap_Coating"/>
      </mc:Fallback>
    </mc:AlternateContent>
    <mc:AlternateContent xmlns:mc="http://schemas.openxmlformats.org/markup-compatibility/2006">
      <mc:Choice Requires="x14">
        <control shapeId="95260" r:id="rId108" name="Q_PPH_CU_PRE_Evap">
          <controlPr defaultSize="0" autoLine="0" autoPict="0" r:id="rId109">
            <anchor moveWithCells="1">
              <from>
                <xdr:col>0</xdr:col>
                <xdr:colOff>38100</xdr:colOff>
                <xdr:row>15</xdr:row>
                <xdr:rowOff>9525</xdr:rowOff>
              </from>
              <to>
                <xdr:col>1</xdr:col>
                <xdr:colOff>685800</xdr:colOff>
                <xdr:row>16</xdr:row>
                <xdr:rowOff>28575</xdr:rowOff>
              </to>
            </anchor>
          </controlPr>
        </control>
      </mc:Choice>
      <mc:Fallback>
        <control shapeId="95260" r:id="rId108" name="Q_PPH_CU_PRE_Evap"/>
      </mc:Fallback>
    </mc:AlternateContent>
    <mc:AlternateContent xmlns:mc="http://schemas.openxmlformats.org/markup-compatibility/2006">
      <mc:Choice Requires="x14">
        <control shapeId="95259" r:id="rId110" name="Q_PPH_CU_AL_Evap">
          <controlPr defaultSize="0" autoLine="0" autoPict="0" r:id="rId111">
            <anchor moveWithCells="1">
              <from>
                <xdr:col>0</xdr:col>
                <xdr:colOff>47625</xdr:colOff>
                <xdr:row>12</xdr:row>
                <xdr:rowOff>219075</xdr:rowOff>
              </from>
              <to>
                <xdr:col>1</xdr:col>
                <xdr:colOff>381000</xdr:colOff>
                <xdr:row>14</xdr:row>
                <xdr:rowOff>9525</xdr:rowOff>
              </to>
            </anchor>
          </controlPr>
        </control>
      </mc:Choice>
      <mc:Fallback>
        <control shapeId="95259" r:id="rId110" name="Q_PPH_CU_AL_Evap"/>
      </mc:Fallback>
    </mc:AlternateContent>
    <mc:AlternateContent xmlns:mc="http://schemas.openxmlformats.org/markup-compatibility/2006">
      <mc:Choice Requires="x14">
        <control shapeId="95258" r:id="rId112" name="Q_PPH_CU_CU_Evap">
          <controlPr defaultSize="0" autoLine="0" autoPict="0" r:id="rId113">
            <anchor moveWithCells="1">
              <from>
                <xdr:col>0</xdr:col>
                <xdr:colOff>66675</xdr:colOff>
                <xdr:row>14</xdr:row>
                <xdr:rowOff>0</xdr:rowOff>
              </from>
              <to>
                <xdr:col>1</xdr:col>
                <xdr:colOff>104775</xdr:colOff>
                <xdr:row>15</xdr:row>
                <xdr:rowOff>19050</xdr:rowOff>
              </to>
            </anchor>
          </controlPr>
        </control>
      </mc:Choice>
      <mc:Fallback>
        <control shapeId="95258" r:id="rId112" name="Q_PPH_CU_CU_Evap"/>
      </mc:Fallback>
    </mc:AlternateContent>
    <mc:AlternateContent xmlns:mc="http://schemas.openxmlformats.org/markup-compatibility/2006">
      <mc:Choice Requires="x14">
        <control shapeId="95257" r:id="rId114" name="Q_PPH_Economizer">
          <controlPr defaultSize="0" autoLine="0" r:id="rId115">
            <anchor moveWithCells="1">
              <from>
                <xdr:col>3</xdr:col>
                <xdr:colOff>66675</xdr:colOff>
                <xdr:row>14</xdr:row>
                <xdr:rowOff>47625</xdr:rowOff>
              </from>
              <to>
                <xdr:col>4</xdr:col>
                <xdr:colOff>438150</xdr:colOff>
                <xdr:row>15</xdr:row>
                <xdr:rowOff>76200</xdr:rowOff>
              </to>
            </anchor>
          </controlPr>
        </control>
      </mc:Choice>
      <mc:Fallback>
        <control shapeId="95257" r:id="rId114" name="Q_PPH_Economizer"/>
      </mc:Fallback>
    </mc:AlternateContent>
    <mc:AlternateContent xmlns:mc="http://schemas.openxmlformats.org/markup-compatibility/2006">
      <mc:Choice Requires="x14">
        <control shapeId="95256" r:id="rId116" name="Q_PPH_SS_Drain_Pan">
          <controlPr defaultSize="0" autoLine="0" r:id="rId117">
            <anchor moveWithCells="1">
              <from>
                <xdr:col>6</xdr:col>
                <xdr:colOff>38100</xdr:colOff>
                <xdr:row>19</xdr:row>
                <xdr:rowOff>95250</xdr:rowOff>
              </from>
              <to>
                <xdr:col>8</xdr:col>
                <xdr:colOff>409575</xdr:colOff>
                <xdr:row>20</xdr:row>
                <xdr:rowOff>123825</xdr:rowOff>
              </to>
            </anchor>
          </controlPr>
        </control>
      </mc:Choice>
      <mc:Fallback>
        <control shapeId="95256" r:id="rId116" name="Q_PPH_SS_Drain_Pan"/>
      </mc:Fallback>
    </mc:AlternateContent>
    <mc:AlternateContent xmlns:mc="http://schemas.openxmlformats.org/markup-compatibility/2006">
      <mc:Choice Requires="x14">
        <control shapeId="95255" r:id="rId118" name="Q_PPH_STL">
          <controlPr defaultSize="0" autoLine="0" autoPict="0" r:id="rId119">
            <anchor moveWithCells="1">
              <from>
                <xdr:col>3</xdr:col>
                <xdr:colOff>47625</xdr:colOff>
                <xdr:row>11</xdr:row>
                <xdr:rowOff>200025</xdr:rowOff>
              </from>
              <to>
                <xdr:col>5</xdr:col>
                <xdr:colOff>142875</xdr:colOff>
                <xdr:row>12</xdr:row>
                <xdr:rowOff>219075</xdr:rowOff>
              </to>
            </anchor>
          </controlPr>
        </control>
      </mc:Choice>
      <mc:Fallback>
        <control shapeId="95255" r:id="rId118" name="Q_PPH_STL"/>
      </mc:Fallback>
    </mc:AlternateContent>
    <mc:AlternateContent xmlns:mc="http://schemas.openxmlformats.org/markup-compatibility/2006">
      <mc:Choice Requires="x14">
        <control shapeId="95254" r:id="rId120" name="Q_PPH_Rian_Hood">
          <controlPr defaultSize="0" autoLine="0" autoPict="0" r:id="rId121">
            <anchor moveWithCells="1">
              <from>
                <xdr:col>3</xdr:col>
                <xdr:colOff>47625</xdr:colOff>
                <xdr:row>10</xdr:row>
                <xdr:rowOff>219075</xdr:rowOff>
              </from>
              <to>
                <xdr:col>4</xdr:col>
                <xdr:colOff>266700</xdr:colOff>
                <xdr:row>12</xdr:row>
                <xdr:rowOff>19050</xdr:rowOff>
              </to>
            </anchor>
          </controlPr>
        </control>
      </mc:Choice>
      <mc:Fallback>
        <control shapeId="95254" r:id="rId120" name="Q_PPH_Rian_Hood"/>
      </mc:Fallback>
    </mc:AlternateContent>
    <mc:AlternateContent xmlns:mc="http://schemas.openxmlformats.org/markup-compatibility/2006">
      <mc:Choice Requires="x14">
        <control shapeId="95253" r:id="rId122" name="Q_PPH_Mixing_Box">
          <controlPr defaultSize="0" autoLine="0" autoPict="0" r:id="rId123">
            <anchor moveWithCells="1">
              <from>
                <xdr:col>3</xdr:col>
                <xdr:colOff>57150</xdr:colOff>
                <xdr:row>13</xdr:row>
                <xdr:rowOff>95250</xdr:rowOff>
              </from>
              <to>
                <xdr:col>4</xdr:col>
                <xdr:colOff>419100</xdr:colOff>
                <xdr:row>14</xdr:row>
                <xdr:rowOff>114300</xdr:rowOff>
              </to>
            </anchor>
          </controlPr>
        </control>
      </mc:Choice>
      <mc:Fallback>
        <control shapeId="95253" r:id="rId122" name="Q_PPH_Mixing_Box"/>
      </mc:Fallback>
    </mc:AlternateContent>
    <mc:AlternateContent xmlns:mc="http://schemas.openxmlformats.org/markup-compatibility/2006">
      <mc:Choice Requires="x14">
        <control shapeId="95252" r:id="rId124" name="Q_PPH_Inlet_Damper">
          <controlPr defaultSize="0" autoLine="0" autoPict="0" r:id="rId125">
            <anchor moveWithCells="1">
              <from>
                <xdr:col>3</xdr:col>
                <xdr:colOff>57150</xdr:colOff>
                <xdr:row>12</xdr:row>
                <xdr:rowOff>142875</xdr:rowOff>
              </from>
              <to>
                <xdr:col>5</xdr:col>
                <xdr:colOff>0</xdr:colOff>
                <xdr:row>13</xdr:row>
                <xdr:rowOff>180975</xdr:rowOff>
              </to>
            </anchor>
          </controlPr>
        </control>
      </mc:Choice>
      <mc:Fallback>
        <control shapeId="95252" r:id="rId124" name="Q_PPH_Inlet_Damper"/>
      </mc:Fallback>
    </mc:AlternateContent>
    <mc:AlternateContent xmlns:mc="http://schemas.openxmlformats.org/markup-compatibility/2006">
      <mc:Choice Requires="x14">
        <control shapeId="95251" r:id="rId126" name="Q_PPH_Bag_Filter">
          <controlPr defaultSize="0" autoLine="0" autoPict="0" r:id="rId127">
            <anchor moveWithCells="1">
              <from>
                <xdr:col>3</xdr:col>
                <xdr:colOff>66675</xdr:colOff>
                <xdr:row>16</xdr:row>
                <xdr:rowOff>38100</xdr:rowOff>
              </from>
              <to>
                <xdr:col>5</xdr:col>
                <xdr:colOff>419100</xdr:colOff>
                <xdr:row>17</xdr:row>
                <xdr:rowOff>76200</xdr:rowOff>
              </to>
            </anchor>
          </controlPr>
        </control>
      </mc:Choice>
      <mc:Fallback>
        <control shapeId="95251" r:id="rId126" name="Q_PPH_Bag_Filter"/>
      </mc:Fallback>
    </mc:AlternateContent>
    <mc:AlternateContent xmlns:mc="http://schemas.openxmlformats.org/markup-compatibility/2006">
      <mc:Choice Requires="x14">
        <control shapeId="95250" r:id="rId128" name="Q_PPH_SS_Coil">
          <controlPr defaultSize="0" autoLine="0" r:id="rId129">
            <anchor moveWithCells="1">
              <from>
                <xdr:col>6</xdr:col>
                <xdr:colOff>47625</xdr:colOff>
                <xdr:row>20</xdr:row>
                <xdr:rowOff>266700</xdr:rowOff>
              </from>
              <to>
                <xdr:col>8</xdr:col>
                <xdr:colOff>371475</xdr:colOff>
                <xdr:row>21</xdr:row>
                <xdr:rowOff>247650</xdr:rowOff>
              </to>
            </anchor>
          </controlPr>
        </control>
      </mc:Choice>
      <mc:Fallback>
        <control shapeId="95250" r:id="rId128" name="Q_PPH_SS_Coil"/>
      </mc:Fallback>
    </mc:AlternateContent>
    <mc:AlternateContent xmlns:mc="http://schemas.openxmlformats.org/markup-compatibility/2006">
      <mc:Choice Requires="x14">
        <control shapeId="95249" r:id="rId130" name="Q_PPH_SS_Filter">
          <controlPr defaultSize="0" autoLine="0" r:id="rId131">
            <anchor moveWithCells="1">
              <from>
                <xdr:col>6</xdr:col>
                <xdr:colOff>38100</xdr:colOff>
                <xdr:row>16</xdr:row>
                <xdr:rowOff>190500</xdr:rowOff>
              </from>
              <to>
                <xdr:col>8</xdr:col>
                <xdr:colOff>600075</xdr:colOff>
                <xdr:row>18</xdr:row>
                <xdr:rowOff>0</xdr:rowOff>
              </to>
            </anchor>
          </controlPr>
        </control>
      </mc:Choice>
      <mc:Fallback>
        <control shapeId="95249" r:id="rId130" name="Q_PPH_SS_Filter"/>
      </mc:Fallback>
    </mc:AlternateContent>
    <mc:AlternateContent xmlns:mc="http://schemas.openxmlformats.org/markup-compatibility/2006">
      <mc:Choice Requires="x14">
        <control shapeId="95248" r:id="rId132" name="Q_PPH_2Spring">
          <controlPr defaultSize="0" autoLine="0" r:id="rId133">
            <anchor moveWithCells="1">
              <from>
                <xdr:col>7</xdr:col>
                <xdr:colOff>180975</xdr:colOff>
                <xdr:row>21</xdr:row>
                <xdr:rowOff>171450</xdr:rowOff>
              </from>
              <to>
                <xdr:col>8</xdr:col>
                <xdr:colOff>314325</xdr:colOff>
                <xdr:row>22</xdr:row>
                <xdr:rowOff>152400</xdr:rowOff>
              </to>
            </anchor>
          </controlPr>
        </control>
      </mc:Choice>
      <mc:Fallback>
        <control shapeId="95248" r:id="rId132" name="Q_PPH_2Spring"/>
      </mc:Fallback>
    </mc:AlternateContent>
    <mc:AlternateContent xmlns:mc="http://schemas.openxmlformats.org/markup-compatibility/2006">
      <mc:Choice Requires="x14">
        <control shapeId="95247" r:id="rId134" name="Q_PPH_1Spring">
          <controlPr defaultSize="0" autoLine="0" r:id="rId135">
            <anchor moveWithCells="1">
              <from>
                <xdr:col>6</xdr:col>
                <xdr:colOff>38100</xdr:colOff>
                <xdr:row>21</xdr:row>
                <xdr:rowOff>180975</xdr:rowOff>
              </from>
              <to>
                <xdr:col>7</xdr:col>
                <xdr:colOff>190500</xdr:colOff>
                <xdr:row>22</xdr:row>
                <xdr:rowOff>161925</xdr:rowOff>
              </to>
            </anchor>
          </controlPr>
        </control>
      </mc:Choice>
      <mc:Fallback>
        <control shapeId="95247" r:id="rId134" name="Q_PPH_1Spring"/>
      </mc:Fallback>
    </mc:AlternateContent>
    <mc:AlternateContent xmlns:mc="http://schemas.openxmlformats.org/markup-compatibility/2006">
      <mc:Choice Requires="x14">
        <control shapeId="95246" r:id="rId136" name="Q_PPH_Bird_Screen">
          <controlPr defaultSize="0" disabled="1" autoLine="0" autoPict="0" r:id="rId137">
            <anchor moveWithCells="1">
              <from>
                <xdr:col>3</xdr:col>
                <xdr:colOff>66675</xdr:colOff>
                <xdr:row>14</xdr:row>
                <xdr:rowOff>228600</xdr:rowOff>
              </from>
              <to>
                <xdr:col>4</xdr:col>
                <xdr:colOff>409575</xdr:colOff>
                <xdr:row>16</xdr:row>
                <xdr:rowOff>28575</xdr:rowOff>
              </to>
            </anchor>
          </controlPr>
        </control>
      </mc:Choice>
      <mc:Fallback>
        <control shapeId="95246" r:id="rId136" name="Q_PPH_Bird_Screen"/>
      </mc:Fallback>
    </mc:AlternateContent>
    <mc:AlternateContent xmlns:mc="http://schemas.openxmlformats.org/markup-compatibility/2006">
      <mc:Choice Requires="x14">
        <control shapeId="95245" r:id="rId138" name="Q_PPH_Belt_Guard">
          <controlPr defaultSize="0" autoLine="0" r:id="rId139">
            <anchor moveWithCells="1">
              <from>
                <xdr:col>6</xdr:col>
                <xdr:colOff>47625</xdr:colOff>
                <xdr:row>23</xdr:row>
                <xdr:rowOff>57150</xdr:rowOff>
              </from>
              <to>
                <xdr:col>7</xdr:col>
                <xdr:colOff>323850</xdr:colOff>
                <xdr:row>24</xdr:row>
                <xdr:rowOff>95250</xdr:rowOff>
              </to>
            </anchor>
          </controlPr>
        </control>
      </mc:Choice>
      <mc:Fallback>
        <control shapeId="95245" r:id="rId138" name="Q_PPH_Belt_Guard"/>
      </mc:Fallback>
    </mc:AlternateContent>
    <mc:AlternateContent xmlns:mc="http://schemas.openxmlformats.org/markup-compatibility/2006">
      <mc:Choice Requires="x14">
        <control shapeId="95244" r:id="rId140" name="Q_PPH_DW_Drain_Pan">
          <controlPr defaultSize="0" autoLine="0" r:id="rId141">
            <anchor moveWithCells="1">
              <from>
                <xdr:col>6</xdr:col>
                <xdr:colOff>38100</xdr:colOff>
                <xdr:row>18</xdr:row>
                <xdr:rowOff>114300</xdr:rowOff>
              </from>
              <to>
                <xdr:col>8</xdr:col>
                <xdr:colOff>190500</xdr:colOff>
                <xdr:row>19</xdr:row>
                <xdr:rowOff>152400</xdr:rowOff>
              </to>
            </anchor>
          </controlPr>
        </control>
      </mc:Choice>
      <mc:Fallback>
        <control shapeId="95244" r:id="rId140" name="Q_PPH_DW_Drain_Pan"/>
      </mc:Fallback>
    </mc:AlternateContent>
    <mc:AlternateContent xmlns:mc="http://schemas.openxmlformats.org/markup-compatibility/2006">
      <mc:Choice Requires="x14">
        <control shapeId="95243" r:id="rId142" name="Q_PPH_Name_PSS">
          <controlPr defaultSize="0" autoLine="0" autoPict="0" r:id="rId143">
            <anchor moveWithCells="1">
              <from>
                <xdr:col>6</xdr:col>
                <xdr:colOff>57150</xdr:colOff>
                <xdr:row>6</xdr:row>
                <xdr:rowOff>104775</xdr:rowOff>
              </from>
              <to>
                <xdr:col>8</xdr:col>
                <xdr:colOff>409575</xdr:colOff>
                <xdr:row>7</xdr:row>
                <xdr:rowOff>171450</xdr:rowOff>
              </to>
            </anchor>
          </controlPr>
        </control>
      </mc:Choice>
      <mc:Fallback>
        <control shapeId="95243" r:id="rId142" name="Q_PPH_Name_PSS"/>
      </mc:Fallback>
    </mc:AlternateContent>
    <mc:AlternateContent xmlns:mc="http://schemas.openxmlformats.org/markup-compatibility/2006">
      <mc:Choice Requires="x14">
        <control shapeId="95242" r:id="rId144" name="Q_PPH_Diff_Pressure">
          <controlPr defaultSize="0" autoLine="0" r:id="rId145">
            <anchor moveWithCells="1">
              <from>
                <xdr:col>6</xdr:col>
                <xdr:colOff>38100</xdr:colOff>
                <xdr:row>15</xdr:row>
                <xdr:rowOff>19050</xdr:rowOff>
              </from>
              <to>
                <xdr:col>8</xdr:col>
                <xdr:colOff>600075</xdr:colOff>
                <xdr:row>16</xdr:row>
                <xdr:rowOff>47625</xdr:rowOff>
              </to>
            </anchor>
          </controlPr>
        </control>
      </mc:Choice>
      <mc:Fallback>
        <control shapeId="95242" r:id="rId144" name="Q_PPH_Diff_Pressure"/>
      </mc:Fallback>
    </mc:AlternateContent>
    <mc:AlternateContent xmlns:mc="http://schemas.openxmlformats.org/markup-compatibility/2006">
      <mc:Choice Requires="x14">
        <control shapeId="95241" r:id="rId146" name="Q_PPH_Manometer">
          <controlPr defaultSize="0" autoLine="0" autoPict="0" r:id="rId147">
            <anchor moveWithCells="1">
              <from>
                <xdr:col>6</xdr:col>
                <xdr:colOff>38100</xdr:colOff>
                <xdr:row>15</xdr:row>
                <xdr:rowOff>209550</xdr:rowOff>
              </from>
              <to>
                <xdr:col>8</xdr:col>
                <xdr:colOff>657225</xdr:colOff>
                <xdr:row>17</xdr:row>
                <xdr:rowOff>19050</xdr:rowOff>
              </to>
            </anchor>
          </controlPr>
        </control>
      </mc:Choice>
      <mc:Fallback>
        <control shapeId="95241" r:id="rId146" name="Q_PPH_Manometer"/>
      </mc:Fallback>
    </mc:AlternateContent>
    <mc:AlternateContent xmlns:mc="http://schemas.openxmlformats.org/markup-compatibility/2006">
      <mc:Choice Requires="x14">
        <control shapeId="95240" r:id="rId148" name="Q_PPH_Lubricant_line">
          <controlPr defaultSize="0" autoLine="0" r:id="rId149">
            <anchor moveWithCells="1">
              <from>
                <xdr:col>6</xdr:col>
                <xdr:colOff>47625</xdr:colOff>
                <xdr:row>22</xdr:row>
                <xdr:rowOff>76200</xdr:rowOff>
              </from>
              <to>
                <xdr:col>7</xdr:col>
                <xdr:colOff>447675</xdr:colOff>
                <xdr:row>23</xdr:row>
                <xdr:rowOff>114300</xdr:rowOff>
              </to>
            </anchor>
          </controlPr>
        </control>
      </mc:Choice>
      <mc:Fallback>
        <control shapeId="95240" r:id="rId148" name="Q_PPH_Lubricant_line"/>
      </mc:Fallback>
    </mc:AlternateContent>
    <mc:AlternateContent xmlns:mc="http://schemas.openxmlformats.org/markup-compatibility/2006">
      <mc:Choice Requires="x14">
        <control shapeId="95239" r:id="rId150" name="Quick_PPH_Pricing">
          <controlPr defaultSize="0" autoLine="0" autoPict="0" r:id="rId151">
            <anchor moveWithCells="1">
              <from>
                <xdr:col>14</xdr:col>
                <xdr:colOff>123825</xdr:colOff>
                <xdr:row>0</xdr:row>
                <xdr:rowOff>66675</xdr:rowOff>
              </from>
              <to>
                <xdr:col>16</xdr:col>
                <xdr:colOff>533400</xdr:colOff>
                <xdr:row>2</xdr:row>
                <xdr:rowOff>104775</xdr:rowOff>
              </to>
            </anchor>
          </controlPr>
        </control>
      </mc:Choice>
      <mc:Fallback>
        <control shapeId="95239" r:id="rId150" name="Quick_PPH_Pricing"/>
      </mc:Fallback>
    </mc:AlternateContent>
    <mc:AlternateContent xmlns:mc="http://schemas.openxmlformats.org/markup-compatibility/2006">
      <mc:Choice Requires="x14">
        <control shapeId="95238" r:id="rId152" name="Q_PPH_AFS">
          <controlPr defaultSize="0" autoLine="0" r:id="rId153">
            <anchor moveWithCells="1">
              <from>
                <xdr:col>9</xdr:col>
                <xdr:colOff>104775</xdr:colOff>
                <xdr:row>15</xdr:row>
                <xdr:rowOff>190500</xdr:rowOff>
              </from>
              <to>
                <xdr:col>11</xdr:col>
                <xdr:colOff>209550</xdr:colOff>
                <xdr:row>17</xdr:row>
                <xdr:rowOff>0</xdr:rowOff>
              </to>
            </anchor>
          </controlPr>
        </control>
      </mc:Choice>
      <mc:Fallback>
        <control shapeId="95238" r:id="rId152" name="Q_PPH_AFS"/>
      </mc:Fallback>
    </mc:AlternateContent>
    <mc:AlternateContent xmlns:mc="http://schemas.openxmlformats.org/markup-compatibility/2006">
      <mc:Choice Requires="x14">
        <control shapeId="95237" r:id="rId154" name="Q_PPH_460">
          <controlPr defaultSize="0" autoLine="0" r:id="rId155">
            <anchor moveWithCells="1">
              <from>
                <xdr:col>1</xdr:col>
                <xdr:colOff>76200</xdr:colOff>
                <xdr:row>5</xdr:row>
                <xdr:rowOff>9525</xdr:rowOff>
              </from>
              <to>
                <xdr:col>1</xdr:col>
                <xdr:colOff>619125</xdr:colOff>
                <xdr:row>6</xdr:row>
                <xdr:rowOff>19050</xdr:rowOff>
              </to>
            </anchor>
          </controlPr>
        </control>
      </mc:Choice>
      <mc:Fallback>
        <control shapeId="95237" r:id="rId154" name="Q_PPH_460"/>
      </mc:Fallback>
    </mc:AlternateContent>
    <mc:AlternateContent xmlns:mc="http://schemas.openxmlformats.org/markup-compatibility/2006">
      <mc:Choice Requires="x14">
        <control shapeId="95236" r:id="rId156" name="Q_PPH_380">
          <controlPr defaultSize="0" autoLine="0" r:id="rId157">
            <anchor moveWithCells="1">
              <from>
                <xdr:col>1</xdr:col>
                <xdr:colOff>47625</xdr:colOff>
                <xdr:row>4</xdr:row>
                <xdr:rowOff>0</xdr:rowOff>
              </from>
              <to>
                <xdr:col>1</xdr:col>
                <xdr:colOff>590550</xdr:colOff>
                <xdr:row>5</xdr:row>
                <xdr:rowOff>9525</xdr:rowOff>
              </to>
            </anchor>
          </controlPr>
        </control>
      </mc:Choice>
      <mc:Fallback>
        <control shapeId="95236" r:id="rId156" name="Q_PPH_380"/>
      </mc:Fallback>
    </mc:AlternateContent>
    <mc:AlternateContent xmlns:mc="http://schemas.openxmlformats.org/markup-compatibility/2006">
      <mc:Choice Requires="x14">
        <control shapeId="95235" r:id="rId158" name="Q_PPH_220">
          <controlPr defaultSize="0" disabled="1" autoLine="0" r:id="rId159">
            <anchor moveWithCells="1">
              <from>
                <xdr:col>1</xdr:col>
                <xdr:colOff>57150</xdr:colOff>
                <xdr:row>3</xdr:row>
                <xdr:rowOff>0</xdr:rowOff>
              </from>
              <to>
                <xdr:col>1</xdr:col>
                <xdr:colOff>600075</xdr:colOff>
                <xdr:row>4</xdr:row>
                <xdr:rowOff>57150</xdr:rowOff>
              </to>
            </anchor>
          </controlPr>
        </control>
      </mc:Choice>
      <mc:Fallback>
        <control shapeId="95235" r:id="rId158" name="Q_PPH_220"/>
      </mc:Fallback>
    </mc:AlternateContent>
    <mc:AlternateContent xmlns:mc="http://schemas.openxmlformats.org/markup-compatibility/2006">
      <mc:Choice Requires="x14">
        <control shapeId="95234" r:id="rId160" name="Q_PPH_50Hz">
          <controlPr defaultSize="0" disabled="1" autoLine="0" r:id="rId161">
            <anchor moveWithCells="1">
              <from>
                <xdr:col>0</xdr:col>
                <xdr:colOff>28575</xdr:colOff>
                <xdr:row>4</xdr:row>
                <xdr:rowOff>0</xdr:rowOff>
              </from>
              <to>
                <xdr:col>0</xdr:col>
                <xdr:colOff>571500</xdr:colOff>
                <xdr:row>5</xdr:row>
                <xdr:rowOff>57150</xdr:rowOff>
              </to>
            </anchor>
          </controlPr>
        </control>
      </mc:Choice>
      <mc:Fallback>
        <control shapeId="95234" r:id="rId160" name="Q_PPH_50Hz"/>
      </mc:Fallback>
    </mc:AlternateContent>
    <mc:AlternateContent xmlns:mc="http://schemas.openxmlformats.org/markup-compatibility/2006">
      <mc:Choice Requires="x14">
        <control shapeId="95233" r:id="rId162" name="Q_PPH_60Hz">
          <controlPr defaultSize="0" autoLine="0" r:id="rId163">
            <anchor moveWithCells="1">
              <from>
                <xdr:col>0</xdr:col>
                <xdr:colOff>28575</xdr:colOff>
                <xdr:row>3</xdr:row>
                <xdr:rowOff>0</xdr:rowOff>
              </from>
              <to>
                <xdr:col>0</xdr:col>
                <xdr:colOff>571500</xdr:colOff>
                <xdr:row>4</xdr:row>
                <xdr:rowOff>57150</xdr:rowOff>
              </to>
            </anchor>
          </controlPr>
        </control>
      </mc:Choice>
      <mc:Fallback>
        <control shapeId="95233" r:id="rId162" name="Q_PPH_60Hz"/>
      </mc:Fallback>
    </mc:AlternateContent>
  </controls>
  <tableParts count="1">
    <tablePart r:id="rId164"/>
  </tablePart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G1_DC_RAC_DATA_Base"/>
  <dimension ref="A1:VAA897"/>
  <sheetViews>
    <sheetView topLeftCell="AR1" zoomScale="85" zoomScaleNormal="85" workbookViewId="0">
      <selection activeCell="BB9" sqref="BB9"/>
    </sheetView>
  </sheetViews>
  <sheetFormatPr defaultColWidth="9.140625" defaultRowHeight="15"/>
  <cols>
    <col min="1" max="1" width="11.7109375" style="580" hidden="1" customWidth="1"/>
    <col min="2" max="14" width="9.140625" style="580" hidden="1" customWidth="1"/>
    <col min="15" max="15" width="16.28515625" style="580" hidden="1" customWidth="1"/>
    <col min="16" max="16" width="10" style="580" hidden="1" customWidth="1"/>
    <col min="17" max="17" width="9.140625" style="580" hidden="1" customWidth="1"/>
    <col min="18" max="18" width="15.140625" style="580" hidden="1" customWidth="1"/>
    <col min="19" max="19" width="15" style="580" hidden="1" customWidth="1"/>
    <col min="20" max="21" width="16.5703125" style="580" hidden="1" customWidth="1"/>
    <col min="22" max="22" width="14.42578125" style="580" hidden="1" customWidth="1"/>
    <col min="23" max="23" width="15.5703125" style="580" hidden="1" customWidth="1"/>
    <col min="24" max="24" width="24.28515625" style="580" hidden="1" customWidth="1"/>
    <col min="25" max="25" width="10.140625" style="580" hidden="1" customWidth="1"/>
    <col min="26" max="26" width="9.42578125" style="580" hidden="1" customWidth="1"/>
    <col min="27" max="28" width="9.140625" style="580" hidden="1" customWidth="1"/>
    <col min="29" max="30" width="27.5703125" style="580" hidden="1" customWidth="1"/>
    <col min="31" max="31" width="28.7109375" style="580" hidden="1" customWidth="1"/>
    <col min="32" max="34" width="24.28515625" style="580" hidden="1" customWidth="1"/>
    <col min="35" max="37" width="9.140625" style="580" hidden="1" customWidth="1"/>
    <col min="38" max="38" width="3.5703125" style="580" hidden="1" customWidth="1"/>
    <col min="39" max="39" width="4" style="580" hidden="1" customWidth="1"/>
    <col min="40" max="40" width="9.140625" style="580" hidden="1" customWidth="1"/>
    <col min="41" max="41" width="2.85546875" style="580" hidden="1" customWidth="1"/>
    <col min="42" max="43" width="9.140625" style="580" hidden="1" customWidth="1"/>
    <col min="44" max="44" width="9.140625" style="580" customWidth="1"/>
    <col min="45" max="45" width="56.85546875" style="580" customWidth="1"/>
    <col min="46" max="46" width="24.7109375" style="580" customWidth="1"/>
    <col min="47" max="47" width="9.140625" style="580"/>
    <col min="48" max="48" width="20.28515625" style="580" customWidth="1"/>
    <col min="49" max="49" width="27.28515625" style="580" customWidth="1"/>
    <col min="50" max="50" width="16.85546875" style="632" customWidth="1"/>
    <col min="51" max="51" width="17.140625" style="580" customWidth="1"/>
    <col min="52" max="52" width="13.28515625" style="632" customWidth="1"/>
    <col min="53" max="53" width="19.7109375" style="580" customWidth="1"/>
    <col min="54" max="54" width="18" style="580" customWidth="1"/>
    <col min="55" max="55" width="15.42578125" style="580" bestFit="1" customWidth="1"/>
    <col min="56" max="56" width="15.28515625" style="580" bestFit="1" customWidth="1"/>
    <col min="57" max="57" width="23" style="580" customWidth="1"/>
    <col min="58" max="58" width="19.85546875" style="580" bestFit="1" customWidth="1"/>
    <col min="59" max="16384" width="9.140625" style="580"/>
  </cols>
  <sheetData>
    <row r="1" spans="1:58 14899:14899" ht="24" customHeight="1" thickBot="1">
      <c r="A1" s="572" t="s">
        <v>1361</v>
      </c>
      <c r="B1" s="572">
        <v>0</v>
      </c>
      <c r="C1" s="573" t="s">
        <v>1362</v>
      </c>
      <c r="D1" s="573" t="s">
        <v>1363</v>
      </c>
      <c r="E1" s="574" t="s">
        <v>1364</v>
      </c>
      <c r="F1" s="574" t="s">
        <v>1365</v>
      </c>
      <c r="G1" s="575" t="s">
        <v>1366</v>
      </c>
      <c r="H1" s="575" t="s">
        <v>1367</v>
      </c>
      <c r="I1" s="576" t="s">
        <v>1368</v>
      </c>
      <c r="J1" s="576" t="s">
        <v>1369</v>
      </c>
      <c r="K1" s="577" t="s">
        <v>1370</v>
      </c>
      <c r="L1" s="577" t="s">
        <v>1371</v>
      </c>
      <c r="M1" s="578" t="s">
        <v>1372</v>
      </c>
      <c r="N1" s="578" t="s">
        <v>1373</v>
      </c>
      <c r="O1" s="572" t="s">
        <v>1374</v>
      </c>
      <c r="P1" s="572" t="s">
        <v>1375</v>
      </c>
      <c r="Q1" s="572" t="s">
        <v>1376</v>
      </c>
      <c r="R1" s="572" t="s">
        <v>1377</v>
      </c>
      <c r="S1" s="572" t="s">
        <v>1378</v>
      </c>
      <c r="T1" s="579" t="s">
        <v>1379</v>
      </c>
      <c r="U1" s="579" t="s">
        <v>1380</v>
      </c>
      <c r="V1" s="579" t="s">
        <v>1381</v>
      </c>
      <c r="W1" s="579" t="s">
        <v>1382</v>
      </c>
      <c r="X1" s="579" t="s">
        <v>1383</v>
      </c>
      <c r="Y1" s="580" t="s">
        <v>0</v>
      </c>
      <c r="Z1" s="580" t="s">
        <v>24</v>
      </c>
      <c r="AA1" s="580" t="s">
        <v>426</v>
      </c>
      <c r="AC1" s="579" t="s">
        <v>1384</v>
      </c>
      <c r="AD1" s="579" t="s">
        <v>1385</v>
      </c>
      <c r="AE1" s="579" t="s">
        <v>1386</v>
      </c>
      <c r="AF1" s="579" t="s">
        <v>1387</v>
      </c>
      <c r="AG1" s="579" t="s">
        <v>1388</v>
      </c>
      <c r="AH1" s="579" t="s">
        <v>1389</v>
      </c>
      <c r="AS1" s="581" t="s">
        <v>1390</v>
      </c>
      <c r="AU1" s="582" t="s">
        <v>552</v>
      </c>
      <c r="AV1" s="582" t="s">
        <v>427</v>
      </c>
      <c r="AW1" s="582" t="s">
        <v>9</v>
      </c>
      <c r="AX1" s="582" t="s">
        <v>1391</v>
      </c>
      <c r="AY1" s="582" t="s">
        <v>396</v>
      </c>
      <c r="AZ1" s="582" t="s">
        <v>118</v>
      </c>
      <c r="BA1" s="582" t="s">
        <v>1392</v>
      </c>
      <c r="BB1" s="582" t="s">
        <v>1393</v>
      </c>
      <c r="BC1" s="582" t="s">
        <v>5</v>
      </c>
      <c r="BD1" s="637" t="s">
        <v>428</v>
      </c>
      <c r="BE1" s="637" t="s">
        <v>1394</v>
      </c>
      <c r="BF1" s="637" t="s">
        <v>1395</v>
      </c>
      <c r="VAA1" s="580" t="s">
        <v>1393</v>
      </c>
    </row>
    <row r="2" spans="1:58 14899:14899" ht="22.5" customHeight="1" thickBot="1">
      <c r="A2" s="572" t="s">
        <v>1396</v>
      </c>
      <c r="B2" s="583"/>
      <c r="C2" s="584">
        <v>0</v>
      </c>
      <c r="D2" s="584">
        <v>524</v>
      </c>
      <c r="E2" s="585">
        <v>0</v>
      </c>
      <c r="F2" s="585">
        <v>462</v>
      </c>
      <c r="G2" s="586">
        <v>0</v>
      </c>
      <c r="H2" s="586">
        <v>431</v>
      </c>
      <c r="I2" s="587">
        <v>0</v>
      </c>
      <c r="J2" s="587">
        <v>400</v>
      </c>
      <c r="K2" s="588">
        <v>0</v>
      </c>
      <c r="L2" s="588">
        <v>338</v>
      </c>
      <c r="M2" s="589">
        <v>0</v>
      </c>
      <c r="N2" s="589">
        <v>276</v>
      </c>
      <c r="O2" s="1124">
        <v>1579.985815602837</v>
      </c>
      <c r="P2" s="590">
        <f>21*15/144</f>
        <v>2.1875</v>
      </c>
      <c r="Q2" s="572">
        <v>150</v>
      </c>
      <c r="R2" s="1124">
        <v>2014.6595744680851</v>
      </c>
      <c r="S2" s="1124">
        <v>2368.794326241135</v>
      </c>
      <c r="T2" s="583">
        <v>101.25</v>
      </c>
      <c r="U2" s="583">
        <v>210</v>
      </c>
      <c r="V2" s="583">
        <f>O2*0.1</f>
        <v>157.9985815602837</v>
      </c>
      <c r="W2" s="583">
        <f>O2*0.15</f>
        <v>236.99787234042554</v>
      </c>
      <c r="X2" s="583">
        <f>O2*0.4</f>
        <v>631.99432624113479</v>
      </c>
      <c r="Y2" t="s">
        <v>1406</v>
      </c>
      <c r="Z2">
        <v>2067.383817427386</v>
      </c>
      <c r="AA2">
        <v>1004</v>
      </c>
      <c r="AC2" s="583">
        <f>1*145*3.75</f>
        <v>543.75</v>
      </c>
      <c r="AD2" s="583">
        <f>10.3*3.75</f>
        <v>38.625</v>
      </c>
      <c r="AE2" s="583">
        <f>20.5*3.75</f>
        <v>76.875</v>
      </c>
      <c r="AF2" s="583">
        <f>32.1*3.75</f>
        <v>120.375</v>
      </c>
      <c r="AG2" s="583">
        <f>69.6*3.75</f>
        <v>261</v>
      </c>
      <c r="AH2" s="583">
        <f>16.1*3.75</f>
        <v>60.375000000000007</v>
      </c>
      <c r="AS2" s="591"/>
      <c r="AU2" s="592">
        <v>1</v>
      </c>
      <c r="AV2" s="593" t="s">
        <v>1398</v>
      </c>
      <c r="AW2" s="592" t="s">
        <v>1399</v>
      </c>
      <c r="AX2" s="593">
        <v>1000</v>
      </c>
      <c r="AY2" s="592">
        <v>0.1</v>
      </c>
      <c r="AZ2" s="592" t="s">
        <v>1000</v>
      </c>
      <c r="BA2" s="592">
        <v>1</v>
      </c>
      <c r="BB2" s="592">
        <v>1</v>
      </c>
      <c r="BC2" s="592">
        <v>1</v>
      </c>
      <c r="BD2" s="594" t="s">
        <v>1406</v>
      </c>
      <c r="BE2" s="594">
        <v>1004</v>
      </c>
      <c r="BF2" s="594">
        <v>2067</v>
      </c>
    </row>
    <row r="3" spans="1:58 14899:14899" ht="22.5" customHeight="1" thickBot="1">
      <c r="A3" s="572" t="s">
        <v>1400</v>
      </c>
      <c r="B3" s="583"/>
      <c r="C3" s="584">
        <f>D2</f>
        <v>524</v>
      </c>
      <c r="D3" s="584">
        <v>656</v>
      </c>
      <c r="E3" s="585">
        <f>F2</f>
        <v>462</v>
      </c>
      <c r="F3" s="585">
        <v>574</v>
      </c>
      <c r="G3" s="586">
        <f>H2</f>
        <v>431</v>
      </c>
      <c r="H3" s="586">
        <v>532</v>
      </c>
      <c r="I3" s="587">
        <f>J2</f>
        <v>400</v>
      </c>
      <c r="J3" s="587">
        <v>491</v>
      </c>
      <c r="K3" s="588">
        <f>L2</f>
        <v>338</v>
      </c>
      <c r="L3" s="588">
        <v>408</v>
      </c>
      <c r="M3" s="589">
        <f>N2</f>
        <v>276</v>
      </c>
      <c r="N3" s="589">
        <v>325</v>
      </c>
      <c r="O3" s="1124">
        <v>1579.985815602837</v>
      </c>
      <c r="P3" s="590">
        <f>21*15/144</f>
        <v>2.1875</v>
      </c>
      <c r="Q3" s="572">
        <v>150</v>
      </c>
      <c r="R3" s="1124">
        <v>2014.6595744680851</v>
      </c>
      <c r="S3" s="1124">
        <v>2368.794326241135</v>
      </c>
      <c r="T3" s="583">
        <v>101.25</v>
      </c>
      <c r="U3" s="583">
        <v>210</v>
      </c>
      <c r="V3" s="583">
        <f t="shared" ref="V3:V51" si="0">O3*0.1</f>
        <v>157.9985815602837</v>
      </c>
      <c r="W3" s="583">
        <f t="shared" ref="W3:W51" si="1">O3*0.15</f>
        <v>236.99787234042554</v>
      </c>
      <c r="X3" s="583">
        <f t="shared" ref="X3:X51" si="2">O3*0.4</f>
        <v>631.99432624113479</v>
      </c>
      <c r="Y3" t="s">
        <v>1431</v>
      </c>
      <c r="Z3">
        <v>2319.1875</v>
      </c>
      <c r="AA3">
        <v>1009</v>
      </c>
      <c r="AC3" s="583">
        <f>1*145*3.75</f>
        <v>543.75</v>
      </c>
      <c r="AD3" s="583">
        <f t="shared" ref="AD3:AD51" si="3">10.3*3.75</f>
        <v>38.625</v>
      </c>
      <c r="AE3" s="583">
        <f t="shared" ref="AE3:AE51" si="4">20.5*3.75</f>
        <v>76.875</v>
      </c>
      <c r="AF3" s="583">
        <f t="shared" ref="AF3:AF51" si="5">32.1*3.75</f>
        <v>120.375</v>
      </c>
      <c r="AG3" s="583">
        <f t="shared" ref="AG3:AG66" si="6">69.6*3.75</f>
        <v>261</v>
      </c>
      <c r="AH3" s="583">
        <f t="shared" ref="AH3:AH66" si="7">16.1*3.75</f>
        <v>60.375000000000007</v>
      </c>
      <c r="AS3" s="591"/>
      <c r="AU3" s="592"/>
      <c r="AV3" s="593"/>
      <c r="AW3" s="592"/>
      <c r="AX3" s="593"/>
      <c r="AY3" s="592"/>
      <c r="AZ3" s="592"/>
      <c r="BA3" s="592"/>
      <c r="BB3" s="592"/>
      <c r="BC3" s="592"/>
      <c r="BD3" s="594"/>
      <c r="BE3" s="594"/>
      <c r="BF3" s="594"/>
    </row>
    <row r="4" spans="1:58 14899:14899" ht="22.5" customHeight="1" thickBot="1">
      <c r="A4" s="572" t="s">
        <v>1404</v>
      </c>
      <c r="B4" s="583"/>
      <c r="C4" s="584">
        <f t="shared" ref="C4:C13" si="8">D3</f>
        <v>656</v>
      </c>
      <c r="D4" s="584">
        <v>772</v>
      </c>
      <c r="E4" s="585">
        <f t="shared" ref="E4:E13" si="9">F3</f>
        <v>574</v>
      </c>
      <c r="F4" s="585">
        <v>671</v>
      </c>
      <c r="G4" s="586">
        <f t="shared" ref="G4:G13" si="10">H3</f>
        <v>532</v>
      </c>
      <c r="H4" s="586">
        <v>621</v>
      </c>
      <c r="I4" s="587">
        <f t="shared" ref="I4:I13" si="11">J3</f>
        <v>491</v>
      </c>
      <c r="J4" s="587">
        <v>570</v>
      </c>
      <c r="K4" s="588">
        <f t="shared" ref="K4:K13" si="12">L3</f>
        <v>408</v>
      </c>
      <c r="L4" s="588">
        <v>470</v>
      </c>
      <c r="M4" s="589">
        <f t="shared" ref="M4:M13" si="13">N3</f>
        <v>325</v>
      </c>
      <c r="N4" s="589">
        <v>369</v>
      </c>
      <c r="O4" s="1124">
        <v>1579.985815602837</v>
      </c>
      <c r="P4" s="590">
        <f>21*15/144</f>
        <v>2.1875</v>
      </c>
      <c r="Q4" s="572">
        <v>150</v>
      </c>
      <c r="R4" s="1124">
        <v>2014.6595744680851</v>
      </c>
      <c r="S4" s="1124">
        <v>2368.794326241135</v>
      </c>
      <c r="T4" s="583">
        <v>101.25</v>
      </c>
      <c r="U4" s="583">
        <v>210</v>
      </c>
      <c r="V4" s="583">
        <f t="shared" si="0"/>
        <v>157.9985815602837</v>
      </c>
      <c r="W4" s="583">
        <f t="shared" si="1"/>
        <v>236.99787234042554</v>
      </c>
      <c r="X4" s="583">
        <f t="shared" si="2"/>
        <v>631.99432624113479</v>
      </c>
      <c r="Y4"/>
      <c r="Z4"/>
      <c r="AA4"/>
      <c r="AC4" s="583">
        <f>1*145*3.75</f>
        <v>543.75</v>
      </c>
      <c r="AD4" s="583">
        <f t="shared" si="3"/>
        <v>38.625</v>
      </c>
      <c r="AE4" s="583">
        <f t="shared" si="4"/>
        <v>76.875</v>
      </c>
      <c r="AF4" s="583">
        <f t="shared" si="5"/>
        <v>120.375</v>
      </c>
      <c r="AG4" s="583">
        <f t="shared" si="6"/>
        <v>261</v>
      </c>
      <c r="AH4" s="583">
        <f t="shared" si="7"/>
        <v>60.375000000000007</v>
      </c>
      <c r="AS4" s="595"/>
      <c r="AU4" s="592"/>
      <c r="AV4" s="593"/>
      <c r="AW4" s="592"/>
      <c r="AX4" s="593"/>
      <c r="AY4" s="592"/>
      <c r="AZ4" s="592"/>
      <c r="BA4" s="592"/>
      <c r="BB4" s="592"/>
      <c r="BC4" s="592"/>
      <c r="BD4" s="594"/>
      <c r="BE4" s="594"/>
      <c r="BF4" s="594"/>
    </row>
    <row r="5" spans="1:58 14899:14899" ht="15.75" thickBot="1">
      <c r="A5" s="572" t="s">
        <v>1406</v>
      </c>
      <c r="B5" s="583"/>
      <c r="C5" s="584">
        <f t="shared" si="8"/>
        <v>772</v>
      </c>
      <c r="D5" s="584">
        <v>1004</v>
      </c>
      <c r="E5" s="585">
        <f t="shared" si="9"/>
        <v>671</v>
      </c>
      <c r="F5" s="585">
        <v>883</v>
      </c>
      <c r="G5" s="586">
        <f t="shared" si="10"/>
        <v>621</v>
      </c>
      <c r="H5" s="586">
        <v>822</v>
      </c>
      <c r="I5" s="587">
        <f t="shared" si="11"/>
        <v>570</v>
      </c>
      <c r="J5" s="587">
        <v>762</v>
      </c>
      <c r="K5" s="588">
        <f t="shared" si="12"/>
        <v>470</v>
      </c>
      <c r="L5" s="588">
        <v>641</v>
      </c>
      <c r="M5" s="589">
        <f t="shared" si="13"/>
        <v>369</v>
      </c>
      <c r="N5" s="589">
        <v>520</v>
      </c>
      <c r="O5" s="1124">
        <v>2067.383817427386</v>
      </c>
      <c r="P5" s="596">
        <f>21*15/144</f>
        <v>2.1875</v>
      </c>
      <c r="Q5" s="597">
        <v>150</v>
      </c>
      <c r="R5" s="1124">
        <v>2595.3029045643152</v>
      </c>
      <c r="S5" s="1124">
        <v>3029.8485477178424</v>
      </c>
      <c r="T5" s="583">
        <v>101.25</v>
      </c>
      <c r="U5" s="583">
        <v>210</v>
      </c>
      <c r="V5" s="583">
        <f t="shared" si="0"/>
        <v>206.73838174273862</v>
      </c>
      <c r="W5" s="583">
        <f t="shared" si="1"/>
        <v>310.10757261410788</v>
      </c>
      <c r="X5" s="583">
        <f t="shared" si="2"/>
        <v>826.9535269709545</v>
      </c>
      <c r="Y5"/>
      <c r="Z5"/>
      <c r="AA5"/>
      <c r="AC5" s="583">
        <f>1*145*3.75</f>
        <v>543.75</v>
      </c>
      <c r="AD5" s="583">
        <f t="shared" si="3"/>
        <v>38.625</v>
      </c>
      <c r="AE5" s="583">
        <f t="shared" si="4"/>
        <v>76.875</v>
      </c>
      <c r="AF5" s="583">
        <f t="shared" si="5"/>
        <v>120.375</v>
      </c>
      <c r="AG5" s="583">
        <f t="shared" si="6"/>
        <v>261</v>
      </c>
      <c r="AH5" s="583">
        <f t="shared" si="7"/>
        <v>60.375000000000007</v>
      </c>
      <c r="AU5" s="592"/>
      <c r="AV5" s="593"/>
      <c r="AW5" s="592"/>
      <c r="AX5" s="593"/>
      <c r="AY5" s="592"/>
      <c r="AZ5" s="592"/>
      <c r="BA5" s="592"/>
      <c r="BB5" s="592"/>
      <c r="BC5" s="592"/>
      <c r="BD5" s="594"/>
      <c r="BE5" s="594"/>
      <c r="BF5" s="594"/>
    </row>
    <row r="6" spans="1:58 14899:14899" ht="20.25" customHeight="1" thickBot="1">
      <c r="A6" s="572" t="s">
        <v>1408</v>
      </c>
      <c r="B6" s="583"/>
      <c r="C6" s="584">
        <f t="shared" si="8"/>
        <v>1004</v>
      </c>
      <c r="D6" s="584">
        <v>1035</v>
      </c>
      <c r="E6" s="585">
        <f t="shared" si="9"/>
        <v>883</v>
      </c>
      <c r="F6" s="585">
        <v>886</v>
      </c>
      <c r="G6" s="586">
        <f t="shared" si="10"/>
        <v>822</v>
      </c>
      <c r="H6" s="586">
        <v>812</v>
      </c>
      <c r="I6" s="587">
        <f t="shared" si="11"/>
        <v>762</v>
      </c>
      <c r="J6" s="587">
        <v>738</v>
      </c>
      <c r="K6" s="588">
        <f t="shared" si="12"/>
        <v>641</v>
      </c>
      <c r="L6" s="588">
        <v>589</v>
      </c>
      <c r="M6" s="589">
        <f t="shared" si="13"/>
        <v>520</v>
      </c>
      <c r="N6" s="589">
        <v>440</v>
      </c>
      <c r="O6" s="1124">
        <v>2728.1804979253111</v>
      </c>
      <c r="P6" s="590">
        <f>35*15/144</f>
        <v>3.6458333333333335</v>
      </c>
      <c r="Q6" s="572">
        <v>300</v>
      </c>
      <c r="R6" s="1124">
        <v>3432.0726141078835</v>
      </c>
      <c r="S6" s="1124">
        <v>4003.0871369294605</v>
      </c>
      <c r="T6" s="583">
        <v>131.25</v>
      </c>
      <c r="U6" s="583">
        <v>270</v>
      </c>
      <c r="V6" s="583">
        <f t="shared" si="0"/>
        <v>272.8180497925311</v>
      </c>
      <c r="W6" s="583">
        <f t="shared" si="1"/>
        <v>409.22707468879668</v>
      </c>
      <c r="X6" s="583">
        <f t="shared" si="2"/>
        <v>1091.2721991701244</v>
      </c>
      <c r="Y6"/>
      <c r="Z6"/>
      <c r="AA6"/>
      <c r="AC6" s="583">
        <f>2*145*3.75</f>
        <v>1087.5</v>
      </c>
      <c r="AD6" s="583">
        <f t="shared" si="3"/>
        <v>38.625</v>
      </c>
      <c r="AE6" s="583">
        <f t="shared" si="4"/>
        <v>76.875</v>
      </c>
      <c r="AF6" s="583">
        <f t="shared" si="5"/>
        <v>120.375</v>
      </c>
      <c r="AG6" s="583">
        <f t="shared" si="6"/>
        <v>261</v>
      </c>
      <c r="AH6" s="583">
        <f t="shared" si="7"/>
        <v>60.375000000000007</v>
      </c>
      <c r="AS6" s="598"/>
      <c r="AU6" s="592"/>
      <c r="AV6" s="593"/>
      <c r="AW6" s="592"/>
      <c r="AX6" s="593"/>
      <c r="AY6" s="592"/>
      <c r="AZ6" s="592"/>
      <c r="BA6" s="592"/>
      <c r="BB6" s="592"/>
      <c r="BC6" s="592"/>
      <c r="BD6" s="594"/>
      <c r="BE6" s="594"/>
      <c r="BF6" s="594"/>
    </row>
    <row r="7" spans="1:58 14899:14899" ht="12.75" customHeight="1" thickBot="1">
      <c r="A7" s="572" t="s">
        <v>1410</v>
      </c>
      <c r="B7" s="583"/>
      <c r="C7" s="584">
        <f t="shared" si="8"/>
        <v>1035</v>
      </c>
      <c r="D7" s="584">
        <v>1142</v>
      </c>
      <c r="E7" s="585">
        <f t="shared" si="9"/>
        <v>886</v>
      </c>
      <c r="F7" s="585">
        <v>994</v>
      </c>
      <c r="G7" s="586">
        <f t="shared" si="10"/>
        <v>812</v>
      </c>
      <c r="H7" s="586">
        <v>920</v>
      </c>
      <c r="I7" s="587">
        <f t="shared" si="11"/>
        <v>738</v>
      </c>
      <c r="J7" s="587">
        <v>847</v>
      </c>
      <c r="K7" s="588">
        <f t="shared" si="12"/>
        <v>589</v>
      </c>
      <c r="L7" s="588">
        <v>699</v>
      </c>
      <c r="M7" s="589">
        <f t="shared" si="13"/>
        <v>440</v>
      </c>
      <c r="N7" s="589">
        <v>551</v>
      </c>
      <c r="O7" s="1124">
        <v>2728.1804979253111</v>
      </c>
      <c r="P7" s="590">
        <f>35*15/144</f>
        <v>3.6458333333333335</v>
      </c>
      <c r="Q7" s="572">
        <v>300</v>
      </c>
      <c r="R7" s="1124">
        <v>3432.0726141078835</v>
      </c>
      <c r="S7" s="1124">
        <v>4003.0871369294605</v>
      </c>
      <c r="T7" s="583">
        <v>131.25</v>
      </c>
      <c r="U7" s="583">
        <v>270</v>
      </c>
      <c r="V7" s="583">
        <f t="shared" si="0"/>
        <v>272.8180497925311</v>
      </c>
      <c r="W7" s="583">
        <f t="shared" si="1"/>
        <v>409.22707468879668</v>
      </c>
      <c r="X7" s="583">
        <f t="shared" si="2"/>
        <v>1091.2721991701244</v>
      </c>
      <c r="Y7"/>
      <c r="Z7"/>
      <c r="AA7"/>
      <c r="AC7" s="583">
        <f>2*145*3.75</f>
        <v>1087.5</v>
      </c>
      <c r="AD7" s="583">
        <f t="shared" si="3"/>
        <v>38.625</v>
      </c>
      <c r="AE7" s="583">
        <f t="shared" si="4"/>
        <v>76.875</v>
      </c>
      <c r="AF7" s="583">
        <f t="shared" si="5"/>
        <v>120.375</v>
      </c>
      <c r="AG7" s="583">
        <f t="shared" si="6"/>
        <v>261</v>
      </c>
      <c r="AH7" s="583">
        <f t="shared" si="7"/>
        <v>60.375000000000007</v>
      </c>
      <c r="AU7" s="592"/>
      <c r="AV7" s="593"/>
      <c r="AW7" s="592"/>
      <c r="AX7" s="593"/>
      <c r="AY7" s="592"/>
      <c r="AZ7" s="592"/>
      <c r="BA7" s="592"/>
      <c r="BB7" s="592"/>
      <c r="BC7" s="592"/>
      <c r="BD7" s="594"/>
      <c r="BE7" s="594"/>
      <c r="BF7" s="594"/>
    </row>
    <row r="8" spans="1:58 14899:14899" ht="15.75" thickBot="1">
      <c r="A8" s="572" t="s">
        <v>1412</v>
      </c>
      <c r="B8" s="583"/>
      <c r="C8" s="584">
        <f t="shared" si="8"/>
        <v>1142</v>
      </c>
      <c r="D8" s="584">
        <v>1326</v>
      </c>
      <c r="E8" s="585">
        <f t="shared" si="9"/>
        <v>994</v>
      </c>
      <c r="F8" s="585">
        <v>1143</v>
      </c>
      <c r="G8" s="586">
        <f t="shared" si="10"/>
        <v>920</v>
      </c>
      <c r="H8" s="586">
        <v>1052</v>
      </c>
      <c r="I8" s="587">
        <f t="shared" si="11"/>
        <v>847</v>
      </c>
      <c r="J8" s="587">
        <v>960</v>
      </c>
      <c r="K8" s="588">
        <f t="shared" si="12"/>
        <v>699</v>
      </c>
      <c r="L8" s="588">
        <v>777</v>
      </c>
      <c r="M8" s="589">
        <f t="shared" si="13"/>
        <v>551</v>
      </c>
      <c r="N8" s="589">
        <v>594</v>
      </c>
      <c r="O8" s="1124">
        <v>2692.9910071942445</v>
      </c>
      <c r="P8" s="590">
        <f>35*15/144</f>
        <v>3.6458333333333335</v>
      </c>
      <c r="Q8" s="572">
        <v>300</v>
      </c>
      <c r="R8" s="1124">
        <v>3387.8039568345325</v>
      </c>
      <c r="S8" s="1124">
        <v>3951.4532374100718</v>
      </c>
      <c r="T8" s="583">
        <v>131.25</v>
      </c>
      <c r="U8" s="583">
        <v>270</v>
      </c>
      <c r="V8" s="583">
        <f t="shared" si="0"/>
        <v>269.29910071942447</v>
      </c>
      <c r="W8" s="583">
        <f t="shared" si="1"/>
        <v>403.94865107913665</v>
      </c>
      <c r="X8" s="583">
        <f t="shared" si="2"/>
        <v>1077.1964028776979</v>
      </c>
      <c r="Y8"/>
      <c r="Z8"/>
      <c r="AA8"/>
      <c r="AC8" s="583">
        <f>2*145*3.75</f>
        <v>1087.5</v>
      </c>
      <c r="AD8" s="583">
        <f t="shared" si="3"/>
        <v>38.625</v>
      </c>
      <c r="AE8" s="583">
        <f t="shared" si="4"/>
        <v>76.875</v>
      </c>
      <c r="AF8" s="583">
        <f t="shared" si="5"/>
        <v>120.375</v>
      </c>
      <c r="AG8" s="583">
        <f t="shared" si="6"/>
        <v>261</v>
      </c>
      <c r="AH8" s="583">
        <f t="shared" si="7"/>
        <v>60.375000000000007</v>
      </c>
      <c r="AS8" s="2537" t="s">
        <v>70</v>
      </c>
      <c r="AU8" s="592"/>
      <c r="AV8" s="593"/>
      <c r="AW8" s="592"/>
      <c r="AX8" s="593"/>
      <c r="AY8" s="592"/>
      <c r="AZ8" s="592"/>
      <c r="BA8" s="592"/>
      <c r="BB8" s="592"/>
      <c r="BC8" s="592"/>
      <c r="BD8" s="594"/>
      <c r="BE8" s="594"/>
      <c r="BF8" s="594"/>
    </row>
    <row r="9" spans="1:58 14899:14899" ht="15.75" thickBot="1">
      <c r="A9" s="572" t="s">
        <v>1415</v>
      </c>
      <c r="B9" s="583"/>
      <c r="C9" s="584">
        <f t="shared" si="8"/>
        <v>1326</v>
      </c>
      <c r="D9" s="584">
        <v>1377</v>
      </c>
      <c r="E9" s="585">
        <f t="shared" si="9"/>
        <v>1143</v>
      </c>
      <c r="F9" s="585">
        <v>1196</v>
      </c>
      <c r="G9" s="586">
        <f t="shared" si="10"/>
        <v>1052</v>
      </c>
      <c r="H9" s="586">
        <v>1105</v>
      </c>
      <c r="I9" s="587">
        <f t="shared" si="11"/>
        <v>960</v>
      </c>
      <c r="J9" s="587">
        <v>1014</v>
      </c>
      <c r="K9" s="588">
        <f t="shared" si="12"/>
        <v>777</v>
      </c>
      <c r="L9" s="588">
        <v>832</v>
      </c>
      <c r="M9" s="589">
        <f t="shared" si="13"/>
        <v>594</v>
      </c>
      <c r="N9" s="589">
        <v>650</v>
      </c>
      <c r="O9" s="1124">
        <v>3107.7517985611512</v>
      </c>
      <c r="P9" s="590">
        <f>45*15/144</f>
        <v>4.6875</v>
      </c>
      <c r="Q9" s="572">
        <v>300</v>
      </c>
      <c r="R9" s="1124">
        <v>3821.4712230215828</v>
      </c>
      <c r="S9" s="1124">
        <v>4398.1187050359713</v>
      </c>
      <c r="T9" s="583">
        <v>161.25</v>
      </c>
      <c r="U9" s="583">
        <v>330</v>
      </c>
      <c r="V9" s="583">
        <f t="shared" si="0"/>
        <v>310.77517985611513</v>
      </c>
      <c r="W9" s="583">
        <f t="shared" si="1"/>
        <v>466.16276978417267</v>
      </c>
      <c r="X9" s="583">
        <f t="shared" si="2"/>
        <v>1243.1007194244605</v>
      </c>
      <c r="Y9"/>
      <c r="Z9"/>
      <c r="AA9"/>
      <c r="AC9" s="583">
        <f>2*145*3.75</f>
        <v>1087.5</v>
      </c>
      <c r="AD9" s="583">
        <f t="shared" si="3"/>
        <v>38.625</v>
      </c>
      <c r="AE9" s="583">
        <f t="shared" si="4"/>
        <v>76.875</v>
      </c>
      <c r="AF9" s="583">
        <f t="shared" si="5"/>
        <v>120.375</v>
      </c>
      <c r="AG9" s="583">
        <f t="shared" si="6"/>
        <v>261</v>
      </c>
      <c r="AH9" s="583">
        <f t="shared" si="7"/>
        <v>60.375000000000007</v>
      </c>
      <c r="AS9" s="2538"/>
      <c r="AU9" s="592"/>
      <c r="AV9" s="593"/>
      <c r="AW9" s="592"/>
      <c r="AX9" s="593"/>
      <c r="AY9" s="592"/>
      <c r="AZ9" s="592"/>
      <c r="BA9" s="592"/>
      <c r="BB9" s="592"/>
      <c r="BC9" s="592"/>
      <c r="BD9" s="594"/>
      <c r="BE9" s="594"/>
      <c r="BF9" s="594"/>
    </row>
    <row r="10" spans="1:58 14899:14899" ht="15.75" thickBot="1">
      <c r="A10" s="572" t="s">
        <v>1418</v>
      </c>
      <c r="B10" s="583"/>
      <c r="C10" s="584">
        <f t="shared" si="8"/>
        <v>1377</v>
      </c>
      <c r="D10" s="584">
        <v>1659</v>
      </c>
      <c r="E10" s="585">
        <f t="shared" si="9"/>
        <v>1196</v>
      </c>
      <c r="F10" s="585">
        <v>1408</v>
      </c>
      <c r="G10" s="586">
        <f t="shared" si="10"/>
        <v>1105</v>
      </c>
      <c r="H10" s="586">
        <v>1282</v>
      </c>
      <c r="I10" s="587">
        <f t="shared" si="11"/>
        <v>1014</v>
      </c>
      <c r="J10" s="587">
        <v>1156</v>
      </c>
      <c r="K10" s="588">
        <f t="shared" si="12"/>
        <v>832</v>
      </c>
      <c r="L10" s="588">
        <v>905</v>
      </c>
      <c r="M10" s="589">
        <f t="shared" si="13"/>
        <v>650</v>
      </c>
      <c r="N10" s="589">
        <v>653</v>
      </c>
      <c r="O10" s="1124">
        <v>2937.4025974025972</v>
      </c>
      <c r="P10" s="590">
        <f>45*15/144</f>
        <v>4.6875</v>
      </c>
      <c r="Q10" s="572">
        <v>300</v>
      </c>
      <c r="R10" s="1124">
        <v>3611.9999999999995</v>
      </c>
      <c r="S10" s="1124">
        <v>4157.0389610389611</v>
      </c>
      <c r="T10" s="583">
        <v>161.25</v>
      </c>
      <c r="U10" s="583">
        <v>330</v>
      </c>
      <c r="V10" s="583">
        <f t="shared" si="0"/>
        <v>293.74025974025972</v>
      </c>
      <c r="W10" s="583">
        <f t="shared" si="1"/>
        <v>440.61038961038957</v>
      </c>
      <c r="X10" s="583">
        <f t="shared" si="2"/>
        <v>1174.9610389610389</v>
      </c>
      <c r="Y10"/>
      <c r="Z10"/>
      <c r="AA10"/>
      <c r="AC10" s="583">
        <f>2*145*3.75</f>
        <v>1087.5</v>
      </c>
      <c r="AD10" s="583">
        <f t="shared" si="3"/>
        <v>38.625</v>
      </c>
      <c r="AE10" s="583">
        <f t="shared" si="4"/>
        <v>76.875</v>
      </c>
      <c r="AF10" s="583">
        <f t="shared" si="5"/>
        <v>120.375</v>
      </c>
      <c r="AG10" s="583">
        <f t="shared" si="6"/>
        <v>261</v>
      </c>
      <c r="AH10" s="583">
        <f t="shared" si="7"/>
        <v>60.375000000000007</v>
      </c>
      <c r="AS10" s="599"/>
      <c r="AU10" s="592"/>
      <c r="AV10" s="593"/>
      <c r="AW10" s="592"/>
      <c r="AX10" s="593"/>
      <c r="AY10" s="592"/>
      <c r="AZ10" s="592"/>
      <c r="BA10" s="592"/>
      <c r="BB10" s="592"/>
      <c r="BC10" s="592"/>
      <c r="BD10" s="594"/>
      <c r="BE10" s="594"/>
      <c r="BF10" s="594"/>
    </row>
    <row r="11" spans="1:58 14899:14899" ht="15.75" thickBot="1">
      <c r="A11" s="572" t="s">
        <v>1420</v>
      </c>
      <c r="B11" s="583"/>
      <c r="C11" s="584">
        <f t="shared" si="8"/>
        <v>1659</v>
      </c>
      <c r="D11" s="584">
        <v>1825</v>
      </c>
      <c r="E11" s="585">
        <f t="shared" si="9"/>
        <v>1408</v>
      </c>
      <c r="F11" s="585">
        <v>1548</v>
      </c>
      <c r="G11" s="586">
        <f t="shared" si="10"/>
        <v>1282</v>
      </c>
      <c r="H11" s="586">
        <v>1410</v>
      </c>
      <c r="I11" s="587">
        <f t="shared" si="11"/>
        <v>1156</v>
      </c>
      <c r="J11" s="587">
        <v>1272</v>
      </c>
      <c r="K11" s="588">
        <f t="shared" si="12"/>
        <v>905</v>
      </c>
      <c r="L11" s="588">
        <v>995</v>
      </c>
      <c r="M11" s="589">
        <f t="shared" si="13"/>
        <v>653</v>
      </c>
      <c r="N11" s="589">
        <v>719</v>
      </c>
      <c r="O11" s="1124">
        <v>3947.228598306679</v>
      </c>
      <c r="P11" s="596">
        <v>4.6900000000000004</v>
      </c>
      <c r="Q11" s="597">
        <v>300</v>
      </c>
      <c r="R11" s="1124">
        <v>4759.4825964252113</v>
      </c>
      <c r="S11" s="1124">
        <v>5425.1119473189083</v>
      </c>
      <c r="T11" s="583">
        <v>217.5</v>
      </c>
      <c r="U11" s="583">
        <v>446.25</v>
      </c>
      <c r="V11" s="583">
        <f t="shared" si="0"/>
        <v>394.72285983066791</v>
      </c>
      <c r="W11" s="583">
        <f t="shared" si="1"/>
        <v>592.08428974600179</v>
      </c>
      <c r="X11" s="583">
        <f t="shared" si="2"/>
        <v>1578.8914393226717</v>
      </c>
      <c r="Y11"/>
      <c r="Z11"/>
      <c r="AA11"/>
      <c r="AC11" s="583">
        <f>3*145*3.75</f>
        <v>1631.25</v>
      </c>
      <c r="AD11" s="583">
        <f t="shared" si="3"/>
        <v>38.625</v>
      </c>
      <c r="AE11" s="583">
        <f t="shared" si="4"/>
        <v>76.875</v>
      </c>
      <c r="AF11" s="583">
        <f t="shared" si="5"/>
        <v>120.375</v>
      </c>
      <c r="AG11" s="583">
        <f t="shared" si="6"/>
        <v>261</v>
      </c>
      <c r="AH11" s="583">
        <f t="shared" si="7"/>
        <v>60.375000000000007</v>
      </c>
      <c r="AS11" s="600"/>
      <c r="AU11" s="592"/>
      <c r="AV11" s="593"/>
      <c r="AW11" s="592"/>
      <c r="AX11" s="593"/>
      <c r="AY11" s="592"/>
      <c r="AZ11" s="592"/>
      <c r="BA11" s="592"/>
      <c r="BB11" s="592"/>
      <c r="BC11" s="592"/>
      <c r="BD11" s="594"/>
      <c r="BE11" s="594"/>
      <c r="BF11" s="594"/>
    </row>
    <row r="12" spans="1:58 14899:14899" ht="15.75" thickBot="1">
      <c r="A12" s="572" t="s">
        <v>1422</v>
      </c>
      <c r="B12" s="583"/>
      <c r="C12" s="584">
        <f t="shared" si="8"/>
        <v>1825</v>
      </c>
      <c r="D12" s="584">
        <v>2190</v>
      </c>
      <c r="E12" s="585">
        <f t="shared" si="9"/>
        <v>1548</v>
      </c>
      <c r="F12" s="585">
        <v>1886</v>
      </c>
      <c r="G12" s="586">
        <f t="shared" si="10"/>
        <v>1410</v>
      </c>
      <c r="H12" s="586">
        <v>1734</v>
      </c>
      <c r="I12" s="587">
        <f t="shared" si="11"/>
        <v>1272</v>
      </c>
      <c r="J12" s="587">
        <v>1582</v>
      </c>
      <c r="K12" s="588">
        <f t="shared" si="12"/>
        <v>995</v>
      </c>
      <c r="L12" s="588">
        <v>1278</v>
      </c>
      <c r="M12" s="589">
        <f t="shared" si="13"/>
        <v>719</v>
      </c>
      <c r="N12" s="589">
        <v>974</v>
      </c>
      <c r="O12" s="1124">
        <v>5500</v>
      </c>
      <c r="P12" s="572">
        <f>60*15/144</f>
        <v>6.25</v>
      </c>
      <c r="Q12" s="572">
        <v>450</v>
      </c>
      <c r="R12" s="1125">
        <v>6500</v>
      </c>
      <c r="S12" s="1125">
        <v>8658.5150684931505</v>
      </c>
      <c r="T12" s="583">
        <v>217.5</v>
      </c>
      <c r="U12" s="583">
        <v>446.25</v>
      </c>
      <c r="V12" s="583">
        <f t="shared" si="0"/>
        <v>550</v>
      </c>
      <c r="W12" s="583">
        <f t="shared" si="1"/>
        <v>825</v>
      </c>
      <c r="X12" s="583">
        <f t="shared" si="2"/>
        <v>2200</v>
      </c>
      <c r="Y12"/>
      <c r="Z12"/>
      <c r="AA12"/>
      <c r="AC12" s="583">
        <f>3*145*3.75</f>
        <v>1631.25</v>
      </c>
      <c r="AD12" s="583">
        <f t="shared" si="3"/>
        <v>38.625</v>
      </c>
      <c r="AE12" s="583">
        <f t="shared" si="4"/>
        <v>76.875</v>
      </c>
      <c r="AF12" s="583">
        <f t="shared" si="5"/>
        <v>120.375</v>
      </c>
      <c r="AG12" s="583">
        <f t="shared" si="6"/>
        <v>261</v>
      </c>
      <c r="AH12" s="583">
        <f t="shared" si="7"/>
        <v>60.375000000000007</v>
      </c>
      <c r="AS12" s="601"/>
      <c r="AU12" s="592"/>
      <c r="AV12" s="593"/>
      <c r="AW12" s="592"/>
      <c r="AX12" s="593"/>
      <c r="AY12" s="592"/>
      <c r="AZ12" s="592"/>
      <c r="BA12" s="592"/>
      <c r="BB12" s="592"/>
      <c r="BC12" s="592"/>
      <c r="BD12" s="594"/>
      <c r="BE12" s="594"/>
      <c r="BF12" s="594"/>
    </row>
    <row r="13" spans="1:58 14899:14899" ht="15.75" thickBot="1">
      <c r="A13" s="602" t="s">
        <v>1423</v>
      </c>
      <c r="B13" s="603"/>
      <c r="C13" s="584">
        <f t="shared" si="8"/>
        <v>2190</v>
      </c>
      <c r="D13" s="584">
        <v>2968</v>
      </c>
      <c r="E13" s="585">
        <f t="shared" si="9"/>
        <v>1886</v>
      </c>
      <c r="F13" s="585">
        <v>2574</v>
      </c>
      <c r="G13" s="586">
        <f t="shared" si="10"/>
        <v>1734</v>
      </c>
      <c r="H13" s="586">
        <v>2377</v>
      </c>
      <c r="I13" s="587">
        <f t="shared" si="11"/>
        <v>1582</v>
      </c>
      <c r="J13" s="587">
        <v>2180</v>
      </c>
      <c r="K13" s="588">
        <f t="shared" si="12"/>
        <v>1278</v>
      </c>
      <c r="L13" s="588">
        <v>1785</v>
      </c>
      <c r="M13" s="589">
        <f t="shared" si="13"/>
        <v>974</v>
      </c>
      <c r="N13" s="589">
        <v>1391</v>
      </c>
      <c r="O13" s="1124">
        <v>6500</v>
      </c>
      <c r="P13" s="590">
        <f>75*15/144</f>
        <v>7.8125</v>
      </c>
      <c r="Q13" s="572">
        <v>600</v>
      </c>
      <c r="R13" s="1125">
        <v>7500</v>
      </c>
      <c r="S13" s="1125">
        <v>9266.9944211994425</v>
      </c>
      <c r="T13" s="583">
        <v>247.5</v>
      </c>
      <c r="U13" s="583">
        <v>506.25</v>
      </c>
      <c r="V13" s="583">
        <f t="shared" si="0"/>
        <v>650</v>
      </c>
      <c r="W13" s="583">
        <f t="shared" si="1"/>
        <v>975</v>
      </c>
      <c r="X13" s="583">
        <f t="shared" si="2"/>
        <v>2600</v>
      </c>
      <c r="Y13"/>
      <c r="Z13"/>
      <c r="AA13"/>
      <c r="AC13" s="583">
        <f>4*145*3.75</f>
        <v>2175</v>
      </c>
      <c r="AD13" s="583">
        <f t="shared" si="3"/>
        <v>38.625</v>
      </c>
      <c r="AE13" s="583">
        <f t="shared" si="4"/>
        <v>76.875</v>
      </c>
      <c r="AF13" s="583">
        <f t="shared" si="5"/>
        <v>120.375</v>
      </c>
      <c r="AG13" s="583">
        <f t="shared" si="6"/>
        <v>261</v>
      </c>
      <c r="AH13" s="583">
        <f t="shared" si="7"/>
        <v>60.375000000000007</v>
      </c>
      <c r="AS13" s="599"/>
      <c r="AU13" s="592"/>
      <c r="AV13" s="593"/>
      <c r="AW13" s="592"/>
      <c r="AX13" s="593"/>
      <c r="AY13" s="592"/>
      <c r="AZ13" s="592"/>
      <c r="BA13" s="592"/>
      <c r="BB13" s="592"/>
      <c r="BC13" s="592"/>
      <c r="BD13" s="594"/>
      <c r="BE13" s="594"/>
      <c r="BF13" s="594"/>
    </row>
    <row r="14" spans="1:58 14899:14899" ht="15.75" thickBot="1">
      <c r="A14" s="604" t="s">
        <v>1424</v>
      </c>
      <c r="B14" s="605"/>
      <c r="C14" s="606">
        <v>0</v>
      </c>
      <c r="D14" s="584">
        <v>221</v>
      </c>
      <c r="E14" s="585">
        <v>0</v>
      </c>
      <c r="F14" s="585">
        <v>167</v>
      </c>
      <c r="G14" s="586">
        <v>0</v>
      </c>
      <c r="H14" s="586">
        <v>135</v>
      </c>
      <c r="I14" s="583"/>
      <c r="J14" s="583"/>
      <c r="K14" s="583"/>
      <c r="L14" s="583"/>
      <c r="M14" s="583"/>
      <c r="N14" s="583"/>
      <c r="O14" s="1124">
        <v>1011.9375</v>
      </c>
      <c r="P14" s="590">
        <f>25*8/144</f>
        <v>1.3888888888888888</v>
      </c>
      <c r="Q14" s="572">
        <v>125</v>
      </c>
      <c r="R14" s="1124">
        <v>1150.3800000000001</v>
      </c>
      <c r="S14" s="1124">
        <v>1301.0625</v>
      </c>
      <c r="T14" s="583">
        <v>97.5</v>
      </c>
      <c r="U14" s="583">
        <v>198.75</v>
      </c>
      <c r="V14" s="583">
        <f t="shared" si="0"/>
        <v>101.19375000000001</v>
      </c>
      <c r="W14" s="583">
        <f t="shared" si="1"/>
        <v>151.79062500000001</v>
      </c>
      <c r="X14" s="583">
        <f t="shared" si="2"/>
        <v>404.77500000000003</v>
      </c>
      <c r="Y14"/>
      <c r="Z14"/>
      <c r="AA14"/>
      <c r="AC14" s="583">
        <f t="shared" ref="AC14:AC19" si="14">1*125*3.75</f>
        <v>468.75</v>
      </c>
      <c r="AD14" s="583">
        <f t="shared" si="3"/>
        <v>38.625</v>
      </c>
      <c r="AE14" s="583">
        <f t="shared" si="4"/>
        <v>76.875</v>
      </c>
      <c r="AF14" s="583">
        <f t="shared" si="5"/>
        <v>120.375</v>
      </c>
      <c r="AG14" s="583">
        <f t="shared" si="6"/>
        <v>261</v>
      </c>
      <c r="AH14" s="583">
        <f t="shared" si="7"/>
        <v>60.375000000000007</v>
      </c>
      <c r="AS14" s="600"/>
      <c r="AU14" s="592"/>
      <c r="AV14" s="593"/>
      <c r="AW14" s="592"/>
      <c r="AX14" s="593"/>
      <c r="AY14" s="592"/>
      <c r="AZ14" s="592"/>
      <c r="BA14" s="592"/>
      <c r="BB14" s="592"/>
      <c r="BC14" s="592"/>
      <c r="BD14" s="594"/>
      <c r="BE14" s="594"/>
      <c r="BF14" s="594"/>
    </row>
    <row r="15" spans="1:58 14899:14899" ht="15.75" thickBot="1">
      <c r="A15" s="607" t="s">
        <v>1425</v>
      </c>
      <c r="B15" s="608"/>
      <c r="C15" s="606">
        <v>221</v>
      </c>
      <c r="D15" s="584">
        <v>283</v>
      </c>
      <c r="E15" s="585">
        <f>F14</f>
        <v>167</v>
      </c>
      <c r="F15" s="585">
        <v>213</v>
      </c>
      <c r="G15" s="586">
        <f>H14</f>
        <v>135</v>
      </c>
      <c r="H15" s="586">
        <v>175</v>
      </c>
      <c r="I15" s="583"/>
      <c r="J15" s="583"/>
      <c r="K15" s="583"/>
      <c r="L15" s="583"/>
      <c r="M15" s="583"/>
      <c r="N15" s="583"/>
      <c r="O15" s="1124">
        <v>1011.9375</v>
      </c>
      <c r="P15" s="590">
        <f>25*8/144</f>
        <v>1.3888888888888888</v>
      </c>
      <c r="Q15" s="572">
        <v>125</v>
      </c>
      <c r="R15" s="1124">
        <v>1150.3800000000001</v>
      </c>
      <c r="S15" s="1124">
        <v>1301.0625</v>
      </c>
      <c r="T15" s="583">
        <v>116.25</v>
      </c>
      <c r="U15" s="583">
        <v>236.25</v>
      </c>
      <c r="V15" s="583">
        <f t="shared" si="0"/>
        <v>101.19375000000001</v>
      </c>
      <c r="W15" s="583">
        <f t="shared" si="1"/>
        <v>151.79062500000001</v>
      </c>
      <c r="X15" s="583">
        <f t="shared" si="2"/>
        <v>404.77500000000003</v>
      </c>
      <c r="Y15"/>
      <c r="Z15"/>
      <c r="AA15"/>
      <c r="AC15" s="583">
        <f t="shared" si="14"/>
        <v>468.75</v>
      </c>
      <c r="AD15" s="583">
        <f t="shared" si="3"/>
        <v>38.625</v>
      </c>
      <c r="AE15" s="583">
        <f t="shared" si="4"/>
        <v>76.875</v>
      </c>
      <c r="AF15" s="583">
        <f t="shared" si="5"/>
        <v>120.375</v>
      </c>
      <c r="AG15" s="583">
        <f t="shared" si="6"/>
        <v>261</v>
      </c>
      <c r="AH15" s="583">
        <f t="shared" si="7"/>
        <v>60.375000000000007</v>
      </c>
      <c r="AS15" s="600"/>
      <c r="AU15" s="592"/>
      <c r="AV15" s="593"/>
      <c r="AW15" s="592"/>
      <c r="AX15" s="593"/>
      <c r="AY15" s="592"/>
      <c r="AZ15" s="592"/>
      <c r="BA15" s="592"/>
      <c r="BB15" s="592"/>
      <c r="BC15" s="592"/>
      <c r="BD15" s="594"/>
      <c r="BE15" s="594"/>
      <c r="BF15" s="594"/>
    </row>
    <row r="16" spans="1:58 14899:14899" ht="15.75" thickBot="1">
      <c r="A16" s="607" t="s">
        <v>1426</v>
      </c>
      <c r="B16" s="608"/>
      <c r="C16" s="606">
        <v>283</v>
      </c>
      <c r="D16" s="584">
        <v>358</v>
      </c>
      <c r="E16" s="585">
        <f t="shared" ref="E16:E21" si="15">F15</f>
        <v>213</v>
      </c>
      <c r="F16" s="585">
        <v>267</v>
      </c>
      <c r="G16" s="586">
        <f t="shared" ref="G16:G21" si="16">H15</f>
        <v>175</v>
      </c>
      <c r="H16" s="586">
        <v>219</v>
      </c>
      <c r="I16" s="583"/>
      <c r="J16" s="583"/>
      <c r="K16" s="583"/>
      <c r="L16" s="583"/>
      <c r="M16" s="583"/>
      <c r="N16" s="583"/>
      <c r="O16" s="1124">
        <v>1118.25</v>
      </c>
      <c r="P16" s="590">
        <f>25*8/144</f>
        <v>1.3888888888888888</v>
      </c>
      <c r="Q16" s="572">
        <v>250</v>
      </c>
      <c r="R16" s="1124">
        <v>1224.75</v>
      </c>
      <c r="S16" s="1124">
        <v>1437.75</v>
      </c>
      <c r="T16" s="583">
        <v>123.75</v>
      </c>
      <c r="U16" s="583">
        <v>251.25</v>
      </c>
      <c r="V16" s="583">
        <f t="shared" si="0"/>
        <v>111.825</v>
      </c>
      <c r="W16" s="583">
        <f t="shared" si="1"/>
        <v>167.73749999999998</v>
      </c>
      <c r="X16" s="583">
        <f t="shared" si="2"/>
        <v>447.3</v>
      </c>
      <c r="Y16"/>
      <c r="Z16"/>
      <c r="AA16"/>
      <c r="AC16" s="583">
        <f t="shared" si="14"/>
        <v>468.75</v>
      </c>
      <c r="AD16" s="583">
        <f t="shared" si="3"/>
        <v>38.625</v>
      </c>
      <c r="AE16" s="583">
        <f t="shared" si="4"/>
        <v>76.875</v>
      </c>
      <c r="AF16" s="583">
        <f t="shared" si="5"/>
        <v>120.375</v>
      </c>
      <c r="AG16" s="583">
        <f t="shared" si="6"/>
        <v>261</v>
      </c>
      <c r="AH16" s="583">
        <f t="shared" si="7"/>
        <v>60.375000000000007</v>
      </c>
      <c r="AS16" s="601"/>
      <c r="AU16" s="592"/>
      <c r="AV16" s="593"/>
      <c r="AW16" s="592"/>
      <c r="AX16" s="593"/>
      <c r="AY16" s="592"/>
      <c r="AZ16" s="592"/>
      <c r="BA16" s="592"/>
      <c r="BB16" s="592"/>
      <c r="BC16" s="592"/>
      <c r="BD16" s="594"/>
      <c r="BE16" s="594"/>
      <c r="BF16" s="594"/>
    </row>
    <row r="17" spans="1:58" ht="15.75" thickBot="1">
      <c r="A17" s="607" t="s">
        <v>1427</v>
      </c>
      <c r="B17" s="608"/>
      <c r="C17" s="606">
        <v>358</v>
      </c>
      <c r="D17" s="584">
        <v>470</v>
      </c>
      <c r="E17" s="585">
        <f t="shared" si="15"/>
        <v>267</v>
      </c>
      <c r="F17" s="585">
        <v>348</v>
      </c>
      <c r="G17" s="586">
        <f t="shared" si="16"/>
        <v>219</v>
      </c>
      <c r="H17" s="586">
        <v>285</v>
      </c>
      <c r="I17" s="583"/>
      <c r="J17" s="583"/>
      <c r="K17" s="583"/>
      <c r="L17" s="583"/>
      <c r="M17" s="583"/>
      <c r="N17" s="583"/>
      <c r="O17" s="1124">
        <v>1295.4375</v>
      </c>
      <c r="P17" s="590">
        <f>35*8/144</f>
        <v>1.9444444444444444</v>
      </c>
      <c r="Q17" s="572">
        <v>250</v>
      </c>
      <c r="R17" s="1124">
        <v>1418.8125</v>
      </c>
      <c r="S17" s="1124">
        <v>1665.5625</v>
      </c>
      <c r="T17" s="583">
        <v>127.5</v>
      </c>
      <c r="U17" s="583">
        <v>262.5</v>
      </c>
      <c r="V17" s="583">
        <f t="shared" si="0"/>
        <v>129.54375000000002</v>
      </c>
      <c r="W17" s="583">
        <f t="shared" si="1"/>
        <v>194.31562499999998</v>
      </c>
      <c r="X17" s="583">
        <f t="shared" si="2"/>
        <v>518.17500000000007</v>
      </c>
      <c r="Y17"/>
      <c r="Z17"/>
      <c r="AA17"/>
      <c r="AC17" s="583">
        <f t="shared" si="14"/>
        <v>468.75</v>
      </c>
      <c r="AD17" s="583">
        <f t="shared" si="3"/>
        <v>38.625</v>
      </c>
      <c r="AE17" s="583">
        <f t="shared" si="4"/>
        <v>76.875</v>
      </c>
      <c r="AF17" s="583">
        <f t="shared" si="5"/>
        <v>120.375</v>
      </c>
      <c r="AG17" s="583">
        <f t="shared" si="6"/>
        <v>261</v>
      </c>
      <c r="AH17" s="583">
        <f t="shared" si="7"/>
        <v>60.375000000000007</v>
      </c>
      <c r="AS17" s="599"/>
      <c r="AU17" s="592"/>
      <c r="AV17" s="593"/>
      <c r="AW17" s="592"/>
      <c r="AX17" s="593"/>
      <c r="AY17" s="592"/>
      <c r="AZ17" s="592"/>
      <c r="BA17" s="592"/>
      <c r="BB17" s="592"/>
      <c r="BC17" s="592"/>
      <c r="BD17" s="594"/>
      <c r="BE17" s="594"/>
      <c r="BF17" s="594"/>
    </row>
    <row r="18" spans="1:58" ht="15.75" thickBot="1">
      <c r="A18" s="607" t="s">
        <v>1428</v>
      </c>
      <c r="B18" s="608"/>
      <c r="C18" s="606">
        <v>470</v>
      </c>
      <c r="D18" s="584">
        <v>533</v>
      </c>
      <c r="E18" s="585">
        <f t="shared" si="15"/>
        <v>348</v>
      </c>
      <c r="F18" s="585">
        <v>397</v>
      </c>
      <c r="G18" s="586">
        <f t="shared" si="16"/>
        <v>285</v>
      </c>
      <c r="H18" s="586">
        <v>326</v>
      </c>
      <c r="I18" s="583"/>
      <c r="J18" s="583"/>
      <c r="K18" s="583"/>
      <c r="L18" s="583"/>
      <c r="M18" s="583"/>
      <c r="N18" s="583"/>
      <c r="O18" s="1124">
        <v>1295.4375</v>
      </c>
      <c r="P18" s="590">
        <f>35*8/144</f>
        <v>1.9444444444444444</v>
      </c>
      <c r="Q18" s="572">
        <v>250</v>
      </c>
      <c r="R18" s="1124">
        <v>1418.8125</v>
      </c>
      <c r="S18" s="1124">
        <v>1512</v>
      </c>
      <c r="T18" s="583">
        <v>142.5</v>
      </c>
      <c r="U18" s="583">
        <v>288.75</v>
      </c>
      <c r="V18" s="583">
        <f t="shared" si="0"/>
        <v>129.54375000000002</v>
      </c>
      <c r="W18" s="583">
        <f t="shared" si="1"/>
        <v>194.31562499999998</v>
      </c>
      <c r="X18" s="583">
        <f t="shared" si="2"/>
        <v>518.17500000000007</v>
      </c>
      <c r="Y18"/>
      <c r="Z18"/>
      <c r="AA18"/>
      <c r="AC18" s="583">
        <f t="shared" si="14"/>
        <v>468.75</v>
      </c>
      <c r="AD18" s="583">
        <f t="shared" si="3"/>
        <v>38.625</v>
      </c>
      <c r="AE18" s="583">
        <f t="shared" si="4"/>
        <v>76.875</v>
      </c>
      <c r="AF18" s="583">
        <f t="shared" si="5"/>
        <v>120.375</v>
      </c>
      <c r="AG18" s="583">
        <f t="shared" si="6"/>
        <v>261</v>
      </c>
      <c r="AH18" s="583">
        <f t="shared" si="7"/>
        <v>60.375000000000007</v>
      </c>
      <c r="AS18" s="600"/>
      <c r="AU18" s="592"/>
      <c r="AV18" s="593"/>
      <c r="AW18" s="592"/>
      <c r="AX18" s="593"/>
      <c r="AY18" s="592"/>
      <c r="AZ18" s="592"/>
      <c r="BA18" s="592"/>
      <c r="BB18" s="592"/>
      <c r="BC18" s="592"/>
      <c r="BD18" s="594"/>
      <c r="BE18" s="594"/>
      <c r="BF18" s="594"/>
    </row>
    <row r="19" spans="1:58" ht="15.75" thickBot="1">
      <c r="A19" s="607" t="s">
        <v>1429</v>
      </c>
      <c r="B19" s="608"/>
      <c r="C19" s="606">
        <v>533</v>
      </c>
      <c r="D19" s="584">
        <v>600</v>
      </c>
      <c r="E19" s="585">
        <f t="shared" si="15"/>
        <v>397</v>
      </c>
      <c r="F19" s="585">
        <v>451</v>
      </c>
      <c r="G19" s="586">
        <f t="shared" si="16"/>
        <v>326</v>
      </c>
      <c r="H19" s="586">
        <v>371</v>
      </c>
      <c r="I19" s="583"/>
      <c r="J19" s="583"/>
      <c r="K19" s="583"/>
      <c r="L19" s="583"/>
      <c r="M19" s="583"/>
      <c r="N19" s="583"/>
      <c r="O19" s="1124">
        <v>1484.4375</v>
      </c>
      <c r="P19" s="590">
        <f>40.7*8/144</f>
        <v>2.2611111111111111</v>
      </c>
      <c r="Q19" s="572">
        <v>250</v>
      </c>
      <c r="R19" s="1124">
        <v>1625.8125</v>
      </c>
      <c r="S19" s="1124">
        <v>1698.4</v>
      </c>
      <c r="T19" s="583">
        <v>157.5</v>
      </c>
      <c r="U19" s="583">
        <v>322.5</v>
      </c>
      <c r="V19" s="583">
        <f t="shared" si="0"/>
        <v>148.44374999999999</v>
      </c>
      <c r="W19" s="583">
        <f t="shared" si="1"/>
        <v>222.66562500000001</v>
      </c>
      <c r="X19" s="583">
        <f t="shared" si="2"/>
        <v>593.77499999999998</v>
      </c>
      <c r="AC19" s="583">
        <f t="shared" si="14"/>
        <v>468.75</v>
      </c>
      <c r="AD19" s="583">
        <f t="shared" si="3"/>
        <v>38.625</v>
      </c>
      <c r="AE19" s="583">
        <f t="shared" si="4"/>
        <v>76.875</v>
      </c>
      <c r="AF19" s="583">
        <f t="shared" si="5"/>
        <v>120.375</v>
      </c>
      <c r="AG19" s="583">
        <f t="shared" si="6"/>
        <v>261</v>
      </c>
      <c r="AH19" s="583">
        <f t="shared" si="7"/>
        <v>60.375000000000007</v>
      </c>
      <c r="AS19" s="601"/>
      <c r="AU19" s="592"/>
      <c r="AV19" s="593"/>
      <c r="AW19" s="592"/>
      <c r="AX19" s="593"/>
      <c r="AY19" s="592"/>
      <c r="AZ19" s="592"/>
      <c r="BA19" s="592"/>
      <c r="BB19" s="592"/>
      <c r="BC19" s="592"/>
      <c r="BD19" s="594"/>
      <c r="BE19" s="594"/>
      <c r="BF19" s="594"/>
    </row>
    <row r="20" spans="1:58" ht="15.75" thickBot="1">
      <c r="A20" s="607" t="s">
        <v>1430</v>
      </c>
      <c r="B20" s="608"/>
      <c r="C20" s="606">
        <v>600</v>
      </c>
      <c r="D20" s="584">
        <v>907</v>
      </c>
      <c r="E20" s="585">
        <f t="shared" si="15"/>
        <v>451</v>
      </c>
      <c r="F20" s="585">
        <v>676</v>
      </c>
      <c r="G20" s="586">
        <f t="shared" si="16"/>
        <v>371</v>
      </c>
      <c r="H20" s="586">
        <v>554</v>
      </c>
      <c r="I20" s="583"/>
      <c r="J20" s="583"/>
      <c r="K20" s="583"/>
      <c r="L20" s="583"/>
      <c r="M20" s="583"/>
      <c r="N20" s="583"/>
      <c r="O20" s="1124">
        <v>2319.1875</v>
      </c>
      <c r="P20" s="590">
        <f>61.7*8/144</f>
        <v>3.427777777777778</v>
      </c>
      <c r="Q20" s="572">
        <v>500</v>
      </c>
      <c r="R20" s="1124">
        <v>2540.0625</v>
      </c>
      <c r="S20" s="1124">
        <v>2719.3</v>
      </c>
      <c r="T20" s="583">
        <v>221.25</v>
      </c>
      <c r="U20" s="583">
        <v>453.75</v>
      </c>
      <c r="V20" s="583">
        <f t="shared" si="0"/>
        <v>231.91875000000002</v>
      </c>
      <c r="W20" s="583">
        <f t="shared" si="1"/>
        <v>347.87812500000001</v>
      </c>
      <c r="X20" s="583">
        <f t="shared" si="2"/>
        <v>927.67500000000007</v>
      </c>
      <c r="AC20" s="583">
        <f>2*125*3.75</f>
        <v>937.5</v>
      </c>
      <c r="AD20" s="583">
        <f t="shared" si="3"/>
        <v>38.625</v>
      </c>
      <c r="AE20" s="583">
        <f t="shared" si="4"/>
        <v>76.875</v>
      </c>
      <c r="AF20" s="583">
        <f t="shared" si="5"/>
        <v>120.375</v>
      </c>
      <c r="AG20" s="583">
        <f t="shared" si="6"/>
        <v>261</v>
      </c>
      <c r="AH20" s="583">
        <f t="shared" si="7"/>
        <v>60.375000000000007</v>
      </c>
      <c r="AS20" s="599"/>
      <c r="AU20" s="592"/>
      <c r="AV20" s="593"/>
      <c r="AW20" s="592"/>
      <c r="AX20" s="593"/>
      <c r="AY20" s="592"/>
      <c r="AZ20" s="592"/>
      <c r="BA20" s="592"/>
      <c r="BB20" s="592"/>
      <c r="BC20" s="592"/>
      <c r="BD20" s="594"/>
      <c r="BE20" s="594"/>
      <c r="BF20" s="594"/>
    </row>
    <row r="21" spans="1:58" ht="15.75" thickBot="1">
      <c r="A21" s="609" t="s">
        <v>1431</v>
      </c>
      <c r="B21" s="610"/>
      <c r="C21" s="606">
        <v>907</v>
      </c>
      <c r="D21" s="584">
        <v>1009</v>
      </c>
      <c r="E21" s="585">
        <f t="shared" si="15"/>
        <v>676</v>
      </c>
      <c r="F21" s="585">
        <v>762</v>
      </c>
      <c r="G21" s="586">
        <f t="shared" si="16"/>
        <v>554</v>
      </c>
      <c r="H21" s="586">
        <v>632</v>
      </c>
      <c r="I21" s="583"/>
      <c r="J21" s="583"/>
      <c r="K21" s="583"/>
      <c r="L21" s="583"/>
      <c r="M21" s="583"/>
      <c r="N21" s="583"/>
      <c r="O21" s="1124">
        <v>2319.1875</v>
      </c>
      <c r="P21" s="590">
        <f>61.7*8/144</f>
        <v>3.427777777777778</v>
      </c>
      <c r="Q21" s="572">
        <v>500</v>
      </c>
      <c r="R21" s="1124">
        <v>2540.0625</v>
      </c>
      <c r="S21" s="1124">
        <v>2719.3</v>
      </c>
      <c r="T21" s="583">
        <v>228.75</v>
      </c>
      <c r="U21" s="583">
        <v>468.75</v>
      </c>
      <c r="V21" s="583">
        <f t="shared" si="0"/>
        <v>231.91875000000002</v>
      </c>
      <c r="W21" s="583">
        <f t="shared" si="1"/>
        <v>347.87812500000001</v>
      </c>
      <c r="X21" s="583">
        <f t="shared" si="2"/>
        <v>927.67500000000007</v>
      </c>
      <c r="AC21" s="583">
        <f>2*125*3.75</f>
        <v>937.5</v>
      </c>
      <c r="AD21" s="583">
        <f t="shared" si="3"/>
        <v>38.625</v>
      </c>
      <c r="AE21" s="583">
        <f t="shared" si="4"/>
        <v>76.875</v>
      </c>
      <c r="AF21" s="583">
        <f t="shared" si="5"/>
        <v>120.375</v>
      </c>
      <c r="AG21" s="583">
        <f t="shared" si="6"/>
        <v>261</v>
      </c>
      <c r="AH21" s="583">
        <f t="shared" si="7"/>
        <v>60.375000000000007</v>
      </c>
      <c r="AS21" s="600"/>
      <c r="AU21" s="592"/>
      <c r="AV21" s="593"/>
      <c r="AW21" s="592"/>
      <c r="AX21" s="593"/>
      <c r="AY21" s="592"/>
      <c r="AZ21" s="592"/>
      <c r="BA21" s="592"/>
      <c r="BB21" s="592"/>
      <c r="BC21" s="592"/>
      <c r="BD21" s="594"/>
      <c r="BE21" s="594"/>
      <c r="BF21" s="594"/>
    </row>
    <row r="22" spans="1:58" ht="15.75" thickBot="1">
      <c r="A22" s="604" t="s">
        <v>1432</v>
      </c>
      <c r="B22" s="605">
        <v>237</v>
      </c>
      <c r="C22" s="611"/>
      <c r="D22" s="583"/>
      <c r="E22" s="583"/>
      <c r="F22" s="583"/>
      <c r="G22" s="583"/>
      <c r="H22" s="583"/>
      <c r="I22" s="583"/>
      <c r="J22" s="583"/>
      <c r="K22" s="583"/>
      <c r="L22" s="583"/>
      <c r="M22" s="583"/>
      <c r="N22" s="583"/>
      <c r="O22" s="1124">
        <v>1767.9375</v>
      </c>
      <c r="P22" s="590">
        <f>25*8/144</f>
        <v>1.3888888888888888</v>
      </c>
      <c r="Q22" s="572" t="s">
        <v>1433</v>
      </c>
      <c r="R22" s="1124">
        <v>1936.3124999999998</v>
      </c>
      <c r="S22" s="1124">
        <v>2273.0625000000005</v>
      </c>
      <c r="T22" s="583">
        <v>97.5</v>
      </c>
      <c r="U22" s="583">
        <v>198.75</v>
      </c>
      <c r="V22" s="583">
        <f t="shared" si="0"/>
        <v>176.79375000000002</v>
      </c>
      <c r="W22" s="583">
        <f t="shared" si="1"/>
        <v>265.19062500000001</v>
      </c>
      <c r="X22" s="583">
        <f t="shared" si="2"/>
        <v>707.17500000000007</v>
      </c>
      <c r="AC22" s="583">
        <f t="shared" ref="AC22:AC27" si="17">1*125*3.75</f>
        <v>468.75</v>
      </c>
      <c r="AD22" s="583">
        <f t="shared" si="3"/>
        <v>38.625</v>
      </c>
      <c r="AE22" s="583">
        <f t="shared" si="4"/>
        <v>76.875</v>
      </c>
      <c r="AF22" s="583">
        <f t="shared" si="5"/>
        <v>120.375</v>
      </c>
      <c r="AG22" s="583">
        <f t="shared" si="6"/>
        <v>261</v>
      </c>
      <c r="AH22" s="583">
        <f t="shared" si="7"/>
        <v>60.375000000000007</v>
      </c>
      <c r="AS22" s="600"/>
      <c r="AU22" s="592"/>
      <c r="AV22" s="593"/>
      <c r="AW22" s="592"/>
      <c r="AX22" s="593"/>
      <c r="AY22" s="592"/>
      <c r="AZ22" s="592"/>
      <c r="BA22" s="592"/>
      <c r="BB22" s="592"/>
      <c r="BC22" s="592"/>
      <c r="BD22" s="594"/>
      <c r="BE22" s="594"/>
      <c r="BF22" s="594"/>
    </row>
    <row r="23" spans="1:58" ht="15.75" thickBot="1">
      <c r="A23" s="607" t="s">
        <v>1434</v>
      </c>
      <c r="B23" s="608">
        <v>305</v>
      </c>
      <c r="C23" s="611"/>
      <c r="D23" s="583"/>
      <c r="E23" s="583"/>
      <c r="F23" s="583"/>
      <c r="G23" s="583"/>
      <c r="H23" s="583"/>
      <c r="I23" s="583"/>
      <c r="J23" s="583"/>
      <c r="K23" s="583"/>
      <c r="L23" s="583"/>
      <c r="M23" s="583"/>
      <c r="N23" s="583"/>
      <c r="O23" s="1124">
        <v>1811.25</v>
      </c>
      <c r="P23" s="590">
        <f>25*8/144</f>
        <v>1.3888888888888888</v>
      </c>
      <c r="Q23" s="572" t="s">
        <v>1433</v>
      </c>
      <c r="R23" s="1124">
        <v>1983.7499999999998</v>
      </c>
      <c r="S23" s="1124">
        <v>2328.7500000000005</v>
      </c>
      <c r="T23" s="583">
        <v>116.25</v>
      </c>
      <c r="U23" s="583">
        <v>236.25</v>
      </c>
      <c r="V23" s="583">
        <f t="shared" si="0"/>
        <v>181.125</v>
      </c>
      <c r="W23" s="583">
        <f t="shared" si="1"/>
        <v>271.6875</v>
      </c>
      <c r="X23" s="583">
        <f t="shared" si="2"/>
        <v>724.5</v>
      </c>
      <c r="AC23" s="583">
        <f t="shared" si="17"/>
        <v>468.75</v>
      </c>
      <c r="AD23" s="583">
        <f t="shared" si="3"/>
        <v>38.625</v>
      </c>
      <c r="AE23" s="583">
        <f t="shared" si="4"/>
        <v>76.875</v>
      </c>
      <c r="AF23" s="583">
        <f t="shared" si="5"/>
        <v>120.375</v>
      </c>
      <c r="AG23" s="583">
        <f t="shared" si="6"/>
        <v>261</v>
      </c>
      <c r="AH23" s="583">
        <f t="shared" si="7"/>
        <v>60.375000000000007</v>
      </c>
      <c r="AS23" s="601"/>
      <c r="AU23" s="592"/>
      <c r="AV23" s="593"/>
      <c r="AW23" s="592"/>
      <c r="AX23" s="593"/>
      <c r="AY23" s="592"/>
      <c r="AZ23" s="592"/>
      <c r="BA23" s="592"/>
      <c r="BB23" s="592"/>
      <c r="BC23" s="592"/>
      <c r="BD23" s="594"/>
      <c r="BE23" s="594"/>
      <c r="BF23" s="594"/>
    </row>
    <row r="24" spans="1:58" ht="15.75" thickBot="1">
      <c r="A24" s="607" t="s">
        <v>1414</v>
      </c>
      <c r="B24" s="608">
        <v>386</v>
      </c>
      <c r="C24" s="611"/>
      <c r="D24" s="583"/>
      <c r="E24" s="583"/>
      <c r="F24" s="583"/>
      <c r="G24" s="583"/>
      <c r="H24" s="583"/>
      <c r="I24" s="583"/>
      <c r="J24" s="583"/>
      <c r="K24" s="583"/>
      <c r="L24" s="583"/>
      <c r="M24" s="583"/>
      <c r="N24" s="583"/>
      <c r="O24" s="1124">
        <v>1901.8125</v>
      </c>
      <c r="P24" s="590">
        <f>25*8/144</f>
        <v>1.3888888888888888</v>
      </c>
      <c r="Q24" s="572" t="s">
        <v>1433</v>
      </c>
      <c r="R24" s="1124">
        <v>2082.9375</v>
      </c>
      <c r="S24" s="1124">
        <v>2445.1875</v>
      </c>
      <c r="T24" s="583">
        <v>123.75</v>
      </c>
      <c r="U24" s="583">
        <v>251.25</v>
      </c>
      <c r="V24" s="583">
        <f t="shared" si="0"/>
        <v>190.18125000000001</v>
      </c>
      <c r="W24" s="583">
        <f t="shared" si="1"/>
        <v>285.27187499999997</v>
      </c>
      <c r="X24" s="583">
        <f t="shared" si="2"/>
        <v>760.72500000000002</v>
      </c>
      <c r="AC24" s="583">
        <f t="shared" si="17"/>
        <v>468.75</v>
      </c>
      <c r="AD24" s="583">
        <f t="shared" si="3"/>
        <v>38.625</v>
      </c>
      <c r="AE24" s="583">
        <f t="shared" si="4"/>
        <v>76.875</v>
      </c>
      <c r="AF24" s="583">
        <f t="shared" si="5"/>
        <v>120.375</v>
      </c>
      <c r="AG24" s="583">
        <f t="shared" si="6"/>
        <v>261</v>
      </c>
      <c r="AH24" s="583">
        <f t="shared" si="7"/>
        <v>60.375000000000007</v>
      </c>
      <c r="AS24" s="600"/>
      <c r="AU24" s="592"/>
      <c r="AV24" s="593"/>
      <c r="AW24" s="592"/>
      <c r="AX24" s="593"/>
      <c r="AY24" s="592"/>
      <c r="AZ24" s="592"/>
      <c r="BA24" s="592"/>
      <c r="BB24" s="592"/>
      <c r="BC24" s="592"/>
      <c r="BD24" s="594"/>
      <c r="BE24" s="594"/>
      <c r="BF24" s="594"/>
    </row>
    <row r="25" spans="1:58" ht="15.75" thickBot="1">
      <c r="A25" s="607" t="s">
        <v>1417</v>
      </c>
      <c r="B25" s="608">
        <v>507</v>
      </c>
      <c r="C25" s="611"/>
      <c r="D25" s="583"/>
      <c r="E25" s="583"/>
      <c r="F25" s="583"/>
      <c r="G25" s="583"/>
      <c r="H25" s="583"/>
      <c r="I25" s="583"/>
      <c r="J25" s="583"/>
      <c r="K25" s="583"/>
      <c r="L25" s="583"/>
      <c r="M25" s="583"/>
      <c r="N25" s="583"/>
      <c r="O25" s="1124">
        <v>2138.0625</v>
      </c>
      <c r="P25" s="590">
        <f>35*8/144</f>
        <v>1.9444444444444444</v>
      </c>
      <c r="Q25" s="572" t="s">
        <v>1433</v>
      </c>
      <c r="R25" s="1124">
        <v>2341.6874999999995</v>
      </c>
      <c r="S25" s="1124">
        <v>2748.9375</v>
      </c>
      <c r="T25" s="583">
        <v>127.5</v>
      </c>
      <c r="U25" s="583">
        <v>262.5</v>
      </c>
      <c r="V25" s="583">
        <f t="shared" si="0"/>
        <v>213.80625000000001</v>
      </c>
      <c r="W25" s="583">
        <f t="shared" si="1"/>
        <v>320.70937499999997</v>
      </c>
      <c r="X25" s="583">
        <f t="shared" si="2"/>
        <v>855.22500000000002</v>
      </c>
      <c r="AC25" s="583">
        <f t="shared" si="17"/>
        <v>468.75</v>
      </c>
      <c r="AD25" s="583">
        <f t="shared" si="3"/>
        <v>38.625</v>
      </c>
      <c r="AE25" s="583">
        <f t="shared" si="4"/>
        <v>76.875</v>
      </c>
      <c r="AF25" s="583">
        <f t="shared" si="5"/>
        <v>120.375</v>
      </c>
      <c r="AG25" s="583">
        <f t="shared" si="6"/>
        <v>261</v>
      </c>
      <c r="AH25" s="583">
        <f t="shared" si="7"/>
        <v>60.375000000000007</v>
      </c>
      <c r="AS25" s="600"/>
      <c r="AU25" s="592"/>
      <c r="AV25" s="593"/>
      <c r="AW25" s="592"/>
      <c r="AX25" s="593"/>
      <c r="AY25" s="592"/>
      <c r="AZ25" s="592"/>
      <c r="BA25" s="592"/>
      <c r="BB25" s="592"/>
      <c r="BC25" s="592"/>
      <c r="BD25" s="594"/>
      <c r="BE25" s="594"/>
      <c r="BF25" s="594"/>
    </row>
    <row r="26" spans="1:58" ht="15.75" thickBot="1">
      <c r="A26" s="607" t="s">
        <v>1435</v>
      </c>
      <c r="B26" s="608">
        <v>575</v>
      </c>
      <c r="C26" s="611"/>
      <c r="D26" s="583"/>
      <c r="E26" s="583"/>
      <c r="F26" s="583"/>
      <c r="G26" s="583"/>
      <c r="H26" s="583"/>
      <c r="I26" s="583"/>
      <c r="J26" s="583"/>
      <c r="K26" s="583"/>
      <c r="L26" s="583"/>
      <c r="M26" s="583"/>
      <c r="N26" s="583"/>
      <c r="O26" s="1124">
        <v>2138.0625</v>
      </c>
      <c r="P26" s="590">
        <f>35*8/144</f>
        <v>1.9444444444444444</v>
      </c>
      <c r="Q26" s="572" t="s">
        <v>1433</v>
      </c>
      <c r="R26" s="1124">
        <v>2341.6874999999995</v>
      </c>
      <c r="S26" s="1124">
        <v>2748.9375</v>
      </c>
      <c r="T26" s="583">
        <v>142.5</v>
      </c>
      <c r="U26" s="583">
        <v>288.75</v>
      </c>
      <c r="V26" s="583">
        <f t="shared" si="0"/>
        <v>213.80625000000001</v>
      </c>
      <c r="W26" s="583">
        <f t="shared" si="1"/>
        <v>320.70937499999997</v>
      </c>
      <c r="X26" s="583">
        <f t="shared" si="2"/>
        <v>855.22500000000002</v>
      </c>
      <c r="AC26" s="583">
        <f t="shared" si="17"/>
        <v>468.75</v>
      </c>
      <c r="AD26" s="583">
        <f t="shared" si="3"/>
        <v>38.625</v>
      </c>
      <c r="AE26" s="583">
        <f t="shared" si="4"/>
        <v>76.875</v>
      </c>
      <c r="AF26" s="583">
        <f t="shared" si="5"/>
        <v>120.375</v>
      </c>
      <c r="AG26" s="583">
        <f t="shared" si="6"/>
        <v>261</v>
      </c>
      <c r="AH26" s="583">
        <f t="shared" si="7"/>
        <v>60.375000000000007</v>
      </c>
      <c r="AS26" s="600"/>
      <c r="AT26" s="612"/>
      <c r="AU26" s="592"/>
      <c r="AV26" s="593"/>
      <c r="AW26" s="592"/>
      <c r="AX26" s="593"/>
      <c r="AY26" s="592"/>
      <c r="AZ26" s="592"/>
      <c r="BA26" s="592"/>
      <c r="BB26" s="592"/>
      <c r="BC26" s="592"/>
      <c r="BD26" s="594"/>
      <c r="BE26" s="594"/>
      <c r="BF26" s="594"/>
    </row>
    <row r="27" spans="1:58" ht="15.75" thickBot="1">
      <c r="A27" s="607" t="s">
        <v>1397</v>
      </c>
      <c r="B27" s="608">
        <v>987</v>
      </c>
      <c r="C27" s="611"/>
      <c r="D27" s="583"/>
      <c r="E27" s="583"/>
      <c r="F27" s="583"/>
      <c r="G27" s="583"/>
      <c r="H27" s="583"/>
      <c r="I27" s="583"/>
      <c r="J27" s="583"/>
      <c r="K27" s="583"/>
      <c r="L27" s="583"/>
      <c r="M27" s="583"/>
      <c r="N27" s="583"/>
      <c r="O27" s="1124">
        <v>2437.3125</v>
      </c>
      <c r="P27" s="590">
        <f>40.7*8/144</f>
        <v>2.2611111111111111</v>
      </c>
      <c r="Q27" s="572" t="s">
        <v>1433</v>
      </c>
      <c r="R27" s="1124">
        <v>2669.4375</v>
      </c>
      <c r="S27" s="1124">
        <v>3133.6875</v>
      </c>
      <c r="T27" s="583">
        <v>157.5</v>
      </c>
      <c r="U27" s="583">
        <v>322.5</v>
      </c>
      <c r="V27" s="583">
        <f t="shared" si="0"/>
        <v>243.73125000000002</v>
      </c>
      <c r="W27" s="583">
        <f t="shared" si="1"/>
        <v>365.59687500000001</v>
      </c>
      <c r="X27" s="583">
        <f t="shared" si="2"/>
        <v>974.92500000000007</v>
      </c>
      <c r="AC27" s="583">
        <f t="shared" si="17"/>
        <v>468.75</v>
      </c>
      <c r="AD27" s="583">
        <f t="shared" si="3"/>
        <v>38.625</v>
      </c>
      <c r="AE27" s="583">
        <f t="shared" si="4"/>
        <v>76.875</v>
      </c>
      <c r="AF27" s="583">
        <f t="shared" si="5"/>
        <v>120.375</v>
      </c>
      <c r="AG27" s="583">
        <f t="shared" si="6"/>
        <v>261</v>
      </c>
      <c r="AH27" s="583">
        <f t="shared" si="7"/>
        <v>60.375000000000007</v>
      </c>
      <c r="AS27" s="600"/>
      <c r="AU27" s="592"/>
      <c r="AV27" s="593"/>
      <c r="AW27" s="592"/>
      <c r="AX27" s="593"/>
      <c r="AY27" s="592"/>
      <c r="AZ27" s="592"/>
      <c r="BA27" s="592"/>
      <c r="BB27" s="592"/>
      <c r="BC27" s="592"/>
      <c r="BD27" s="594"/>
      <c r="BE27" s="594"/>
      <c r="BF27" s="594"/>
    </row>
    <row r="28" spans="1:58" ht="15.75" thickBot="1">
      <c r="A28" s="607" t="s">
        <v>1401</v>
      </c>
      <c r="B28" s="608">
        <v>987</v>
      </c>
      <c r="C28" s="611"/>
      <c r="D28" s="583"/>
      <c r="E28" s="583"/>
      <c r="F28" s="583"/>
      <c r="G28" s="583"/>
      <c r="H28" s="583"/>
      <c r="I28" s="583"/>
      <c r="J28" s="583"/>
      <c r="K28" s="583"/>
      <c r="L28" s="583"/>
      <c r="M28" s="583"/>
      <c r="N28" s="583"/>
      <c r="O28" s="1124">
        <v>3378.375</v>
      </c>
      <c r="P28" s="590">
        <f>61.7*8/144</f>
        <v>3.427777777777778</v>
      </c>
      <c r="Q28" s="572" t="s">
        <v>1433</v>
      </c>
      <c r="R28" s="1124">
        <v>3700.1249999999995</v>
      </c>
      <c r="S28" s="1124">
        <v>4343.6250000000009</v>
      </c>
      <c r="T28" s="583">
        <v>221.25</v>
      </c>
      <c r="U28" s="583">
        <v>453.75</v>
      </c>
      <c r="V28" s="583">
        <f t="shared" si="0"/>
        <v>337.83750000000003</v>
      </c>
      <c r="W28" s="583">
        <f t="shared" si="1"/>
        <v>506.75624999999997</v>
      </c>
      <c r="X28" s="583">
        <f t="shared" si="2"/>
        <v>1351.3500000000001</v>
      </c>
      <c r="AC28" s="583">
        <f>2*125*3.75</f>
        <v>937.5</v>
      </c>
      <c r="AD28" s="583">
        <f t="shared" si="3"/>
        <v>38.625</v>
      </c>
      <c r="AE28" s="583">
        <f t="shared" si="4"/>
        <v>76.875</v>
      </c>
      <c r="AF28" s="583">
        <f t="shared" si="5"/>
        <v>120.375</v>
      </c>
      <c r="AG28" s="583">
        <f t="shared" si="6"/>
        <v>261</v>
      </c>
      <c r="AH28" s="583">
        <f t="shared" si="7"/>
        <v>60.375000000000007</v>
      </c>
      <c r="AS28" s="600"/>
      <c r="AU28" s="592"/>
      <c r="AV28" s="593"/>
      <c r="AW28" s="592"/>
      <c r="AX28" s="593"/>
      <c r="AY28" s="592"/>
      <c r="AZ28" s="592"/>
      <c r="BA28" s="592"/>
      <c r="BB28" s="592"/>
      <c r="BC28" s="592"/>
      <c r="BD28" s="594"/>
      <c r="BE28" s="594"/>
      <c r="BF28" s="594"/>
    </row>
    <row r="29" spans="1:58" ht="15.75" thickBot="1">
      <c r="A29" s="613" t="s">
        <v>1405</v>
      </c>
      <c r="B29" s="614">
        <v>1085</v>
      </c>
      <c r="C29" s="611"/>
      <c r="D29" s="583"/>
      <c r="E29" s="583"/>
      <c r="F29" s="583"/>
      <c r="G29" s="583"/>
      <c r="H29" s="583"/>
      <c r="I29" s="583"/>
      <c r="J29" s="583"/>
      <c r="K29" s="583"/>
      <c r="L29" s="583"/>
      <c r="M29" s="583"/>
      <c r="N29" s="583"/>
      <c r="O29" s="1124">
        <v>3378.375</v>
      </c>
      <c r="P29" s="590">
        <f>61.7*8/144</f>
        <v>3.427777777777778</v>
      </c>
      <c r="Q29" s="572" t="s">
        <v>1433</v>
      </c>
      <c r="R29" s="1124">
        <v>3700.1249999999995</v>
      </c>
      <c r="S29" s="1124">
        <v>4343.6250000000009</v>
      </c>
      <c r="T29" s="583">
        <v>228.75</v>
      </c>
      <c r="U29" s="583">
        <v>468.75</v>
      </c>
      <c r="V29" s="583">
        <f t="shared" si="0"/>
        <v>337.83750000000003</v>
      </c>
      <c r="W29" s="583">
        <f t="shared" si="1"/>
        <v>506.75624999999997</v>
      </c>
      <c r="X29" s="583">
        <f t="shared" si="2"/>
        <v>1351.3500000000001</v>
      </c>
      <c r="AC29" s="583">
        <f>2*125*3.75</f>
        <v>937.5</v>
      </c>
      <c r="AD29" s="583">
        <f t="shared" si="3"/>
        <v>38.625</v>
      </c>
      <c r="AE29" s="583">
        <f t="shared" si="4"/>
        <v>76.875</v>
      </c>
      <c r="AF29" s="583">
        <f t="shared" si="5"/>
        <v>120.375</v>
      </c>
      <c r="AG29" s="583">
        <f t="shared" si="6"/>
        <v>261</v>
      </c>
      <c r="AH29" s="583">
        <f t="shared" si="7"/>
        <v>60.375000000000007</v>
      </c>
      <c r="AS29" s="600"/>
      <c r="AU29" s="592"/>
      <c r="AV29" s="593"/>
      <c r="AW29" s="592"/>
      <c r="AX29" s="593"/>
      <c r="AY29" s="592"/>
      <c r="AZ29" s="592"/>
      <c r="BA29" s="592"/>
      <c r="BB29" s="592"/>
      <c r="BC29" s="592"/>
      <c r="BD29" s="594"/>
      <c r="BE29" s="594"/>
      <c r="BF29" s="594"/>
    </row>
    <row r="30" spans="1:58" ht="15.75" thickBot="1">
      <c r="A30" s="604" t="s">
        <v>1436</v>
      </c>
      <c r="B30" s="605">
        <v>586</v>
      </c>
      <c r="C30" s="611"/>
      <c r="D30" s="583"/>
      <c r="E30" s="583"/>
      <c r="F30" s="583"/>
      <c r="G30" s="583"/>
      <c r="H30" s="583"/>
      <c r="I30" s="583"/>
      <c r="J30" s="583"/>
      <c r="K30" s="583"/>
      <c r="L30" s="583"/>
      <c r="M30" s="583"/>
      <c r="N30" s="583"/>
      <c r="O30" s="1126">
        <v>2660.1749999999997</v>
      </c>
      <c r="P30" s="590">
        <f>21*15/144</f>
        <v>2.1875</v>
      </c>
      <c r="Q30" s="572" t="s">
        <v>1433</v>
      </c>
      <c r="R30" s="1126">
        <v>3395.9680851063827</v>
      </c>
      <c r="S30" s="1126">
        <v>3993.4069148936169</v>
      </c>
      <c r="T30" s="583">
        <v>101.25</v>
      </c>
      <c r="U30" s="583">
        <v>210</v>
      </c>
      <c r="V30" s="583">
        <f t="shared" si="0"/>
        <v>266.01749999999998</v>
      </c>
      <c r="W30" s="583">
        <f t="shared" si="1"/>
        <v>399.02624999999995</v>
      </c>
      <c r="X30" s="583">
        <f t="shared" si="2"/>
        <v>1064.07</v>
      </c>
      <c r="AC30" s="583">
        <f>1*145*3.75</f>
        <v>543.75</v>
      </c>
      <c r="AD30" s="583">
        <f t="shared" si="3"/>
        <v>38.625</v>
      </c>
      <c r="AE30" s="583">
        <f t="shared" si="4"/>
        <v>76.875</v>
      </c>
      <c r="AF30" s="583">
        <f t="shared" si="5"/>
        <v>120.375</v>
      </c>
      <c r="AG30" s="583">
        <f t="shared" si="6"/>
        <v>261</v>
      </c>
      <c r="AH30" s="583">
        <f t="shared" si="7"/>
        <v>60.375000000000007</v>
      </c>
      <c r="AS30" s="600"/>
      <c r="AU30" s="592"/>
      <c r="AV30" s="593"/>
      <c r="AW30" s="592"/>
      <c r="AX30" s="593"/>
      <c r="AY30" s="592"/>
      <c r="AZ30" s="592"/>
      <c r="BA30" s="592"/>
      <c r="BB30" s="592"/>
      <c r="BC30" s="592"/>
      <c r="BD30" s="594"/>
      <c r="BE30" s="594"/>
      <c r="BF30" s="594"/>
    </row>
    <row r="31" spans="1:58" ht="15.75" thickBot="1">
      <c r="A31" s="607" t="s">
        <v>1403</v>
      </c>
      <c r="B31" s="608">
        <v>739</v>
      </c>
      <c r="C31" s="611"/>
      <c r="D31" s="583"/>
      <c r="E31" s="583"/>
      <c r="F31" s="583"/>
      <c r="G31" s="583"/>
      <c r="H31" s="583"/>
      <c r="I31" s="583"/>
      <c r="J31" s="583"/>
      <c r="K31" s="583"/>
      <c r="L31" s="583"/>
      <c r="M31" s="583"/>
      <c r="N31" s="583"/>
      <c r="O31" s="1126">
        <v>2660.1749999999997</v>
      </c>
      <c r="P31" s="590">
        <f>21*15/144</f>
        <v>2.1875</v>
      </c>
      <c r="Q31" s="572" t="s">
        <v>1433</v>
      </c>
      <c r="R31" s="1126">
        <v>3395.9680851063827</v>
      </c>
      <c r="S31" s="1126">
        <v>3993.4069148936169</v>
      </c>
      <c r="T31" s="583">
        <v>101.25</v>
      </c>
      <c r="U31" s="583">
        <v>210</v>
      </c>
      <c r="V31" s="583">
        <f t="shared" si="0"/>
        <v>266.01749999999998</v>
      </c>
      <c r="W31" s="583">
        <f t="shared" si="1"/>
        <v>399.02624999999995</v>
      </c>
      <c r="X31" s="583">
        <f t="shared" si="2"/>
        <v>1064.07</v>
      </c>
      <c r="AC31" s="583">
        <f>1*145*3.75</f>
        <v>543.75</v>
      </c>
      <c r="AD31" s="583">
        <f t="shared" si="3"/>
        <v>38.625</v>
      </c>
      <c r="AE31" s="583">
        <f t="shared" si="4"/>
        <v>76.875</v>
      </c>
      <c r="AF31" s="583">
        <f t="shared" si="5"/>
        <v>120.375</v>
      </c>
      <c r="AG31" s="583">
        <f t="shared" si="6"/>
        <v>261</v>
      </c>
      <c r="AH31" s="583">
        <f t="shared" si="7"/>
        <v>60.375000000000007</v>
      </c>
      <c r="AS31" s="601"/>
      <c r="AU31" s="592"/>
      <c r="AV31" s="593"/>
      <c r="AW31" s="592"/>
      <c r="AX31" s="593"/>
      <c r="AY31" s="592"/>
      <c r="AZ31" s="592"/>
      <c r="BA31" s="592"/>
      <c r="BB31" s="592"/>
      <c r="BC31" s="592"/>
      <c r="BD31" s="594"/>
      <c r="BE31" s="594"/>
      <c r="BF31" s="594"/>
    </row>
    <row r="32" spans="1:58" ht="15.75" thickBot="1">
      <c r="A32" s="607" t="s">
        <v>1407</v>
      </c>
      <c r="B32" s="608">
        <v>898</v>
      </c>
      <c r="C32" s="611"/>
      <c r="D32" s="583"/>
      <c r="E32" s="583"/>
      <c r="F32" s="583"/>
      <c r="G32" s="583"/>
      <c r="H32" s="583"/>
      <c r="I32" s="583"/>
      <c r="J32" s="583"/>
      <c r="K32" s="583"/>
      <c r="L32" s="583"/>
      <c r="M32" s="583"/>
      <c r="N32" s="583"/>
      <c r="O32" s="1126">
        <v>2660.1749999999997</v>
      </c>
      <c r="P32" s="590">
        <f>21*15/144</f>
        <v>2.1875</v>
      </c>
      <c r="Q32" s="572" t="s">
        <v>1433</v>
      </c>
      <c r="R32" s="1126">
        <v>3395.9680851063827</v>
      </c>
      <c r="S32" s="1126">
        <v>3993.4069148936169</v>
      </c>
      <c r="T32" s="583">
        <v>101.25</v>
      </c>
      <c r="U32" s="583">
        <v>210</v>
      </c>
      <c r="V32" s="583">
        <f t="shared" si="0"/>
        <v>266.01749999999998</v>
      </c>
      <c r="W32" s="583">
        <f t="shared" si="1"/>
        <v>399.02624999999995</v>
      </c>
      <c r="X32" s="583">
        <f t="shared" si="2"/>
        <v>1064.07</v>
      </c>
      <c r="AC32" s="583">
        <f>1*145*3.75</f>
        <v>543.75</v>
      </c>
      <c r="AD32" s="583">
        <f t="shared" si="3"/>
        <v>38.625</v>
      </c>
      <c r="AE32" s="583">
        <f t="shared" si="4"/>
        <v>76.875</v>
      </c>
      <c r="AF32" s="583">
        <f t="shared" si="5"/>
        <v>120.375</v>
      </c>
      <c r="AG32" s="583">
        <f t="shared" si="6"/>
        <v>261</v>
      </c>
      <c r="AH32" s="583">
        <f t="shared" si="7"/>
        <v>60.375000000000007</v>
      </c>
      <c r="AU32" s="592"/>
      <c r="AV32" s="593"/>
      <c r="AW32" s="592"/>
      <c r="AX32" s="593"/>
      <c r="AY32" s="592"/>
      <c r="AZ32" s="592"/>
      <c r="BA32" s="592"/>
      <c r="BB32" s="592"/>
      <c r="BC32" s="592"/>
      <c r="BD32" s="594"/>
      <c r="BE32" s="594"/>
      <c r="BF32" s="594"/>
    </row>
    <row r="33" spans="1:58" ht="15.75" thickBot="1">
      <c r="A33" s="607" t="s">
        <v>1409</v>
      </c>
      <c r="B33" s="608">
        <v>1208</v>
      </c>
      <c r="C33" s="611"/>
      <c r="D33" s="583"/>
      <c r="E33" s="583"/>
      <c r="F33" s="583"/>
      <c r="G33" s="583"/>
      <c r="H33" s="583"/>
      <c r="I33" s="583"/>
      <c r="J33" s="583"/>
      <c r="K33" s="583"/>
      <c r="L33" s="583"/>
      <c r="M33" s="583"/>
      <c r="N33" s="583"/>
      <c r="O33" s="1126">
        <v>4070.7573529411761</v>
      </c>
      <c r="P33" s="590">
        <f>35*15/144</f>
        <v>3.6458333333333335</v>
      </c>
      <c r="Q33" s="572" t="s">
        <v>1433</v>
      </c>
      <c r="R33" s="1126">
        <v>5115.3529411764703</v>
      </c>
      <c r="S33" s="1126">
        <v>5970.0220588235288</v>
      </c>
      <c r="T33" s="583">
        <v>131.25</v>
      </c>
      <c r="U33" s="583">
        <v>270</v>
      </c>
      <c r="V33" s="583">
        <f t="shared" si="0"/>
        <v>407.07573529411764</v>
      </c>
      <c r="W33" s="583">
        <f t="shared" si="1"/>
        <v>610.6136029411764</v>
      </c>
      <c r="X33" s="583">
        <f t="shared" si="2"/>
        <v>1628.3029411764705</v>
      </c>
      <c r="AC33" s="583">
        <f>2*145*3.75</f>
        <v>1087.5</v>
      </c>
      <c r="AD33" s="583">
        <f t="shared" si="3"/>
        <v>38.625</v>
      </c>
      <c r="AE33" s="583">
        <f t="shared" si="4"/>
        <v>76.875</v>
      </c>
      <c r="AF33" s="583">
        <f t="shared" si="5"/>
        <v>120.375</v>
      </c>
      <c r="AG33" s="583">
        <f t="shared" si="6"/>
        <v>261</v>
      </c>
      <c r="AH33" s="583">
        <f t="shared" si="7"/>
        <v>60.375000000000007</v>
      </c>
      <c r="AU33" s="592"/>
      <c r="AV33" s="593"/>
      <c r="AW33" s="592"/>
      <c r="AX33" s="593"/>
      <c r="AY33" s="592"/>
      <c r="AZ33" s="592"/>
      <c r="BA33" s="592"/>
      <c r="BB33" s="592"/>
      <c r="BC33" s="592"/>
      <c r="BD33" s="594"/>
      <c r="BE33" s="594"/>
      <c r="BF33" s="594"/>
    </row>
    <row r="34" spans="1:58" ht="15.75" thickBot="1">
      <c r="A34" s="607" t="s">
        <v>1411</v>
      </c>
      <c r="B34" s="608">
        <v>1401</v>
      </c>
      <c r="C34" s="611"/>
      <c r="D34" s="583"/>
      <c r="E34" s="583"/>
      <c r="F34" s="583"/>
      <c r="G34" s="583"/>
      <c r="H34" s="583"/>
      <c r="I34" s="583"/>
      <c r="J34" s="583"/>
      <c r="K34" s="583"/>
      <c r="L34" s="583"/>
      <c r="M34" s="583"/>
      <c r="N34" s="583"/>
      <c r="O34" s="1126">
        <v>4070.7573529411761</v>
      </c>
      <c r="P34" s="590">
        <f>35*15/144</f>
        <v>3.6458333333333335</v>
      </c>
      <c r="Q34" s="572" t="s">
        <v>1433</v>
      </c>
      <c r="R34" s="1126">
        <v>5115.3529411764703</v>
      </c>
      <c r="S34" s="1126">
        <v>5970.0220588235288</v>
      </c>
      <c r="T34" s="583">
        <v>131.25</v>
      </c>
      <c r="U34" s="583">
        <v>270</v>
      </c>
      <c r="V34" s="583">
        <f t="shared" si="0"/>
        <v>407.07573529411764</v>
      </c>
      <c r="W34" s="583">
        <f t="shared" si="1"/>
        <v>610.6136029411764</v>
      </c>
      <c r="X34" s="583">
        <f t="shared" si="2"/>
        <v>1628.3029411764705</v>
      </c>
      <c r="AC34" s="583">
        <f>2*145*3.75</f>
        <v>1087.5</v>
      </c>
      <c r="AD34" s="583">
        <f t="shared" si="3"/>
        <v>38.625</v>
      </c>
      <c r="AE34" s="583">
        <f t="shared" si="4"/>
        <v>76.875</v>
      </c>
      <c r="AF34" s="583">
        <f t="shared" si="5"/>
        <v>120.375</v>
      </c>
      <c r="AG34" s="583">
        <f t="shared" si="6"/>
        <v>261</v>
      </c>
      <c r="AH34" s="583">
        <f t="shared" si="7"/>
        <v>60.375000000000007</v>
      </c>
      <c r="AU34" s="583"/>
      <c r="AV34" s="1094"/>
      <c r="AW34" s="592"/>
      <c r="AX34" s="583"/>
      <c r="AY34" s="592"/>
      <c r="AZ34" s="583"/>
      <c r="BA34" s="583"/>
      <c r="BB34" s="583"/>
      <c r="BC34" s="583"/>
      <c r="BD34" s="594"/>
      <c r="BE34" s="594"/>
      <c r="BF34" s="594"/>
    </row>
    <row r="35" spans="1:58" ht="15.75" thickBot="1">
      <c r="A35" s="607" t="s">
        <v>1413</v>
      </c>
      <c r="B35" s="608">
        <v>1585</v>
      </c>
      <c r="C35" s="611"/>
      <c r="D35" s="583"/>
      <c r="E35" s="583"/>
      <c r="F35" s="583"/>
      <c r="G35" s="583"/>
      <c r="H35" s="583"/>
      <c r="I35" s="583"/>
      <c r="J35" s="583"/>
      <c r="K35" s="583"/>
      <c r="L35" s="583"/>
      <c r="M35" s="583"/>
      <c r="N35" s="583"/>
      <c r="O35" s="1126">
        <v>4070.7573529411761</v>
      </c>
      <c r="P35" s="590">
        <f>35*15/144</f>
        <v>3.6458333333333335</v>
      </c>
      <c r="Q35" s="572" t="s">
        <v>1433</v>
      </c>
      <c r="R35" s="1126">
        <v>5115.3529411764703</v>
      </c>
      <c r="S35" s="1126">
        <v>5970.0220588235288</v>
      </c>
      <c r="T35" s="583">
        <v>131.25</v>
      </c>
      <c r="U35" s="583">
        <v>270</v>
      </c>
      <c r="V35" s="583">
        <f t="shared" si="0"/>
        <v>407.07573529411764</v>
      </c>
      <c r="W35" s="583">
        <f t="shared" si="1"/>
        <v>610.6136029411764</v>
      </c>
      <c r="X35" s="583">
        <f t="shared" si="2"/>
        <v>1628.3029411764705</v>
      </c>
      <c r="AC35" s="583">
        <f>2*145*3.75</f>
        <v>1087.5</v>
      </c>
      <c r="AD35" s="583">
        <f t="shared" si="3"/>
        <v>38.625</v>
      </c>
      <c r="AE35" s="583">
        <f t="shared" si="4"/>
        <v>76.875</v>
      </c>
      <c r="AF35" s="583">
        <f t="shared" si="5"/>
        <v>120.375</v>
      </c>
      <c r="AG35" s="583">
        <f t="shared" si="6"/>
        <v>261</v>
      </c>
      <c r="AH35" s="583">
        <f t="shared" si="7"/>
        <v>60.375000000000007</v>
      </c>
      <c r="AU35" s="583"/>
      <c r="AV35" s="1094"/>
      <c r="AW35" s="592"/>
      <c r="AX35" s="583"/>
      <c r="AY35" s="592"/>
      <c r="AZ35" s="583"/>
      <c r="BA35" s="583"/>
      <c r="BB35" s="583"/>
      <c r="BC35" s="583"/>
      <c r="BD35" s="594"/>
      <c r="BE35" s="594"/>
      <c r="BF35" s="594"/>
    </row>
    <row r="36" spans="1:58" ht="15.75" thickBot="1">
      <c r="A36" s="607" t="s">
        <v>1416</v>
      </c>
      <c r="B36" s="608">
        <v>1616</v>
      </c>
      <c r="C36" s="611"/>
      <c r="D36" s="583"/>
      <c r="E36" s="583"/>
      <c r="F36" s="583"/>
      <c r="G36" s="583"/>
      <c r="H36" s="583"/>
      <c r="I36" s="583"/>
      <c r="J36" s="583"/>
      <c r="K36" s="583"/>
      <c r="L36" s="583"/>
      <c r="M36" s="583"/>
      <c r="N36" s="583"/>
      <c r="O36" s="1126">
        <v>4651.9077669902908</v>
      </c>
      <c r="P36" s="590">
        <f>45*15/144</f>
        <v>4.6875</v>
      </c>
      <c r="Q36" s="572" t="s">
        <v>1433</v>
      </c>
      <c r="R36" s="1126">
        <v>5717.7087378640772</v>
      </c>
      <c r="S36" s="1126">
        <v>6589.1577669902908</v>
      </c>
      <c r="T36" s="583">
        <v>161.25</v>
      </c>
      <c r="U36" s="583">
        <v>330</v>
      </c>
      <c r="V36" s="583">
        <f t="shared" si="0"/>
        <v>465.19077669902913</v>
      </c>
      <c r="W36" s="583">
        <f t="shared" si="1"/>
        <v>697.78616504854358</v>
      </c>
      <c r="X36" s="583">
        <f t="shared" si="2"/>
        <v>1860.7631067961165</v>
      </c>
      <c r="AC36" s="583">
        <f>2*145*3.75</f>
        <v>1087.5</v>
      </c>
      <c r="AD36" s="583">
        <f t="shared" si="3"/>
        <v>38.625</v>
      </c>
      <c r="AE36" s="583">
        <f t="shared" si="4"/>
        <v>76.875</v>
      </c>
      <c r="AF36" s="583">
        <f t="shared" si="5"/>
        <v>120.375</v>
      </c>
      <c r="AG36" s="583">
        <f t="shared" si="6"/>
        <v>261</v>
      </c>
      <c r="AH36" s="583">
        <f t="shared" si="7"/>
        <v>60.375000000000007</v>
      </c>
      <c r="AU36" s="583"/>
      <c r="AV36" s="1094"/>
      <c r="AW36" s="592"/>
      <c r="AX36" s="583"/>
      <c r="AY36" s="592"/>
      <c r="AZ36" s="583"/>
      <c r="BA36" s="583"/>
      <c r="BB36" s="583"/>
      <c r="BC36" s="583"/>
      <c r="BD36" s="594"/>
      <c r="BE36" s="594"/>
      <c r="BF36" s="594"/>
    </row>
    <row r="37" spans="1:58" ht="15.75" thickBot="1">
      <c r="A37" s="607" t="s">
        <v>1419</v>
      </c>
      <c r="B37" s="608">
        <v>1935</v>
      </c>
      <c r="C37" s="611"/>
      <c r="D37" s="583"/>
      <c r="E37" s="583"/>
      <c r="F37" s="583"/>
      <c r="G37" s="583"/>
      <c r="H37" s="583"/>
      <c r="I37" s="583"/>
      <c r="J37" s="583"/>
      <c r="K37" s="583"/>
      <c r="L37" s="583"/>
      <c r="M37" s="583"/>
      <c r="N37" s="583"/>
      <c r="O37" s="1126">
        <v>4651.9077669902908</v>
      </c>
      <c r="P37" s="590">
        <f>45*15/144</f>
        <v>4.6875</v>
      </c>
      <c r="Q37" s="572" t="s">
        <v>1433</v>
      </c>
      <c r="R37" s="1126">
        <v>5717.7087378640772</v>
      </c>
      <c r="S37" s="1126">
        <v>6589.1577669902908</v>
      </c>
      <c r="T37" s="583">
        <v>161.25</v>
      </c>
      <c r="U37" s="583">
        <v>330</v>
      </c>
      <c r="V37" s="583">
        <f t="shared" si="0"/>
        <v>465.19077669902913</v>
      </c>
      <c r="W37" s="583">
        <f t="shared" si="1"/>
        <v>697.78616504854358</v>
      </c>
      <c r="X37" s="583">
        <f t="shared" si="2"/>
        <v>1860.7631067961165</v>
      </c>
      <c r="AC37" s="583">
        <f>2*145*3.75</f>
        <v>1087.5</v>
      </c>
      <c r="AD37" s="583">
        <f t="shared" si="3"/>
        <v>38.625</v>
      </c>
      <c r="AE37" s="583">
        <f t="shared" si="4"/>
        <v>76.875</v>
      </c>
      <c r="AF37" s="583">
        <f t="shared" si="5"/>
        <v>120.375</v>
      </c>
      <c r="AG37" s="583">
        <f t="shared" si="6"/>
        <v>261</v>
      </c>
      <c r="AH37" s="583">
        <f t="shared" si="7"/>
        <v>60.375000000000007</v>
      </c>
      <c r="AU37" s="583"/>
      <c r="AV37" s="1094"/>
      <c r="AW37" s="592"/>
      <c r="AX37" s="583"/>
      <c r="AY37" s="592"/>
      <c r="AZ37" s="583"/>
      <c r="BA37" s="583"/>
      <c r="BB37" s="583"/>
      <c r="BC37" s="583"/>
      <c r="BD37" s="594"/>
      <c r="BE37" s="594"/>
      <c r="BF37" s="594"/>
    </row>
    <row r="38" spans="1:58" ht="15.75" thickBot="1">
      <c r="A38" s="609" t="s">
        <v>1421</v>
      </c>
      <c r="B38" s="615">
        <v>2250</v>
      </c>
      <c r="C38" s="611"/>
      <c r="D38" s="583"/>
      <c r="E38" s="583"/>
      <c r="F38" s="583"/>
      <c r="G38" s="583"/>
      <c r="H38" s="583"/>
      <c r="I38" s="583"/>
      <c r="J38" s="583"/>
      <c r="K38" s="583"/>
      <c r="L38" s="583"/>
      <c r="M38" s="583"/>
      <c r="N38" s="583"/>
      <c r="O38" s="1126">
        <v>6904.4907178217818</v>
      </c>
      <c r="P38" s="572">
        <f>60*15/144</f>
        <v>6.25</v>
      </c>
      <c r="Q38" s="572" t="s">
        <v>1433</v>
      </c>
      <c r="R38" s="1126">
        <v>8328.4232673267325</v>
      </c>
      <c r="S38" s="1126">
        <v>9492.8836633663359</v>
      </c>
      <c r="T38" s="583">
        <v>217.5</v>
      </c>
      <c r="U38" s="583">
        <v>446.25</v>
      </c>
      <c r="V38" s="583">
        <f t="shared" si="0"/>
        <v>690.44907178217818</v>
      </c>
      <c r="W38" s="583">
        <f t="shared" si="1"/>
        <v>1035.6736076732673</v>
      </c>
      <c r="X38" s="583">
        <f t="shared" si="2"/>
        <v>2761.7962871287127</v>
      </c>
      <c r="AC38" s="583">
        <f>3*145*3.75</f>
        <v>1631.25</v>
      </c>
      <c r="AD38" s="583">
        <f t="shared" si="3"/>
        <v>38.625</v>
      </c>
      <c r="AE38" s="583">
        <f t="shared" si="4"/>
        <v>76.875</v>
      </c>
      <c r="AF38" s="583">
        <f t="shared" si="5"/>
        <v>120.375</v>
      </c>
      <c r="AG38" s="583">
        <f t="shared" si="6"/>
        <v>261</v>
      </c>
      <c r="AH38" s="583">
        <f t="shared" si="7"/>
        <v>60.375000000000007</v>
      </c>
      <c r="AU38" s="583"/>
      <c r="AV38" s="1094"/>
      <c r="AW38" s="592"/>
      <c r="AX38" s="583"/>
      <c r="AY38" s="592"/>
      <c r="AZ38" s="583"/>
      <c r="BA38" s="583"/>
      <c r="BB38" s="583"/>
      <c r="BC38" s="583"/>
      <c r="BD38" s="594"/>
      <c r="BE38" s="594"/>
      <c r="BF38" s="594"/>
    </row>
    <row r="39" spans="1:58">
      <c r="A39" s="604" t="s">
        <v>1437</v>
      </c>
      <c r="B39" s="616">
        <v>12000</v>
      </c>
      <c r="C39" s="611"/>
      <c r="D39" s="583"/>
      <c r="E39" s="583"/>
      <c r="F39" s="583"/>
      <c r="G39" s="583"/>
      <c r="H39" s="583"/>
      <c r="I39" s="583"/>
      <c r="J39" s="583"/>
      <c r="K39" s="583"/>
      <c r="L39" s="583"/>
      <c r="M39" s="583"/>
      <c r="N39" s="583"/>
      <c r="O39" s="572">
        <v>2835</v>
      </c>
      <c r="P39" s="590"/>
      <c r="Q39" s="572" t="s">
        <v>1433</v>
      </c>
      <c r="R39" s="583">
        <v>3105</v>
      </c>
      <c r="S39" s="583">
        <v>3645</v>
      </c>
      <c r="T39" s="583" t="s">
        <v>1433</v>
      </c>
      <c r="U39" s="583" t="s">
        <v>1433</v>
      </c>
      <c r="V39" s="583" t="s">
        <v>1433</v>
      </c>
      <c r="W39" s="583" t="s">
        <v>1433</v>
      </c>
      <c r="X39" s="583" t="s">
        <v>1433</v>
      </c>
      <c r="AC39" s="583" t="s">
        <v>1433</v>
      </c>
      <c r="AD39" s="583" t="s">
        <v>1433</v>
      </c>
      <c r="AE39" s="583" t="s">
        <v>1433</v>
      </c>
      <c r="AF39" s="583" t="s">
        <v>1433</v>
      </c>
      <c r="AG39" s="583">
        <f t="shared" si="6"/>
        <v>261</v>
      </c>
      <c r="AH39" s="583">
        <f t="shared" si="7"/>
        <v>60.375000000000007</v>
      </c>
      <c r="AU39" s="583"/>
      <c r="AV39" s="1094"/>
      <c r="AW39" s="592"/>
      <c r="AX39" s="583"/>
      <c r="AY39" s="592"/>
      <c r="AZ39" s="583"/>
      <c r="BA39" s="583"/>
      <c r="BB39" s="583"/>
      <c r="BC39" s="583"/>
      <c r="BD39" s="594"/>
      <c r="BE39" s="594"/>
      <c r="BF39" s="594"/>
    </row>
    <row r="40" spans="1:58">
      <c r="A40" s="607" t="s">
        <v>1438</v>
      </c>
      <c r="B40" s="617">
        <v>18000</v>
      </c>
      <c r="C40" s="611"/>
      <c r="D40" s="583"/>
      <c r="E40" s="583"/>
      <c r="F40" s="583"/>
      <c r="G40" s="583"/>
      <c r="H40" s="583"/>
      <c r="I40" s="583"/>
      <c r="J40" s="583"/>
      <c r="K40" s="583"/>
      <c r="L40" s="583"/>
      <c r="M40" s="583"/>
      <c r="N40" s="583"/>
      <c r="O40" s="572">
        <v>3094.875</v>
      </c>
      <c r="P40" s="572"/>
      <c r="Q40" s="572" t="s">
        <v>1433</v>
      </c>
      <c r="R40" s="583">
        <v>3389.625</v>
      </c>
      <c r="S40" s="583">
        <v>3979.1250000000005</v>
      </c>
      <c r="T40" s="583" t="s">
        <v>1433</v>
      </c>
      <c r="U40" s="583" t="s">
        <v>1433</v>
      </c>
      <c r="V40" s="583" t="s">
        <v>1433</v>
      </c>
      <c r="W40" s="583" t="s">
        <v>1433</v>
      </c>
      <c r="X40" s="583" t="s">
        <v>1433</v>
      </c>
      <c r="AC40" s="583" t="s">
        <v>1433</v>
      </c>
      <c r="AD40" s="583" t="s">
        <v>1433</v>
      </c>
      <c r="AE40" s="583" t="s">
        <v>1433</v>
      </c>
      <c r="AF40" s="583" t="s">
        <v>1433</v>
      </c>
      <c r="AG40" s="583">
        <f t="shared" si="6"/>
        <v>261</v>
      </c>
      <c r="AH40" s="583">
        <f t="shared" si="7"/>
        <v>60.375000000000007</v>
      </c>
      <c r="AU40" s="603"/>
      <c r="AV40" s="1095"/>
      <c r="AW40" s="592"/>
      <c r="AX40" s="603"/>
      <c r="AY40" s="592"/>
      <c r="AZ40" s="603"/>
      <c r="BA40" s="603"/>
      <c r="BB40" s="603"/>
      <c r="BC40" s="603"/>
      <c r="BD40" s="594"/>
      <c r="BE40" s="594"/>
      <c r="BF40" s="594"/>
    </row>
    <row r="41" spans="1:58">
      <c r="A41" s="607" t="s">
        <v>1439</v>
      </c>
      <c r="B41" s="617">
        <v>24000</v>
      </c>
      <c r="C41" s="611"/>
      <c r="D41" s="583"/>
      <c r="E41" s="583"/>
      <c r="F41" s="583"/>
      <c r="G41" s="583"/>
      <c r="H41" s="583"/>
      <c r="I41" s="583"/>
      <c r="J41" s="583"/>
      <c r="K41" s="583"/>
      <c r="L41" s="583"/>
      <c r="M41" s="583"/>
      <c r="N41" s="583"/>
      <c r="O41" s="572">
        <v>3094.875</v>
      </c>
      <c r="P41" s="572"/>
      <c r="Q41" s="572" t="s">
        <v>1433</v>
      </c>
      <c r="R41" s="583">
        <v>3389.625</v>
      </c>
      <c r="S41" s="583">
        <v>3979.1250000000005</v>
      </c>
      <c r="T41" s="583" t="s">
        <v>1433</v>
      </c>
      <c r="U41" s="583" t="s">
        <v>1433</v>
      </c>
      <c r="V41" s="583" t="s">
        <v>1433</v>
      </c>
      <c r="W41" s="583" t="s">
        <v>1433</v>
      </c>
      <c r="X41" s="583" t="s">
        <v>1433</v>
      </c>
      <c r="AC41" s="583" t="s">
        <v>1433</v>
      </c>
      <c r="AD41" s="583" t="s">
        <v>1433</v>
      </c>
      <c r="AE41" s="583" t="s">
        <v>1433</v>
      </c>
      <c r="AF41" s="583" t="s">
        <v>1433</v>
      </c>
      <c r="AG41" s="583">
        <f t="shared" si="6"/>
        <v>261</v>
      </c>
      <c r="AH41" s="583">
        <f t="shared" si="7"/>
        <v>60.375000000000007</v>
      </c>
      <c r="AU41" s="583"/>
      <c r="AV41" s="1094"/>
      <c r="AW41" s="592"/>
      <c r="AX41" s="583"/>
      <c r="AY41" s="592"/>
      <c r="AZ41" s="583"/>
      <c r="BA41" s="583"/>
      <c r="BB41" s="583"/>
      <c r="BC41" s="583"/>
      <c r="BD41" s="594"/>
      <c r="BE41" s="594"/>
      <c r="BF41" s="594"/>
    </row>
    <row r="42" spans="1:58">
      <c r="A42" s="607" t="s">
        <v>1440</v>
      </c>
      <c r="B42" s="617">
        <v>30000</v>
      </c>
      <c r="C42" s="611"/>
      <c r="D42" s="583"/>
      <c r="E42" s="583"/>
      <c r="F42" s="583"/>
      <c r="G42" s="583"/>
      <c r="H42" s="583"/>
      <c r="I42" s="583"/>
      <c r="J42" s="583"/>
      <c r="K42" s="583"/>
      <c r="L42" s="583"/>
      <c r="M42" s="583"/>
      <c r="N42" s="583"/>
      <c r="O42" s="572">
        <v>3929.6249999999995</v>
      </c>
      <c r="P42" s="572"/>
      <c r="Q42" s="572" t="s">
        <v>1433</v>
      </c>
      <c r="R42" s="583">
        <v>4303.8749999999991</v>
      </c>
      <c r="S42" s="583">
        <v>5052.3749999999991</v>
      </c>
      <c r="T42" s="583" t="s">
        <v>1433</v>
      </c>
      <c r="U42" s="583" t="s">
        <v>1433</v>
      </c>
      <c r="V42" s="583" t="s">
        <v>1433</v>
      </c>
      <c r="W42" s="583" t="s">
        <v>1433</v>
      </c>
      <c r="X42" s="583" t="s">
        <v>1433</v>
      </c>
      <c r="AC42" s="583" t="s">
        <v>1433</v>
      </c>
      <c r="AD42" s="583" t="s">
        <v>1433</v>
      </c>
      <c r="AE42" s="583" t="s">
        <v>1433</v>
      </c>
      <c r="AF42" s="583" t="s">
        <v>1433</v>
      </c>
      <c r="AG42" s="583">
        <f t="shared" si="6"/>
        <v>261</v>
      </c>
      <c r="AH42" s="583">
        <f t="shared" si="7"/>
        <v>60.375000000000007</v>
      </c>
      <c r="AU42" s="583"/>
      <c r="AV42" s="1094"/>
      <c r="AW42" s="592"/>
      <c r="AX42" s="583"/>
      <c r="AY42" s="592"/>
      <c r="AZ42" s="583"/>
      <c r="BA42" s="583"/>
      <c r="BB42" s="583"/>
      <c r="BC42" s="583"/>
      <c r="BD42" s="594"/>
      <c r="BE42" s="594"/>
      <c r="BF42" s="594"/>
    </row>
    <row r="43" spans="1:58" ht="15.75" thickBot="1">
      <c r="A43" s="609" t="s">
        <v>1441</v>
      </c>
      <c r="B43" s="618">
        <v>36000</v>
      </c>
      <c r="C43" s="611"/>
      <c r="D43" s="583"/>
      <c r="E43" s="583"/>
      <c r="F43" s="583"/>
      <c r="G43" s="583"/>
      <c r="H43" s="583"/>
      <c r="I43" s="583"/>
      <c r="J43" s="583"/>
      <c r="K43" s="583"/>
      <c r="L43" s="583"/>
      <c r="M43" s="583"/>
      <c r="N43" s="583"/>
      <c r="O43" s="572">
        <v>3929.6249999999995</v>
      </c>
      <c r="P43" s="572"/>
      <c r="Q43" s="572" t="s">
        <v>1433</v>
      </c>
      <c r="R43" s="583">
        <v>4303.8749999999991</v>
      </c>
      <c r="S43" s="583">
        <v>5052.3749999999991</v>
      </c>
      <c r="T43" s="583" t="s">
        <v>1433</v>
      </c>
      <c r="U43" s="583" t="s">
        <v>1433</v>
      </c>
      <c r="V43" s="583" t="s">
        <v>1433</v>
      </c>
      <c r="W43" s="583" t="s">
        <v>1433</v>
      </c>
      <c r="X43" s="583" t="s">
        <v>1433</v>
      </c>
      <c r="AC43" s="583" t="s">
        <v>1433</v>
      </c>
      <c r="AD43" s="583" t="s">
        <v>1433</v>
      </c>
      <c r="AE43" s="583" t="s">
        <v>1433</v>
      </c>
      <c r="AF43" s="583" t="s">
        <v>1433</v>
      </c>
      <c r="AG43" s="583">
        <f t="shared" si="6"/>
        <v>261</v>
      </c>
      <c r="AH43" s="583">
        <f t="shared" si="7"/>
        <v>60.375000000000007</v>
      </c>
      <c r="AU43" s="583"/>
      <c r="AV43" s="1094"/>
      <c r="AW43" s="592"/>
      <c r="AX43" s="583"/>
      <c r="AY43" s="592"/>
      <c r="AZ43" s="583"/>
      <c r="BA43" s="583"/>
      <c r="BB43" s="583"/>
      <c r="BC43" s="583"/>
      <c r="BD43" s="594"/>
      <c r="BE43" s="594"/>
      <c r="BF43" s="594"/>
    </row>
    <row r="44" spans="1:58">
      <c r="A44" s="604" t="s">
        <v>1442</v>
      </c>
      <c r="B44" s="605">
        <v>237</v>
      </c>
      <c r="C44" s="611"/>
      <c r="D44" s="583"/>
      <c r="E44" s="583"/>
      <c r="F44" s="583"/>
      <c r="G44" s="583"/>
      <c r="H44" s="583"/>
      <c r="I44" s="583"/>
      <c r="J44" s="583"/>
      <c r="K44" s="583"/>
      <c r="L44" s="583"/>
      <c r="M44" s="583"/>
      <c r="N44" s="583"/>
      <c r="O44" s="572">
        <v>1767.9375</v>
      </c>
      <c r="P44" s="572"/>
      <c r="Q44" s="572" t="s">
        <v>1433</v>
      </c>
      <c r="R44" s="583">
        <v>1936.3124999999998</v>
      </c>
      <c r="S44" s="583">
        <v>2273.0625000000005</v>
      </c>
      <c r="T44" s="583">
        <v>97.5</v>
      </c>
      <c r="U44" s="583">
        <v>198.75</v>
      </c>
      <c r="V44" s="583">
        <f t="shared" si="0"/>
        <v>176.79375000000002</v>
      </c>
      <c r="W44" s="583">
        <f t="shared" si="1"/>
        <v>265.19062500000001</v>
      </c>
      <c r="X44" s="583">
        <f t="shared" si="2"/>
        <v>707.17500000000007</v>
      </c>
      <c r="AC44" s="583">
        <f t="shared" ref="AC44:AC49" si="18">1*125*3.75</f>
        <v>468.75</v>
      </c>
      <c r="AD44" s="583">
        <f t="shared" si="3"/>
        <v>38.625</v>
      </c>
      <c r="AE44" s="583">
        <f t="shared" si="4"/>
        <v>76.875</v>
      </c>
      <c r="AF44" s="583">
        <f t="shared" si="5"/>
        <v>120.375</v>
      </c>
      <c r="AG44" s="583">
        <f t="shared" si="6"/>
        <v>261</v>
      </c>
      <c r="AH44" s="583">
        <f t="shared" si="7"/>
        <v>60.375000000000007</v>
      </c>
      <c r="AU44" s="583"/>
      <c r="AV44" s="1094"/>
      <c r="AW44" s="592"/>
      <c r="AX44" s="583"/>
      <c r="AY44" s="592"/>
      <c r="AZ44" s="583"/>
      <c r="BA44" s="583"/>
      <c r="BB44" s="583"/>
      <c r="BC44" s="583"/>
      <c r="BD44" s="594"/>
      <c r="BE44" s="594"/>
      <c r="BF44" s="594"/>
    </row>
    <row r="45" spans="1:58">
      <c r="A45" s="607" t="s">
        <v>1443</v>
      </c>
      <c r="B45" s="608">
        <v>305</v>
      </c>
      <c r="C45" s="611"/>
      <c r="D45" s="583"/>
      <c r="E45" s="583"/>
      <c r="F45" s="583"/>
      <c r="G45" s="583"/>
      <c r="H45" s="583"/>
      <c r="I45" s="583"/>
      <c r="J45" s="583"/>
      <c r="K45" s="583"/>
      <c r="L45" s="583"/>
      <c r="M45" s="583"/>
      <c r="N45" s="583"/>
      <c r="O45" s="572">
        <v>1811.25</v>
      </c>
      <c r="P45" s="572"/>
      <c r="Q45" s="572" t="s">
        <v>1433</v>
      </c>
      <c r="R45" s="583">
        <v>1983.7499999999998</v>
      </c>
      <c r="S45" s="583">
        <v>2328.7500000000005</v>
      </c>
      <c r="T45" s="583">
        <v>116.25</v>
      </c>
      <c r="U45" s="583">
        <v>236.25</v>
      </c>
      <c r="V45" s="583">
        <f t="shared" si="0"/>
        <v>181.125</v>
      </c>
      <c r="W45" s="583">
        <f t="shared" si="1"/>
        <v>271.6875</v>
      </c>
      <c r="X45" s="583">
        <f t="shared" si="2"/>
        <v>724.5</v>
      </c>
      <c r="AC45" s="583">
        <f t="shared" si="18"/>
        <v>468.75</v>
      </c>
      <c r="AD45" s="583">
        <f t="shared" si="3"/>
        <v>38.625</v>
      </c>
      <c r="AE45" s="583">
        <f t="shared" si="4"/>
        <v>76.875</v>
      </c>
      <c r="AF45" s="583">
        <f t="shared" si="5"/>
        <v>120.375</v>
      </c>
      <c r="AG45" s="583">
        <f t="shared" si="6"/>
        <v>261</v>
      </c>
      <c r="AH45" s="583">
        <f t="shared" si="7"/>
        <v>60.375000000000007</v>
      </c>
      <c r="AU45" s="583"/>
      <c r="AV45" s="1094"/>
      <c r="AW45" s="592"/>
      <c r="AX45" s="583"/>
      <c r="AY45" s="592"/>
      <c r="AZ45" s="583"/>
      <c r="BA45" s="583"/>
      <c r="BB45" s="583"/>
      <c r="BC45" s="583"/>
      <c r="BD45" s="594"/>
      <c r="BE45" s="594"/>
      <c r="BF45" s="594"/>
    </row>
    <row r="46" spans="1:58">
      <c r="A46" s="607" t="s">
        <v>1444</v>
      </c>
      <c r="B46" s="608">
        <v>386</v>
      </c>
      <c r="C46" s="611"/>
      <c r="D46" s="583"/>
      <c r="E46" s="583"/>
      <c r="F46" s="583"/>
      <c r="G46" s="583"/>
      <c r="H46" s="583"/>
      <c r="I46" s="583"/>
      <c r="J46" s="583"/>
      <c r="K46" s="583"/>
      <c r="L46" s="583"/>
      <c r="M46" s="583"/>
      <c r="N46" s="583"/>
      <c r="O46" s="572">
        <v>1901.8125</v>
      </c>
      <c r="P46" s="572"/>
      <c r="Q46" s="572" t="s">
        <v>1433</v>
      </c>
      <c r="R46" s="583">
        <v>2082.9375</v>
      </c>
      <c r="S46" s="583">
        <v>2445.1875</v>
      </c>
      <c r="T46" s="583">
        <v>123.75</v>
      </c>
      <c r="U46" s="583">
        <v>251.25</v>
      </c>
      <c r="V46" s="583">
        <f t="shared" si="0"/>
        <v>190.18125000000001</v>
      </c>
      <c r="W46" s="583">
        <f t="shared" si="1"/>
        <v>285.27187499999997</v>
      </c>
      <c r="X46" s="583">
        <f t="shared" si="2"/>
        <v>760.72500000000002</v>
      </c>
      <c r="AC46" s="583">
        <f t="shared" si="18"/>
        <v>468.75</v>
      </c>
      <c r="AD46" s="583">
        <f t="shared" si="3"/>
        <v>38.625</v>
      </c>
      <c r="AE46" s="583">
        <f t="shared" si="4"/>
        <v>76.875</v>
      </c>
      <c r="AF46" s="583">
        <f t="shared" si="5"/>
        <v>120.375</v>
      </c>
      <c r="AG46" s="583">
        <f t="shared" si="6"/>
        <v>261</v>
      </c>
      <c r="AH46" s="583">
        <f t="shared" si="7"/>
        <v>60.375000000000007</v>
      </c>
      <c r="AU46" s="583"/>
      <c r="AV46" s="1094"/>
      <c r="AW46" s="592"/>
      <c r="AX46" s="583"/>
      <c r="AY46" s="592"/>
      <c r="AZ46" s="583"/>
      <c r="BA46" s="583"/>
      <c r="BB46" s="583"/>
      <c r="BC46" s="583"/>
      <c r="BD46" s="594"/>
      <c r="BE46" s="594"/>
      <c r="BF46" s="594"/>
    </row>
    <row r="47" spans="1:58">
      <c r="A47" s="607" t="s">
        <v>1445</v>
      </c>
      <c r="B47" s="608">
        <v>507</v>
      </c>
      <c r="C47" s="611"/>
      <c r="D47" s="583"/>
      <c r="E47" s="583"/>
      <c r="F47" s="583"/>
      <c r="G47" s="583"/>
      <c r="H47" s="583"/>
      <c r="I47" s="583"/>
      <c r="J47" s="583"/>
      <c r="K47" s="583"/>
      <c r="L47" s="583"/>
      <c r="M47" s="583"/>
      <c r="N47" s="583"/>
      <c r="O47" s="572">
        <v>2138.0625</v>
      </c>
      <c r="P47" s="572"/>
      <c r="Q47" s="572" t="s">
        <v>1433</v>
      </c>
      <c r="R47" s="583">
        <v>2341.6874999999995</v>
      </c>
      <c r="S47" s="583">
        <v>2748.9375</v>
      </c>
      <c r="T47" s="583">
        <v>127.5</v>
      </c>
      <c r="U47" s="583">
        <v>262.5</v>
      </c>
      <c r="V47" s="583">
        <f t="shared" si="0"/>
        <v>213.80625000000001</v>
      </c>
      <c r="W47" s="583">
        <f t="shared" si="1"/>
        <v>320.70937499999997</v>
      </c>
      <c r="X47" s="583">
        <f t="shared" si="2"/>
        <v>855.22500000000002</v>
      </c>
      <c r="AC47" s="583">
        <f t="shared" si="18"/>
        <v>468.75</v>
      </c>
      <c r="AD47" s="583">
        <f t="shared" si="3"/>
        <v>38.625</v>
      </c>
      <c r="AE47" s="583">
        <f t="shared" si="4"/>
        <v>76.875</v>
      </c>
      <c r="AF47" s="583">
        <f t="shared" si="5"/>
        <v>120.375</v>
      </c>
      <c r="AG47" s="583">
        <f t="shared" si="6"/>
        <v>261</v>
      </c>
      <c r="AH47" s="583">
        <f t="shared" si="7"/>
        <v>60.375000000000007</v>
      </c>
      <c r="AU47" s="583"/>
      <c r="AV47" s="1094"/>
      <c r="AW47" s="592"/>
      <c r="AX47" s="583"/>
      <c r="AY47" s="592"/>
      <c r="AZ47" s="583"/>
      <c r="BA47" s="583"/>
      <c r="BB47" s="583"/>
      <c r="BC47" s="583"/>
      <c r="BD47" s="594"/>
      <c r="BE47" s="594"/>
      <c r="BF47" s="594"/>
    </row>
    <row r="48" spans="1:58">
      <c r="A48" s="607" t="s">
        <v>1446</v>
      </c>
      <c r="B48" s="608">
        <v>575</v>
      </c>
      <c r="C48" s="611"/>
      <c r="D48" s="583"/>
      <c r="E48" s="583"/>
      <c r="F48" s="583"/>
      <c r="G48" s="583"/>
      <c r="H48" s="583"/>
      <c r="I48" s="583"/>
      <c r="J48" s="583"/>
      <c r="K48" s="583"/>
      <c r="L48" s="583"/>
      <c r="M48" s="583"/>
      <c r="N48" s="583"/>
      <c r="O48" s="572">
        <v>2138.0625</v>
      </c>
      <c r="P48" s="572"/>
      <c r="Q48" s="572" t="s">
        <v>1433</v>
      </c>
      <c r="R48" s="583">
        <v>2341.6874999999995</v>
      </c>
      <c r="S48" s="583">
        <v>2748.9375</v>
      </c>
      <c r="T48" s="583">
        <v>142.5</v>
      </c>
      <c r="U48" s="583">
        <v>288.75</v>
      </c>
      <c r="V48" s="583">
        <f t="shared" si="0"/>
        <v>213.80625000000001</v>
      </c>
      <c r="W48" s="583">
        <f t="shared" si="1"/>
        <v>320.70937499999997</v>
      </c>
      <c r="X48" s="583">
        <f t="shared" si="2"/>
        <v>855.22500000000002</v>
      </c>
      <c r="AC48" s="583">
        <f t="shared" si="18"/>
        <v>468.75</v>
      </c>
      <c r="AD48" s="583">
        <f t="shared" si="3"/>
        <v>38.625</v>
      </c>
      <c r="AE48" s="583">
        <f t="shared" si="4"/>
        <v>76.875</v>
      </c>
      <c r="AF48" s="583">
        <f t="shared" si="5"/>
        <v>120.375</v>
      </c>
      <c r="AG48" s="583">
        <f t="shared" si="6"/>
        <v>261</v>
      </c>
      <c r="AH48" s="583">
        <f t="shared" si="7"/>
        <v>60.375000000000007</v>
      </c>
      <c r="AU48" s="583"/>
      <c r="AV48" s="1094"/>
      <c r="AW48" s="592"/>
      <c r="AX48" s="583"/>
      <c r="AY48" s="592"/>
      <c r="AZ48" s="583"/>
      <c r="BA48" s="583"/>
      <c r="BB48" s="583"/>
      <c r="BC48" s="583"/>
      <c r="BD48" s="594"/>
      <c r="BE48" s="594"/>
      <c r="BF48" s="594"/>
    </row>
    <row r="49" spans="1:58">
      <c r="A49" s="607" t="s">
        <v>1447</v>
      </c>
      <c r="B49" s="608">
        <v>987</v>
      </c>
      <c r="C49" s="611"/>
      <c r="D49" s="583"/>
      <c r="E49" s="583"/>
      <c r="F49" s="583"/>
      <c r="G49" s="583"/>
      <c r="H49" s="583"/>
      <c r="I49" s="583"/>
      <c r="J49" s="583"/>
      <c r="K49" s="583"/>
      <c r="L49" s="583"/>
      <c r="M49" s="583"/>
      <c r="N49" s="583"/>
      <c r="O49" s="572">
        <v>2437.3125</v>
      </c>
      <c r="P49" s="572"/>
      <c r="Q49" s="572" t="s">
        <v>1433</v>
      </c>
      <c r="R49" s="583">
        <v>2669.4375</v>
      </c>
      <c r="S49" s="583">
        <v>3133.6875</v>
      </c>
      <c r="T49" s="583">
        <v>157.5</v>
      </c>
      <c r="U49" s="583">
        <v>322.5</v>
      </c>
      <c r="V49" s="583">
        <f t="shared" si="0"/>
        <v>243.73125000000002</v>
      </c>
      <c r="W49" s="583">
        <f t="shared" si="1"/>
        <v>365.59687500000001</v>
      </c>
      <c r="X49" s="583">
        <f t="shared" si="2"/>
        <v>974.92500000000007</v>
      </c>
      <c r="AC49" s="583">
        <f t="shared" si="18"/>
        <v>468.75</v>
      </c>
      <c r="AD49" s="583">
        <f t="shared" si="3"/>
        <v>38.625</v>
      </c>
      <c r="AE49" s="583">
        <f t="shared" si="4"/>
        <v>76.875</v>
      </c>
      <c r="AF49" s="583">
        <f t="shared" si="5"/>
        <v>120.375</v>
      </c>
      <c r="AG49" s="583">
        <f t="shared" si="6"/>
        <v>261</v>
      </c>
      <c r="AH49" s="583">
        <f t="shared" si="7"/>
        <v>60.375000000000007</v>
      </c>
      <c r="AU49" s="583"/>
      <c r="AV49" s="1094"/>
      <c r="AW49" s="592"/>
      <c r="AX49" s="583"/>
      <c r="AY49" s="592"/>
      <c r="AZ49" s="583"/>
      <c r="BA49" s="583"/>
      <c r="BB49" s="583"/>
      <c r="BC49" s="583"/>
      <c r="BD49" s="594"/>
      <c r="BE49" s="594"/>
      <c r="BF49" s="594"/>
    </row>
    <row r="50" spans="1:58">
      <c r="A50" s="607" t="s">
        <v>1448</v>
      </c>
      <c r="B50" s="608">
        <v>987</v>
      </c>
      <c r="C50" s="611"/>
      <c r="D50" s="583"/>
      <c r="E50" s="583"/>
      <c r="F50" s="583"/>
      <c r="G50" s="583"/>
      <c r="H50" s="583"/>
      <c r="I50" s="583"/>
      <c r="J50" s="583"/>
      <c r="K50" s="583"/>
      <c r="L50" s="583"/>
      <c r="M50" s="583"/>
      <c r="N50" s="583"/>
      <c r="O50" s="572">
        <v>3378.375</v>
      </c>
      <c r="P50" s="572"/>
      <c r="Q50" s="572" t="s">
        <v>1433</v>
      </c>
      <c r="R50" s="583">
        <v>3700.1249999999995</v>
      </c>
      <c r="S50" s="583">
        <v>4343.6250000000009</v>
      </c>
      <c r="T50" s="583">
        <v>221.25</v>
      </c>
      <c r="U50" s="583">
        <v>453.75</v>
      </c>
      <c r="V50" s="583">
        <f t="shared" si="0"/>
        <v>337.83750000000003</v>
      </c>
      <c r="W50" s="583">
        <f t="shared" si="1"/>
        <v>506.75624999999997</v>
      </c>
      <c r="X50" s="583">
        <f t="shared" si="2"/>
        <v>1351.3500000000001</v>
      </c>
      <c r="AC50" s="583">
        <f>2*125*3.75</f>
        <v>937.5</v>
      </c>
      <c r="AD50" s="583">
        <f t="shared" si="3"/>
        <v>38.625</v>
      </c>
      <c r="AE50" s="583">
        <f t="shared" si="4"/>
        <v>76.875</v>
      </c>
      <c r="AF50" s="583">
        <f t="shared" si="5"/>
        <v>120.375</v>
      </c>
      <c r="AG50" s="583">
        <f t="shared" si="6"/>
        <v>261</v>
      </c>
      <c r="AH50" s="583">
        <f t="shared" si="7"/>
        <v>60.375000000000007</v>
      </c>
      <c r="AU50" s="583"/>
      <c r="AV50" s="1094"/>
      <c r="AW50" s="592"/>
      <c r="AX50" s="583"/>
      <c r="AY50" s="592"/>
      <c r="AZ50" s="583"/>
      <c r="BA50" s="583"/>
      <c r="BB50" s="583"/>
      <c r="BC50" s="583"/>
      <c r="BD50" s="594"/>
      <c r="BE50" s="594"/>
      <c r="BF50" s="594"/>
    </row>
    <row r="51" spans="1:58" ht="15.75" thickBot="1">
      <c r="A51" s="609" t="s">
        <v>1449</v>
      </c>
      <c r="B51" s="610">
        <v>1085</v>
      </c>
      <c r="C51" s="611"/>
      <c r="D51" s="583"/>
      <c r="E51" s="583"/>
      <c r="F51" s="583"/>
      <c r="G51" s="583"/>
      <c r="H51" s="583"/>
      <c r="I51" s="583"/>
      <c r="J51" s="583"/>
      <c r="K51" s="583"/>
      <c r="L51" s="583"/>
      <c r="M51" s="583"/>
      <c r="N51" s="583"/>
      <c r="O51" s="572">
        <v>3378.375</v>
      </c>
      <c r="P51" s="572"/>
      <c r="Q51" s="572" t="s">
        <v>1433</v>
      </c>
      <c r="R51" s="583">
        <v>3700.1249999999995</v>
      </c>
      <c r="S51" s="583">
        <v>4343.6250000000009</v>
      </c>
      <c r="T51" s="583">
        <v>228.75</v>
      </c>
      <c r="U51" s="583">
        <v>468.75</v>
      </c>
      <c r="V51" s="583">
        <f t="shared" si="0"/>
        <v>337.83750000000003</v>
      </c>
      <c r="W51" s="583">
        <f t="shared" si="1"/>
        <v>506.75624999999997</v>
      </c>
      <c r="X51" s="583">
        <f t="shared" si="2"/>
        <v>1351.3500000000001</v>
      </c>
      <c r="AC51" s="583">
        <f>2*125*3.75</f>
        <v>937.5</v>
      </c>
      <c r="AD51" s="583">
        <f t="shared" si="3"/>
        <v>38.625</v>
      </c>
      <c r="AE51" s="583">
        <f t="shared" si="4"/>
        <v>76.875</v>
      </c>
      <c r="AF51" s="583">
        <f t="shared" si="5"/>
        <v>120.375</v>
      </c>
      <c r="AG51" s="583">
        <f t="shared" si="6"/>
        <v>261</v>
      </c>
      <c r="AH51" s="583">
        <f t="shared" si="7"/>
        <v>60.375000000000007</v>
      </c>
      <c r="AU51" s="583"/>
      <c r="AV51" s="1094"/>
      <c r="AW51" s="592"/>
      <c r="AX51" s="583"/>
      <c r="AY51" s="592"/>
      <c r="AZ51" s="583"/>
      <c r="BA51" s="583"/>
      <c r="BB51" s="583"/>
      <c r="BC51" s="583"/>
      <c r="BD51" s="594"/>
      <c r="BE51" s="594"/>
      <c r="BF51" s="594"/>
    </row>
    <row r="52" spans="1:58">
      <c r="A52" s="619" t="s">
        <v>1450</v>
      </c>
      <c r="B52" s="620">
        <v>237</v>
      </c>
      <c r="C52" s="583"/>
      <c r="D52" s="583"/>
      <c r="E52" s="583"/>
      <c r="F52" s="583"/>
      <c r="G52" s="583"/>
      <c r="H52" s="583"/>
      <c r="I52" s="583"/>
      <c r="J52" s="583"/>
      <c r="K52" s="583"/>
      <c r="L52" s="583"/>
      <c r="M52" s="583"/>
      <c r="N52" s="583"/>
      <c r="O52" s="597">
        <v>2342.8125</v>
      </c>
      <c r="P52" s="590">
        <f>25*8/144</f>
        <v>1.3888888888888888</v>
      </c>
      <c r="Q52" s="572" t="s">
        <v>1433</v>
      </c>
      <c r="R52" s="583">
        <v>2565.9375</v>
      </c>
      <c r="S52" s="583">
        <v>3012.1875</v>
      </c>
      <c r="T52" s="583" t="s">
        <v>1433</v>
      </c>
      <c r="U52" s="583" t="s">
        <v>1433</v>
      </c>
      <c r="V52" s="583" t="s">
        <v>1433</v>
      </c>
      <c r="W52" s="583" t="s">
        <v>1433</v>
      </c>
      <c r="X52" s="583" t="s">
        <v>1433</v>
      </c>
      <c r="AC52" s="583" t="s">
        <v>1433</v>
      </c>
      <c r="AD52" s="583" t="s">
        <v>1433</v>
      </c>
      <c r="AE52" s="583" t="s">
        <v>1433</v>
      </c>
      <c r="AF52" s="583" t="s">
        <v>1433</v>
      </c>
      <c r="AG52" s="583">
        <f t="shared" si="6"/>
        <v>261</v>
      </c>
      <c r="AH52" s="583">
        <f t="shared" si="7"/>
        <v>60.375000000000007</v>
      </c>
      <c r="AU52" s="583"/>
      <c r="AV52" s="1094"/>
      <c r="AW52" s="592"/>
      <c r="AX52" s="583"/>
      <c r="AY52" s="592"/>
      <c r="AZ52" s="583"/>
      <c r="BA52" s="583"/>
      <c r="BB52" s="583"/>
      <c r="BC52" s="583"/>
      <c r="BD52" s="594"/>
      <c r="BE52" s="594"/>
      <c r="BF52" s="594"/>
    </row>
    <row r="53" spans="1:58">
      <c r="A53" s="572" t="s">
        <v>1451</v>
      </c>
      <c r="B53" s="621">
        <v>305</v>
      </c>
      <c r="C53" s="583"/>
      <c r="D53" s="583"/>
      <c r="E53" s="583"/>
      <c r="F53" s="583"/>
      <c r="G53" s="583"/>
      <c r="H53" s="583"/>
      <c r="I53" s="583"/>
      <c r="J53" s="583"/>
      <c r="K53" s="583"/>
      <c r="L53" s="583"/>
      <c r="M53" s="583"/>
      <c r="N53" s="583"/>
      <c r="O53" s="597">
        <v>2342.8125</v>
      </c>
      <c r="P53" s="590">
        <f>25*8/144</f>
        <v>1.3888888888888888</v>
      </c>
      <c r="Q53" s="572" t="s">
        <v>1433</v>
      </c>
      <c r="R53" s="583">
        <v>2565.9375</v>
      </c>
      <c r="S53" s="583">
        <v>3012.1875</v>
      </c>
      <c r="T53" s="583" t="s">
        <v>1433</v>
      </c>
      <c r="U53" s="583" t="s">
        <v>1433</v>
      </c>
      <c r="V53" s="583" t="s">
        <v>1433</v>
      </c>
      <c r="W53" s="583" t="s">
        <v>1433</v>
      </c>
      <c r="X53" s="583" t="s">
        <v>1433</v>
      </c>
      <c r="AC53" s="583" t="s">
        <v>1433</v>
      </c>
      <c r="AD53" s="583" t="s">
        <v>1433</v>
      </c>
      <c r="AE53" s="583" t="s">
        <v>1433</v>
      </c>
      <c r="AF53" s="583" t="s">
        <v>1433</v>
      </c>
      <c r="AG53" s="583">
        <f t="shared" si="6"/>
        <v>261</v>
      </c>
      <c r="AH53" s="583">
        <f t="shared" si="7"/>
        <v>60.375000000000007</v>
      </c>
      <c r="AU53" s="583"/>
      <c r="AV53" s="1094"/>
      <c r="AW53" s="592"/>
      <c r="AX53" s="583"/>
      <c r="AY53" s="592"/>
      <c r="AZ53" s="583"/>
      <c r="BA53" s="583"/>
      <c r="BB53" s="583"/>
      <c r="BC53" s="583"/>
      <c r="BD53" s="594"/>
      <c r="BE53" s="594"/>
      <c r="BF53" s="594"/>
    </row>
    <row r="54" spans="1:58">
      <c r="A54" s="572" t="s">
        <v>1452</v>
      </c>
      <c r="B54" s="621">
        <v>386</v>
      </c>
      <c r="C54" s="583"/>
      <c r="D54" s="583"/>
      <c r="E54" s="583"/>
      <c r="F54" s="583"/>
      <c r="G54" s="583"/>
      <c r="H54" s="583"/>
      <c r="I54" s="583"/>
      <c r="J54" s="583"/>
      <c r="K54" s="583"/>
      <c r="L54" s="583"/>
      <c r="M54" s="583"/>
      <c r="N54" s="583"/>
      <c r="O54" s="597">
        <v>2531.8125</v>
      </c>
      <c r="P54" s="590">
        <f>25*8/144</f>
        <v>1.3888888888888888</v>
      </c>
      <c r="Q54" s="572" t="s">
        <v>1433</v>
      </c>
      <c r="R54" s="583">
        <v>2772.9375</v>
      </c>
      <c r="S54" s="583">
        <v>3255.1875</v>
      </c>
      <c r="T54" s="583" t="s">
        <v>1433</v>
      </c>
      <c r="U54" s="583" t="s">
        <v>1433</v>
      </c>
      <c r="V54" s="583" t="s">
        <v>1433</v>
      </c>
      <c r="W54" s="583" t="s">
        <v>1433</v>
      </c>
      <c r="X54" s="583" t="s">
        <v>1433</v>
      </c>
      <c r="AC54" s="583" t="s">
        <v>1433</v>
      </c>
      <c r="AD54" s="583" t="s">
        <v>1433</v>
      </c>
      <c r="AE54" s="583" t="s">
        <v>1433</v>
      </c>
      <c r="AF54" s="583" t="s">
        <v>1433</v>
      </c>
      <c r="AG54" s="583">
        <f t="shared" si="6"/>
        <v>261</v>
      </c>
      <c r="AH54" s="583">
        <f t="shared" si="7"/>
        <v>60.375000000000007</v>
      </c>
      <c r="AU54" s="583"/>
      <c r="AV54" s="1094"/>
      <c r="AW54" s="592"/>
      <c r="AX54" s="583"/>
      <c r="AY54" s="592"/>
      <c r="AZ54" s="583"/>
      <c r="BA54" s="583"/>
      <c r="BB54" s="583"/>
      <c r="BC54" s="583"/>
      <c r="BD54" s="594"/>
      <c r="BE54" s="594"/>
      <c r="BF54" s="594"/>
    </row>
    <row r="55" spans="1:58">
      <c r="A55" s="572" t="s">
        <v>1453</v>
      </c>
      <c r="B55" s="621">
        <v>507</v>
      </c>
      <c r="C55" s="583"/>
      <c r="D55" s="583"/>
      <c r="E55" s="583"/>
      <c r="F55" s="583"/>
      <c r="G55" s="583"/>
      <c r="H55" s="583"/>
      <c r="I55" s="583"/>
      <c r="J55" s="583"/>
      <c r="K55" s="583"/>
      <c r="L55" s="583"/>
      <c r="M55" s="583"/>
      <c r="N55" s="583"/>
      <c r="O55" s="597">
        <v>2531.8125</v>
      </c>
      <c r="P55" s="590">
        <f>35*8/144</f>
        <v>1.9444444444444444</v>
      </c>
      <c r="Q55" s="572" t="s">
        <v>1433</v>
      </c>
      <c r="R55" s="583">
        <v>2772.9375</v>
      </c>
      <c r="S55" s="583">
        <v>3255.1875</v>
      </c>
      <c r="T55" s="583" t="s">
        <v>1433</v>
      </c>
      <c r="U55" s="583" t="s">
        <v>1433</v>
      </c>
      <c r="V55" s="583" t="s">
        <v>1433</v>
      </c>
      <c r="W55" s="583" t="s">
        <v>1433</v>
      </c>
      <c r="X55" s="583" t="s">
        <v>1433</v>
      </c>
      <c r="AC55" s="583" t="s">
        <v>1433</v>
      </c>
      <c r="AD55" s="583" t="s">
        <v>1433</v>
      </c>
      <c r="AE55" s="583" t="s">
        <v>1433</v>
      </c>
      <c r="AF55" s="583" t="s">
        <v>1433</v>
      </c>
      <c r="AG55" s="583">
        <f t="shared" si="6"/>
        <v>261</v>
      </c>
      <c r="AH55" s="583">
        <f t="shared" si="7"/>
        <v>60.375000000000007</v>
      </c>
      <c r="AU55" s="583"/>
      <c r="AV55" s="1094"/>
      <c r="AW55" s="592"/>
      <c r="AX55" s="583"/>
      <c r="AY55" s="592"/>
      <c r="AZ55" s="583"/>
      <c r="BA55" s="583"/>
      <c r="BB55" s="583"/>
      <c r="BC55" s="583"/>
      <c r="BD55" s="594"/>
      <c r="BE55" s="594"/>
      <c r="BF55" s="594"/>
    </row>
    <row r="56" spans="1:58">
      <c r="A56" s="572" t="s">
        <v>1454</v>
      </c>
      <c r="B56" s="621">
        <v>575</v>
      </c>
      <c r="C56" s="583"/>
      <c r="D56" s="583"/>
      <c r="E56" s="583"/>
      <c r="F56" s="583"/>
      <c r="G56" s="583"/>
      <c r="H56" s="583"/>
      <c r="I56" s="583"/>
      <c r="J56" s="583"/>
      <c r="K56" s="583"/>
      <c r="L56" s="583"/>
      <c r="M56" s="583"/>
      <c r="N56" s="583"/>
      <c r="O56" s="597">
        <v>2854.6875</v>
      </c>
      <c r="P56" s="590">
        <f>35*8/144</f>
        <v>1.9444444444444444</v>
      </c>
      <c r="Q56" s="572" t="s">
        <v>1433</v>
      </c>
      <c r="R56" s="583">
        <v>3126.5625</v>
      </c>
      <c r="S56" s="583">
        <v>3670.3125</v>
      </c>
      <c r="T56" s="583" t="s">
        <v>1433</v>
      </c>
      <c r="U56" s="583" t="s">
        <v>1433</v>
      </c>
      <c r="V56" s="583" t="s">
        <v>1433</v>
      </c>
      <c r="W56" s="583" t="s">
        <v>1433</v>
      </c>
      <c r="X56" s="583" t="s">
        <v>1433</v>
      </c>
      <c r="AC56" s="583" t="s">
        <v>1433</v>
      </c>
      <c r="AD56" s="583" t="s">
        <v>1433</v>
      </c>
      <c r="AE56" s="583" t="s">
        <v>1433</v>
      </c>
      <c r="AF56" s="583" t="s">
        <v>1433</v>
      </c>
      <c r="AG56" s="583">
        <f t="shared" si="6"/>
        <v>261</v>
      </c>
      <c r="AH56" s="583">
        <f t="shared" si="7"/>
        <v>60.375000000000007</v>
      </c>
      <c r="AU56" s="583"/>
      <c r="AV56" s="1094"/>
      <c r="AW56" s="592"/>
      <c r="AX56" s="583"/>
      <c r="AY56" s="592"/>
      <c r="AZ56" s="583"/>
      <c r="BA56" s="583"/>
      <c r="BB56" s="583"/>
      <c r="BC56" s="583"/>
      <c r="BD56" s="594"/>
      <c r="BE56" s="594"/>
      <c r="BF56" s="594"/>
    </row>
    <row r="57" spans="1:58">
      <c r="A57" s="572" t="s">
        <v>1455</v>
      </c>
      <c r="B57" s="621">
        <v>987</v>
      </c>
      <c r="C57" s="583"/>
      <c r="D57" s="583"/>
      <c r="E57" s="583"/>
      <c r="F57" s="583"/>
      <c r="G57" s="583"/>
      <c r="H57" s="583"/>
      <c r="I57" s="583"/>
      <c r="J57" s="583"/>
      <c r="K57" s="583"/>
      <c r="L57" s="583"/>
      <c r="M57" s="583"/>
      <c r="N57" s="583"/>
      <c r="O57" s="597">
        <v>3059.4375000000005</v>
      </c>
      <c r="P57" s="590">
        <f>40.7*8/144</f>
        <v>2.2611111111111111</v>
      </c>
      <c r="Q57" s="572" t="s">
        <v>1433</v>
      </c>
      <c r="R57" s="583">
        <v>3350.8125000000005</v>
      </c>
      <c r="S57" s="583">
        <v>3933.5625000000005</v>
      </c>
      <c r="T57" s="583" t="s">
        <v>1433</v>
      </c>
      <c r="U57" s="583" t="s">
        <v>1433</v>
      </c>
      <c r="V57" s="583" t="s">
        <v>1433</v>
      </c>
      <c r="W57" s="583" t="s">
        <v>1433</v>
      </c>
      <c r="X57" s="583" t="s">
        <v>1433</v>
      </c>
      <c r="AC57" s="583" t="s">
        <v>1433</v>
      </c>
      <c r="AD57" s="583" t="s">
        <v>1433</v>
      </c>
      <c r="AE57" s="583" t="s">
        <v>1433</v>
      </c>
      <c r="AF57" s="583" t="s">
        <v>1433</v>
      </c>
      <c r="AG57" s="583">
        <f t="shared" si="6"/>
        <v>261</v>
      </c>
      <c r="AH57" s="583">
        <f t="shared" si="7"/>
        <v>60.375000000000007</v>
      </c>
      <c r="AU57" s="583"/>
      <c r="AV57" s="1094"/>
      <c r="AW57" s="592"/>
      <c r="AX57" s="583"/>
      <c r="AY57" s="592"/>
      <c r="AZ57" s="583"/>
      <c r="BA57" s="583"/>
      <c r="BB57" s="583"/>
      <c r="BC57" s="583"/>
      <c r="BD57" s="594"/>
      <c r="BE57" s="594"/>
      <c r="BF57" s="594"/>
    </row>
    <row r="58" spans="1:58">
      <c r="A58" s="572" t="s">
        <v>1456</v>
      </c>
      <c r="B58" s="621">
        <v>987</v>
      </c>
      <c r="C58" s="583"/>
      <c r="D58" s="583"/>
      <c r="E58" s="583"/>
      <c r="F58" s="583"/>
      <c r="G58" s="583"/>
      <c r="H58" s="583"/>
      <c r="I58" s="583"/>
      <c r="J58" s="583"/>
      <c r="K58" s="583"/>
      <c r="L58" s="583"/>
      <c r="M58" s="583"/>
      <c r="N58" s="583"/>
      <c r="O58" s="597">
        <v>4138.3125</v>
      </c>
      <c r="P58" s="590">
        <f>61.7*8/144</f>
        <v>3.427777777777778</v>
      </c>
      <c r="Q58" s="572" t="s">
        <v>1433</v>
      </c>
      <c r="R58" s="583">
        <v>4532.4375</v>
      </c>
      <c r="S58" s="583">
        <v>5320.6875</v>
      </c>
      <c r="T58" s="583" t="s">
        <v>1433</v>
      </c>
      <c r="U58" s="583" t="s">
        <v>1433</v>
      </c>
      <c r="V58" s="583" t="s">
        <v>1433</v>
      </c>
      <c r="W58" s="583" t="s">
        <v>1433</v>
      </c>
      <c r="X58" s="583" t="s">
        <v>1433</v>
      </c>
      <c r="AC58" s="583" t="s">
        <v>1433</v>
      </c>
      <c r="AD58" s="583" t="s">
        <v>1433</v>
      </c>
      <c r="AE58" s="583" t="s">
        <v>1433</v>
      </c>
      <c r="AF58" s="583" t="s">
        <v>1433</v>
      </c>
      <c r="AG58" s="583">
        <f t="shared" si="6"/>
        <v>261</v>
      </c>
      <c r="AH58" s="583">
        <f t="shared" si="7"/>
        <v>60.375000000000007</v>
      </c>
      <c r="AU58" s="583"/>
      <c r="AV58" s="1094"/>
      <c r="AW58" s="592"/>
      <c r="AX58" s="583"/>
      <c r="AY58" s="592"/>
      <c r="AZ58" s="583"/>
      <c r="BA58" s="583"/>
      <c r="BB58" s="583"/>
      <c r="BC58" s="583"/>
      <c r="BD58" s="594"/>
      <c r="BE58" s="594"/>
      <c r="BF58" s="594"/>
    </row>
    <row r="59" spans="1:58">
      <c r="A59" s="572" t="s">
        <v>1457</v>
      </c>
      <c r="B59" s="621">
        <v>1085</v>
      </c>
      <c r="C59" s="583"/>
      <c r="D59" s="583"/>
      <c r="E59" s="583"/>
      <c r="F59" s="583"/>
      <c r="G59" s="583"/>
      <c r="H59" s="583"/>
      <c r="I59" s="583"/>
      <c r="J59" s="583"/>
      <c r="K59" s="583"/>
      <c r="L59" s="583"/>
      <c r="M59" s="583"/>
      <c r="N59" s="583"/>
      <c r="O59" s="597">
        <v>4138.3125</v>
      </c>
      <c r="P59" s="590">
        <f>61.7*8/144</f>
        <v>3.427777777777778</v>
      </c>
      <c r="Q59" s="572" t="s">
        <v>1433</v>
      </c>
      <c r="R59" s="583">
        <v>4532.4375</v>
      </c>
      <c r="S59" s="583">
        <v>5320.6875</v>
      </c>
      <c r="T59" s="583" t="s">
        <v>1433</v>
      </c>
      <c r="U59" s="583" t="s">
        <v>1433</v>
      </c>
      <c r="V59" s="583" t="s">
        <v>1433</v>
      </c>
      <c r="W59" s="583" t="s">
        <v>1433</v>
      </c>
      <c r="X59" s="583" t="s">
        <v>1433</v>
      </c>
      <c r="AC59" s="583" t="s">
        <v>1433</v>
      </c>
      <c r="AD59" s="583" t="s">
        <v>1433</v>
      </c>
      <c r="AE59" s="583" t="s">
        <v>1433</v>
      </c>
      <c r="AF59" s="583" t="s">
        <v>1433</v>
      </c>
      <c r="AG59" s="583">
        <f t="shared" si="6"/>
        <v>261</v>
      </c>
      <c r="AH59" s="583">
        <f t="shared" si="7"/>
        <v>60.375000000000007</v>
      </c>
      <c r="AU59" s="583"/>
      <c r="AV59" s="1094"/>
      <c r="AW59" s="592"/>
      <c r="AX59" s="583"/>
      <c r="AY59" s="592"/>
      <c r="AZ59" s="583"/>
      <c r="BA59" s="583"/>
      <c r="BB59" s="583"/>
      <c r="BC59" s="583"/>
      <c r="BD59" s="594"/>
      <c r="BE59" s="594"/>
      <c r="BF59" s="594"/>
    </row>
    <row r="60" spans="1:58">
      <c r="A60" s="572" t="s">
        <v>1458</v>
      </c>
      <c r="B60" s="621">
        <v>237</v>
      </c>
      <c r="C60" s="583"/>
      <c r="D60" s="583"/>
      <c r="E60" s="583"/>
      <c r="F60" s="583"/>
      <c r="G60" s="583"/>
      <c r="H60" s="583"/>
      <c r="I60" s="583"/>
      <c r="J60" s="583"/>
      <c r="K60" s="583"/>
      <c r="L60" s="583"/>
      <c r="M60" s="583"/>
      <c r="N60" s="583"/>
      <c r="O60" s="597">
        <v>2342.8125</v>
      </c>
      <c r="P60" s="590">
        <f>25*8/144</f>
        <v>1.3888888888888888</v>
      </c>
      <c r="Q60" s="572" t="s">
        <v>1433</v>
      </c>
      <c r="R60" s="583">
        <v>2565.9375</v>
      </c>
      <c r="S60" s="583">
        <v>3012.1875</v>
      </c>
      <c r="T60" s="583" t="s">
        <v>1433</v>
      </c>
      <c r="U60" s="583" t="s">
        <v>1433</v>
      </c>
      <c r="V60" s="583" t="s">
        <v>1433</v>
      </c>
      <c r="W60" s="583" t="s">
        <v>1433</v>
      </c>
      <c r="X60" s="583" t="s">
        <v>1433</v>
      </c>
      <c r="AC60" s="583" t="s">
        <v>1433</v>
      </c>
      <c r="AD60" s="583" t="s">
        <v>1433</v>
      </c>
      <c r="AE60" s="583" t="s">
        <v>1433</v>
      </c>
      <c r="AF60" s="583" t="s">
        <v>1433</v>
      </c>
      <c r="AG60" s="583">
        <f t="shared" si="6"/>
        <v>261</v>
      </c>
      <c r="AH60" s="583">
        <f t="shared" si="7"/>
        <v>60.375000000000007</v>
      </c>
      <c r="AU60" s="583"/>
      <c r="AV60" s="1094"/>
      <c r="AW60" s="592"/>
      <c r="AX60" s="583"/>
      <c r="AY60" s="592"/>
      <c r="AZ60" s="583"/>
      <c r="BA60" s="583"/>
      <c r="BB60" s="583"/>
      <c r="BC60" s="583"/>
      <c r="BD60" s="594"/>
      <c r="BE60" s="594"/>
      <c r="BF60" s="594"/>
    </row>
    <row r="61" spans="1:58">
      <c r="A61" s="572" t="s">
        <v>1459</v>
      </c>
      <c r="B61" s="621">
        <v>305</v>
      </c>
      <c r="C61" s="583"/>
      <c r="D61" s="583"/>
      <c r="E61" s="583"/>
      <c r="F61" s="583"/>
      <c r="G61" s="583"/>
      <c r="H61" s="583"/>
      <c r="I61" s="583"/>
      <c r="J61" s="583"/>
      <c r="K61" s="583"/>
      <c r="L61" s="583"/>
      <c r="M61" s="583"/>
      <c r="N61" s="583"/>
      <c r="O61" s="597">
        <v>2342.8125</v>
      </c>
      <c r="P61" s="590">
        <f>25*8/144</f>
        <v>1.3888888888888888</v>
      </c>
      <c r="Q61" s="572" t="s">
        <v>1433</v>
      </c>
      <c r="R61" s="583">
        <v>2565.9375</v>
      </c>
      <c r="S61" s="583">
        <v>3012.1875</v>
      </c>
      <c r="T61" s="583" t="s">
        <v>1433</v>
      </c>
      <c r="U61" s="583" t="s">
        <v>1433</v>
      </c>
      <c r="V61" s="583" t="s">
        <v>1433</v>
      </c>
      <c r="W61" s="583" t="s">
        <v>1433</v>
      </c>
      <c r="X61" s="583" t="s">
        <v>1433</v>
      </c>
      <c r="AC61" s="583" t="s">
        <v>1433</v>
      </c>
      <c r="AD61" s="583" t="s">
        <v>1433</v>
      </c>
      <c r="AE61" s="583" t="s">
        <v>1433</v>
      </c>
      <c r="AF61" s="583" t="s">
        <v>1433</v>
      </c>
      <c r="AG61" s="583">
        <f t="shared" si="6"/>
        <v>261</v>
      </c>
      <c r="AH61" s="583">
        <f t="shared" si="7"/>
        <v>60.375000000000007</v>
      </c>
      <c r="AU61" s="583"/>
      <c r="AV61" s="1094"/>
      <c r="AW61" s="592"/>
      <c r="AX61" s="583"/>
      <c r="AY61" s="592"/>
      <c r="AZ61" s="583"/>
      <c r="BA61" s="583"/>
      <c r="BB61" s="583"/>
      <c r="BC61" s="583"/>
      <c r="BD61" s="594"/>
      <c r="BE61" s="594"/>
      <c r="BF61" s="594"/>
    </row>
    <row r="62" spans="1:58">
      <c r="A62" s="572" t="s">
        <v>1460</v>
      </c>
      <c r="B62" s="621">
        <v>386</v>
      </c>
      <c r="C62" s="583"/>
      <c r="D62" s="583"/>
      <c r="E62" s="583"/>
      <c r="F62" s="583"/>
      <c r="G62" s="583"/>
      <c r="H62" s="583"/>
      <c r="I62" s="583"/>
      <c r="J62" s="583"/>
      <c r="K62" s="583"/>
      <c r="L62" s="583"/>
      <c r="M62" s="583"/>
      <c r="N62" s="583"/>
      <c r="O62" s="597">
        <v>2531.8125</v>
      </c>
      <c r="P62" s="590">
        <f>25*8/144</f>
        <v>1.3888888888888888</v>
      </c>
      <c r="Q62" s="572" t="s">
        <v>1433</v>
      </c>
      <c r="R62" s="583">
        <v>2772.9375</v>
      </c>
      <c r="S62" s="583">
        <v>3255.1875</v>
      </c>
      <c r="T62" s="583" t="s">
        <v>1433</v>
      </c>
      <c r="U62" s="583" t="s">
        <v>1433</v>
      </c>
      <c r="V62" s="583" t="s">
        <v>1433</v>
      </c>
      <c r="W62" s="583" t="s">
        <v>1433</v>
      </c>
      <c r="X62" s="583" t="s">
        <v>1433</v>
      </c>
      <c r="AC62" s="583" t="s">
        <v>1433</v>
      </c>
      <c r="AD62" s="583" t="s">
        <v>1433</v>
      </c>
      <c r="AE62" s="583" t="s">
        <v>1433</v>
      </c>
      <c r="AF62" s="583" t="s">
        <v>1433</v>
      </c>
      <c r="AG62" s="583">
        <f t="shared" si="6"/>
        <v>261</v>
      </c>
      <c r="AH62" s="583">
        <f t="shared" si="7"/>
        <v>60.375000000000007</v>
      </c>
      <c r="AU62" s="583"/>
      <c r="AV62" s="1094"/>
      <c r="AW62" s="592"/>
      <c r="AX62" s="583"/>
      <c r="AY62" s="592"/>
      <c r="AZ62" s="583"/>
      <c r="BA62" s="583"/>
      <c r="BB62" s="583"/>
      <c r="BC62" s="583"/>
      <c r="BD62" s="594"/>
      <c r="BE62" s="594"/>
      <c r="BF62" s="594"/>
    </row>
    <row r="63" spans="1:58">
      <c r="A63" s="572" t="s">
        <v>1461</v>
      </c>
      <c r="B63" s="621">
        <v>507</v>
      </c>
      <c r="C63" s="583"/>
      <c r="D63" s="583"/>
      <c r="E63" s="583"/>
      <c r="F63" s="583"/>
      <c r="G63" s="583"/>
      <c r="H63" s="583"/>
      <c r="I63" s="583"/>
      <c r="J63" s="583"/>
      <c r="K63" s="583"/>
      <c r="L63" s="583"/>
      <c r="M63" s="583"/>
      <c r="N63" s="583"/>
      <c r="O63" s="597">
        <v>2531.8125</v>
      </c>
      <c r="P63" s="590">
        <f>35*8/144</f>
        <v>1.9444444444444444</v>
      </c>
      <c r="Q63" s="572" t="s">
        <v>1433</v>
      </c>
      <c r="R63" s="583">
        <v>2772.9375</v>
      </c>
      <c r="S63" s="583">
        <v>3255.1875</v>
      </c>
      <c r="T63" s="583" t="s">
        <v>1433</v>
      </c>
      <c r="U63" s="583" t="s">
        <v>1433</v>
      </c>
      <c r="V63" s="583" t="s">
        <v>1433</v>
      </c>
      <c r="W63" s="583" t="s">
        <v>1433</v>
      </c>
      <c r="X63" s="583" t="s">
        <v>1433</v>
      </c>
      <c r="AC63" s="583" t="s">
        <v>1433</v>
      </c>
      <c r="AD63" s="583" t="s">
        <v>1433</v>
      </c>
      <c r="AE63" s="583" t="s">
        <v>1433</v>
      </c>
      <c r="AF63" s="583" t="s">
        <v>1433</v>
      </c>
      <c r="AG63" s="583">
        <f t="shared" si="6"/>
        <v>261</v>
      </c>
      <c r="AH63" s="583">
        <f t="shared" si="7"/>
        <v>60.375000000000007</v>
      </c>
      <c r="AU63" s="583"/>
      <c r="AV63" s="1094"/>
      <c r="AW63" s="592"/>
      <c r="AX63" s="583"/>
      <c r="AY63" s="592"/>
      <c r="AZ63" s="583"/>
      <c r="BA63" s="583"/>
      <c r="BB63" s="583"/>
      <c r="BC63" s="583"/>
      <c r="BD63" s="594"/>
      <c r="BE63" s="594"/>
      <c r="BF63" s="594"/>
    </row>
    <row r="64" spans="1:58">
      <c r="A64" s="572" t="s">
        <v>1462</v>
      </c>
      <c r="B64" s="621">
        <v>575</v>
      </c>
      <c r="C64" s="583"/>
      <c r="D64" s="583"/>
      <c r="E64" s="583"/>
      <c r="F64" s="583"/>
      <c r="G64" s="583"/>
      <c r="H64" s="583"/>
      <c r="I64" s="583"/>
      <c r="J64" s="583"/>
      <c r="K64" s="583"/>
      <c r="L64" s="583"/>
      <c r="M64" s="583"/>
      <c r="N64" s="583"/>
      <c r="O64" s="597">
        <v>2854.6875</v>
      </c>
      <c r="P64" s="590">
        <f>35*8/144</f>
        <v>1.9444444444444444</v>
      </c>
      <c r="Q64" s="572" t="s">
        <v>1433</v>
      </c>
      <c r="R64" s="583">
        <v>3126.5625</v>
      </c>
      <c r="S64" s="583">
        <v>3670.3125</v>
      </c>
      <c r="T64" s="583" t="s">
        <v>1433</v>
      </c>
      <c r="U64" s="583" t="s">
        <v>1433</v>
      </c>
      <c r="V64" s="583" t="s">
        <v>1433</v>
      </c>
      <c r="W64" s="583" t="s">
        <v>1433</v>
      </c>
      <c r="X64" s="583" t="s">
        <v>1433</v>
      </c>
      <c r="AC64" s="583" t="s">
        <v>1433</v>
      </c>
      <c r="AD64" s="583" t="s">
        <v>1433</v>
      </c>
      <c r="AE64" s="583" t="s">
        <v>1433</v>
      </c>
      <c r="AF64" s="583" t="s">
        <v>1433</v>
      </c>
      <c r="AG64" s="583">
        <f t="shared" si="6"/>
        <v>261</v>
      </c>
      <c r="AH64" s="583">
        <f t="shared" si="7"/>
        <v>60.375000000000007</v>
      </c>
      <c r="AU64" s="583"/>
      <c r="AV64" s="1094"/>
      <c r="AW64" s="592"/>
      <c r="AX64" s="583"/>
      <c r="AY64" s="592"/>
      <c r="AZ64" s="583"/>
      <c r="BA64" s="583"/>
      <c r="BB64" s="583"/>
      <c r="BC64" s="583"/>
      <c r="BD64" s="594"/>
      <c r="BE64" s="594"/>
      <c r="BF64" s="594"/>
    </row>
    <row r="65" spans="1:58">
      <c r="A65" s="572" t="s">
        <v>1463</v>
      </c>
      <c r="B65" s="621">
        <v>987</v>
      </c>
      <c r="C65" s="583"/>
      <c r="D65" s="583"/>
      <c r="E65" s="583"/>
      <c r="F65" s="583"/>
      <c r="G65" s="583"/>
      <c r="H65" s="583"/>
      <c r="I65" s="583"/>
      <c r="J65" s="583"/>
      <c r="K65" s="583"/>
      <c r="L65" s="583"/>
      <c r="M65" s="583"/>
      <c r="N65" s="583"/>
      <c r="O65" s="597">
        <v>3059.4375000000005</v>
      </c>
      <c r="P65" s="590">
        <f>40.7*8/144</f>
        <v>2.2611111111111111</v>
      </c>
      <c r="Q65" s="572" t="s">
        <v>1433</v>
      </c>
      <c r="R65" s="583">
        <v>3350.8125000000005</v>
      </c>
      <c r="S65" s="583">
        <v>3933.5625000000005</v>
      </c>
      <c r="T65" s="583" t="s">
        <v>1433</v>
      </c>
      <c r="U65" s="583" t="s">
        <v>1433</v>
      </c>
      <c r="V65" s="583" t="s">
        <v>1433</v>
      </c>
      <c r="W65" s="583" t="s">
        <v>1433</v>
      </c>
      <c r="X65" s="583" t="s">
        <v>1433</v>
      </c>
      <c r="AC65" s="583" t="s">
        <v>1433</v>
      </c>
      <c r="AD65" s="583" t="s">
        <v>1433</v>
      </c>
      <c r="AE65" s="583" t="s">
        <v>1433</v>
      </c>
      <c r="AF65" s="583" t="s">
        <v>1433</v>
      </c>
      <c r="AG65" s="583">
        <f t="shared" si="6"/>
        <v>261</v>
      </c>
      <c r="AH65" s="583">
        <f t="shared" si="7"/>
        <v>60.375000000000007</v>
      </c>
      <c r="AU65" s="583"/>
      <c r="AV65" s="1094"/>
      <c r="AW65" s="592"/>
      <c r="AX65" s="583"/>
      <c r="AY65" s="592"/>
      <c r="AZ65" s="583"/>
      <c r="BA65" s="583"/>
      <c r="BB65" s="583"/>
      <c r="BC65" s="583"/>
      <c r="BD65" s="594"/>
      <c r="BE65" s="594"/>
      <c r="BF65" s="594"/>
    </row>
    <row r="66" spans="1:58">
      <c r="A66" s="572" t="s">
        <v>1464</v>
      </c>
      <c r="B66" s="621">
        <v>987</v>
      </c>
      <c r="C66" s="583"/>
      <c r="D66" s="583"/>
      <c r="E66" s="583"/>
      <c r="F66" s="583"/>
      <c r="G66" s="583"/>
      <c r="H66" s="583"/>
      <c r="I66" s="583"/>
      <c r="J66" s="583"/>
      <c r="K66" s="583"/>
      <c r="L66" s="583"/>
      <c r="M66" s="583"/>
      <c r="N66" s="583"/>
      <c r="O66" s="597">
        <v>4138.3125</v>
      </c>
      <c r="P66" s="590">
        <f>61.7*8/144</f>
        <v>3.427777777777778</v>
      </c>
      <c r="Q66" s="572" t="s">
        <v>1433</v>
      </c>
      <c r="R66" s="583">
        <v>4532.4375</v>
      </c>
      <c r="S66" s="583">
        <v>5320.6875</v>
      </c>
      <c r="T66" s="583" t="s">
        <v>1433</v>
      </c>
      <c r="U66" s="583" t="s">
        <v>1433</v>
      </c>
      <c r="V66" s="583" t="s">
        <v>1433</v>
      </c>
      <c r="W66" s="583" t="s">
        <v>1433</v>
      </c>
      <c r="X66" s="583" t="s">
        <v>1433</v>
      </c>
      <c r="AC66" s="583" t="s">
        <v>1433</v>
      </c>
      <c r="AD66" s="583" t="s">
        <v>1433</v>
      </c>
      <c r="AE66" s="583" t="s">
        <v>1433</v>
      </c>
      <c r="AF66" s="583" t="s">
        <v>1433</v>
      </c>
      <c r="AG66" s="583">
        <f t="shared" si="6"/>
        <v>261</v>
      </c>
      <c r="AH66" s="583">
        <f t="shared" si="7"/>
        <v>60.375000000000007</v>
      </c>
      <c r="AU66" s="583"/>
      <c r="AV66" s="1094"/>
      <c r="AW66" s="592"/>
      <c r="AX66" s="583"/>
      <c r="AY66" s="592"/>
      <c r="AZ66" s="583"/>
      <c r="BA66" s="583"/>
      <c r="BB66" s="583"/>
      <c r="BC66" s="583"/>
      <c r="BD66" s="594"/>
      <c r="BE66" s="594"/>
      <c r="BF66" s="594"/>
    </row>
    <row r="67" spans="1:58" ht="15.75" thickBot="1">
      <c r="A67" s="602" t="s">
        <v>1465</v>
      </c>
      <c r="B67" s="622">
        <v>1085</v>
      </c>
      <c r="C67" s="583"/>
      <c r="D67" s="583"/>
      <c r="E67" s="583"/>
      <c r="F67" s="583"/>
      <c r="G67" s="583"/>
      <c r="H67" s="583"/>
      <c r="I67" s="583"/>
      <c r="J67" s="583"/>
      <c r="K67" s="583"/>
      <c r="L67" s="583"/>
      <c r="M67" s="583"/>
      <c r="N67" s="583"/>
      <c r="O67" s="597">
        <v>4138.3125</v>
      </c>
      <c r="P67" s="590">
        <f>61.7*8/144</f>
        <v>3.427777777777778</v>
      </c>
      <c r="Q67" s="572" t="s">
        <v>1433</v>
      </c>
      <c r="R67" s="583">
        <v>4532.4375</v>
      </c>
      <c r="S67" s="583">
        <v>5320.6875</v>
      </c>
      <c r="T67" s="583" t="s">
        <v>1433</v>
      </c>
      <c r="U67" s="583" t="s">
        <v>1433</v>
      </c>
      <c r="V67" s="583" t="s">
        <v>1433</v>
      </c>
      <c r="W67" s="583" t="s">
        <v>1433</v>
      </c>
      <c r="X67" s="583" t="s">
        <v>1433</v>
      </c>
      <c r="AC67" s="583" t="s">
        <v>1433</v>
      </c>
      <c r="AD67" s="583" t="s">
        <v>1433</v>
      </c>
      <c r="AE67" s="583" t="s">
        <v>1433</v>
      </c>
      <c r="AF67" s="583" t="s">
        <v>1433</v>
      </c>
      <c r="AG67" s="583">
        <f t="shared" ref="AG67:AG82" si="19">69.6*3.75</f>
        <v>261</v>
      </c>
      <c r="AH67" s="583">
        <f t="shared" ref="AH67:AH82" si="20">16.1*3.75</f>
        <v>60.375000000000007</v>
      </c>
      <c r="AU67" s="583"/>
      <c r="AV67" s="1094"/>
      <c r="AW67" s="592"/>
      <c r="AX67" s="583"/>
      <c r="AY67" s="592"/>
      <c r="AZ67" s="583"/>
      <c r="BA67" s="583"/>
      <c r="BB67" s="583"/>
      <c r="BC67" s="583"/>
      <c r="BD67" s="594"/>
      <c r="BE67" s="594"/>
      <c r="BF67" s="594"/>
    </row>
    <row r="68" spans="1:58">
      <c r="A68" s="623" t="s">
        <v>1466</v>
      </c>
      <c r="B68" s="624">
        <v>589.10979999999995</v>
      </c>
      <c r="C68" s="625"/>
      <c r="D68" s="626"/>
      <c r="E68" s="626"/>
      <c r="F68" s="626"/>
      <c r="G68" s="626"/>
      <c r="H68" s="626"/>
      <c r="I68" s="626"/>
      <c r="J68" s="626"/>
      <c r="K68" s="626"/>
      <c r="L68" s="626"/>
      <c r="M68" s="626"/>
      <c r="N68" s="626"/>
      <c r="O68" s="627">
        <v>3098.8124999999995</v>
      </c>
      <c r="P68" s="572"/>
      <c r="Q68" s="572" t="s">
        <v>1433</v>
      </c>
      <c r="R68" s="583">
        <v>3393.9374999999995</v>
      </c>
      <c r="S68" s="583">
        <v>3984.1874999999995</v>
      </c>
      <c r="T68" s="583" t="s">
        <v>1433</v>
      </c>
      <c r="U68" s="583" t="s">
        <v>1433</v>
      </c>
      <c r="V68" s="583" t="s">
        <v>1433</v>
      </c>
      <c r="W68" s="583" t="s">
        <v>1433</v>
      </c>
      <c r="X68" s="583" t="s">
        <v>1433</v>
      </c>
      <c r="AC68" s="583" t="s">
        <v>1433</v>
      </c>
      <c r="AD68" s="583" t="s">
        <v>1433</v>
      </c>
      <c r="AE68" s="583" t="s">
        <v>1433</v>
      </c>
      <c r="AF68" s="583" t="s">
        <v>1433</v>
      </c>
      <c r="AG68" s="583">
        <f t="shared" si="19"/>
        <v>261</v>
      </c>
      <c r="AH68" s="583">
        <f t="shared" si="20"/>
        <v>60.375000000000007</v>
      </c>
      <c r="AU68" s="583"/>
      <c r="AV68" s="1094"/>
      <c r="AW68" s="592"/>
      <c r="AX68" s="583"/>
      <c r="AY68" s="592"/>
      <c r="AZ68" s="583"/>
      <c r="BA68" s="583"/>
      <c r="BB68" s="583"/>
      <c r="BC68" s="583"/>
      <c r="BD68" s="594"/>
      <c r="BE68" s="594"/>
      <c r="BF68" s="594"/>
    </row>
    <row r="69" spans="1:58">
      <c r="A69" s="628" t="s">
        <v>1467</v>
      </c>
      <c r="B69" s="629">
        <v>739.56589999999994</v>
      </c>
      <c r="C69" s="625"/>
      <c r="D69" s="626"/>
      <c r="E69" s="626"/>
      <c r="F69" s="626"/>
      <c r="G69" s="626"/>
      <c r="H69" s="626"/>
      <c r="I69" s="626"/>
      <c r="J69" s="626"/>
      <c r="K69" s="626"/>
      <c r="L69" s="626"/>
      <c r="M69" s="626"/>
      <c r="N69" s="626"/>
      <c r="O69" s="627">
        <v>3098.8124999999995</v>
      </c>
      <c r="P69" s="572"/>
      <c r="Q69" s="572" t="s">
        <v>1433</v>
      </c>
      <c r="R69" s="583">
        <v>3393.9374999999995</v>
      </c>
      <c r="S69" s="583">
        <v>3984.1874999999995</v>
      </c>
      <c r="T69" s="583" t="s">
        <v>1433</v>
      </c>
      <c r="U69" s="583" t="s">
        <v>1433</v>
      </c>
      <c r="V69" s="583" t="s">
        <v>1433</v>
      </c>
      <c r="W69" s="583" t="s">
        <v>1433</v>
      </c>
      <c r="X69" s="583" t="s">
        <v>1433</v>
      </c>
      <c r="AC69" s="583" t="s">
        <v>1433</v>
      </c>
      <c r="AD69" s="583" t="s">
        <v>1433</v>
      </c>
      <c r="AE69" s="583" t="s">
        <v>1433</v>
      </c>
      <c r="AF69" s="583" t="s">
        <v>1433</v>
      </c>
      <c r="AG69" s="583">
        <f t="shared" si="19"/>
        <v>261</v>
      </c>
      <c r="AH69" s="583">
        <f t="shared" si="20"/>
        <v>60.375000000000007</v>
      </c>
      <c r="AU69" s="583"/>
      <c r="AV69" s="1094"/>
      <c r="AW69" s="592"/>
      <c r="AX69" s="583"/>
      <c r="AY69" s="592"/>
      <c r="AZ69" s="583"/>
      <c r="BA69" s="583"/>
      <c r="BB69" s="583"/>
      <c r="BC69" s="583"/>
      <c r="BD69" s="594"/>
      <c r="BE69" s="594"/>
      <c r="BF69" s="594"/>
    </row>
    <row r="70" spans="1:58">
      <c r="A70" s="628" t="s">
        <v>1468</v>
      </c>
      <c r="B70" s="629">
        <v>820.09169999999995</v>
      </c>
      <c r="C70" s="625"/>
      <c r="D70" s="626"/>
      <c r="E70" s="626"/>
      <c r="F70" s="626"/>
      <c r="G70" s="626"/>
      <c r="H70" s="626"/>
      <c r="I70" s="626"/>
      <c r="J70" s="626"/>
      <c r="K70" s="626"/>
      <c r="L70" s="626"/>
      <c r="M70" s="626"/>
      <c r="N70" s="626"/>
      <c r="O70" s="627">
        <v>3142.125</v>
      </c>
      <c r="P70" s="572"/>
      <c r="Q70" s="572" t="s">
        <v>1433</v>
      </c>
      <c r="R70" s="583">
        <v>3441.375</v>
      </c>
      <c r="S70" s="583">
        <v>4039.875</v>
      </c>
      <c r="T70" s="583" t="s">
        <v>1433</v>
      </c>
      <c r="U70" s="583" t="s">
        <v>1433</v>
      </c>
      <c r="V70" s="583" t="s">
        <v>1433</v>
      </c>
      <c r="W70" s="583" t="s">
        <v>1433</v>
      </c>
      <c r="X70" s="583" t="s">
        <v>1433</v>
      </c>
      <c r="AC70" s="583" t="s">
        <v>1433</v>
      </c>
      <c r="AD70" s="583" t="s">
        <v>1433</v>
      </c>
      <c r="AE70" s="583" t="s">
        <v>1433</v>
      </c>
      <c r="AF70" s="583" t="s">
        <v>1433</v>
      </c>
      <c r="AG70" s="583">
        <f t="shared" si="19"/>
        <v>261</v>
      </c>
      <c r="AH70" s="583">
        <f t="shared" si="20"/>
        <v>60.375000000000007</v>
      </c>
      <c r="AU70" s="583"/>
      <c r="AV70" s="1094"/>
      <c r="AW70" s="592"/>
      <c r="AX70" s="583"/>
      <c r="AY70" s="592"/>
      <c r="AZ70" s="583"/>
      <c r="BA70" s="583"/>
      <c r="BB70" s="583"/>
      <c r="BC70" s="583"/>
      <c r="BD70" s="594"/>
      <c r="BE70" s="594"/>
      <c r="BF70" s="594"/>
    </row>
    <row r="71" spans="1:58">
      <c r="A71" s="628" t="s">
        <v>1469</v>
      </c>
      <c r="B71" s="629">
        <v>940.88040000000001</v>
      </c>
      <c r="C71" s="625"/>
      <c r="D71" s="626"/>
      <c r="E71" s="626"/>
      <c r="F71" s="626"/>
      <c r="G71" s="626"/>
      <c r="H71" s="626"/>
      <c r="I71" s="626"/>
      <c r="J71" s="626"/>
      <c r="K71" s="626"/>
      <c r="L71" s="626"/>
      <c r="M71" s="626"/>
      <c r="N71" s="626"/>
      <c r="O71" s="627">
        <v>3142.125</v>
      </c>
      <c r="P71" s="572"/>
      <c r="Q71" s="572" t="s">
        <v>1433</v>
      </c>
      <c r="R71" s="583">
        <v>3441.375</v>
      </c>
      <c r="S71" s="583">
        <v>4039.875</v>
      </c>
      <c r="T71" s="583" t="s">
        <v>1433</v>
      </c>
      <c r="U71" s="583" t="s">
        <v>1433</v>
      </c>
      <c r="V71" s="583" t="s">
        <v>1433</v>
      </c>
      <c r="W71" s="583" t="s">
        <v>1433</v>
      </c>
      <c r="X71" s="583" t="s">
        <v>1433</v>
      </c>
      <c r="AC71" s="583" t="s">
        <v>1433</v>
      </c>
      <c r="AD71" s="583" t="s">
        <v>1433</v>
      </c>
      <c r="AE71" s="583" t="s">
        <v>1433</v>
      </c>
      <c r="AF71" s="583" t="s">
        <v>1433</v>
      </c>
      <c r="AG71" s="583">
        <f t="shared" si="19"/>
        <v>261</v>
      </c>
      <c r="AH71" s="583">
        <f t="shared" si="20"/>
        <v>60.375000000000007</v>
      </c>
      <c r="AU71" s="583"/>
      <c r="AV71" s="1094"/>
      <c r="AW71" s="592"/>
      <c r="AX71" s="583"/>
      <c r="AY71" s="592"/>
      <c r="AZ71" s="583"/>
      <c r="BA71" s="583"/>
      <c r="BB71" s="583"/>
      <c r="BC71" s="583"/>
      <c r="BD71" s="594"/>
      <c r="BE71" s="594"/>
      <c r="BF71" s="594"/>
    </row>
    <row r="72" spans="1:58">
      <c r="A72" s="628" t="s">
        <v>1470</v>
      </c>
      <c r="B72" s="629">
        <v>1180.3387</v>
      </c>
      <c r="C72" s="625"/>
      <c r="D72" s="626"/>
      <c r="E72" s="626"/>
      <c r="F72" s="626"/>
      <c r="G72" s="626"/>
      <c r="H72" s="626"/>
      <c r="I72" s="626"/>
      <c r="J72" s="626"/>
      <c r="K72" s="626"/>
      <c r="L72" s="626"/>
      <c r="M72" s="626"/>
      <c r="N72" s="626"/>
      <c r="O72" s="627">
        <v>3260.25</v>
      </c>
      <c r="P72" s="572"/>
      <c r="Q72" s="572" t="s">
        <v>1433</v>
      </c>
      <c r="R72" s="583">
        <v>3570.75</v>
      </c>
      <c r="S72" s="583">
        <v>4191.75</v>
      </c>
      <c r="T72" s="583" t="s">
        <v>1433</v>
      </c>
      <c r="U72" s="583" t="s">
        <v>1433</v>
      </c>
      <c r="V72" s="583" t="s">
        <v>1433</v>
      </c>
      <c r="W72" s="583" t="s">
        <v>1433</v>
      </c>
      <c r="X72" s="583" t="s">
        <v>1433</v>
      </c>
      <c r="AC72" s="583" t="s">
        <v>1433</v>
      </c>
      <c r="AD72" s="583" t="s">
        <v>1433</v>
      </c>
      <c r="AE72" s="583" t="s">
        <v>1433</v>
      </c>
      <c r="AF72" s="583" t="s">
        <v>1433</v>
      </c>
      <c r="AG72" s="583">
        <f t="shared" si="19"/>
        <v>261</v>
      </c>
      <c r="AH72" s="583">
        <f t="shared" si="20"/>
        <v>60.375000000000007</v>
      </c>
      <c r="AU72" s="583"/>
      <c r="AV72" s="1094"/>
      <c r="AW72" s="592"/>
      <c r="AX72" s="583"/>
      <c r="AY72" s="592"/>
      <c r="AZ72" s="583"/>
      <c r="BA72" s="583"/>
      <c r="BB72" s="583"/>
      <c r="BC72" s="583"/>
      <c r="BD72" s="594"/>
      <c r="BE72" s="594"/>
      <c r="BF72" s="594"/>
    </row>
    <row r="73" spans="1:58" ht="15.75" thickBot="1">
      <c r="A73" s="630" t="s">
        <v>1471</v>
      </c>
      <c r="B73" s="631">
        <v>1500.3227999999999</v>
      </c>
      <c r="C73" s="625"/>
      <c r="D73" s="626"/>
      <c r="E73" s="626"/>
      <c r="F73" s="626"/>
      <c r="G73" s="626"/>
      <c r="H73" s="626"/>
      <c r="I73" s="626"/>
      <c r="J73" s="626"/>
      <c r="K73" s="626"/>
      <c r="L73" s="626"/>
      <c r="M73" s="626"/>
      <c r="N73" s="626"/>
      <c r="O73" s="627">
        <v>3260.25</v>
      </c>
      <c r="P73" s="572"/>
      <c r="Q73" s="572" t="s">
        <v>1433</v>
      </c>
      <c r="R73" s="583">
        <v>3570.75</v>
      </c>
      <c r="S73" s="583">
        <v>4191.75</v>
      </c>
      <c r="T73" s="583" t="s">
        <v>1433</v>
      </c>
      <c r="U73" s="583" t="s">
        <v>1433</v>
      </c>
      <c r="V73" s="583" t="s">
        <v>1433</v>
      </c>
      <c r="W73" s="583" t="s">
        <v>1433</v>
      </c>
      <c r="X73" s="583" t="s">
        <v>1433</v>
      </c>
      <c r="AC73" s="583" t="s">
        <v>1433</v>
      </c>
      <c r="AD73" s="583" t="s">
        <v>1433</v>
      </c>
      <c r="AE73" s="583" t="s">
        <v>1433</v>
      </c>
      <c r="AF73" s="583" t="s">
        <v>1433</v>
      </c>
      <c r="AG73" s="583">
        <f t="shared" si="19"/>
        <v>261</v>
      </c>
      <c r="AH73" s="583">
        <f t="shared" si="20"/>
        <v>60.375000000000007</v>
      </c>
      <c r="AU73" s="583"/>
      <c r="AV73" s="1094"/>
      <c r="AW73" s="592"/>
      <c r="AX73" s="583"/>
      <c r="AY73" s="592"/>
      <c r="AZ73" s="583"/>
      <c r="BA73" s="583"/>
      <c r="BB73" s="583"/>
      <c r="BC73" s="583"/>
      <c r="BD73" s="594"/>
      <c r="BE73" s="594"/>
      <c r="BF73" s="594"/>
    </row>
    <row r="74" spans="1:58" ht="15.75" thickBot="1">
      <c r="A74" s="619" t="s">
        <v>1472</v>
      </c>
      <c r="B74" s="620">
        <v>586</v>
      </c>
      <c r="C74" s="583"/>
      <c r="D74" s="583"/>
      <c r="E74" s="583"/>
      <c r="F74" s="583"/>
      <c r="G74" s="583"/>
      <c r="H74" s="583"/>
      <c r="I74" s="583"/>
      <c r="J74" s="583"/>
      <c r="K74" s="583"/>
      <c r="L74" s="583"/>
      <c r="M74" s="583"/>
      <c r="N74" s="583"/>
      <c r="O74" s="1124">
        <v>2554.0540540540542</v>
      </c>
      <c r="P74" s="572"/>
      <c r="Q74" s="572" t="s">
        <v>1433</v>
      </c>
      <c r="R74" s="1124">
        <v>3256.4189189189187</v>
      </c>
      <c r="S74" s="1124">
        <v>3831.0810810810813</v>
      </c>
      <c r="T74" s="583">
        <v>101.25</v>
      </c>
      <c r="U74" s="583">
        <v>210</v>
      </c>
      <c r="V74" s="583">
        <f t="shared" ref="V74:V82" si="21">O74*0.1</f>
        <v>255.40540540540542</v>
      </c>
      <c r="W74" s="583">
        <f t="shared" ref="W74:W82" si="22">O74*0.15</f>
        <v>383.10810810810813</v>
      </c>
      <c r="X74" s="583">
        <f t="shared" ref="X74:X82" si="23">O74*0.4</f>
        <v>1021.6216216216217</v>
      </c>
      <c r="AC74" s="583">
        <f>1*145*3.75</f>
        <v>543.75</v>
      </c>
      <c r="AD74" s="583">
        <f t="shared" ref="AD74:AD82" si="24">10.3*3.75</f>
        <v>38.625</v>
      </c>
      <c r="AE74" s="583">
        <f t="shared" ref="AE74:AE82" si="25">20.5*3.75</f>
        <v>76.875</v>
      </c>
      <c r="AF74" s="583">
        <f t="shared" ref="AF74:AF82" si="26">32.1*3.75</f>
        <v>120.375</v>
      </c>
      <c r="AG74" s="583">
        <f t="shared" si="19"/>
        <v>261</v>
      </c>
      <c r="AH74" s="583">
        <f t="shared" si="20"/>
        <v>60.375000000000007</v>
      </c>
      <c r="AU74" s="583"/>
      <c r="AV74" s="1094"/>
      <c r="AW74" s="592"/>
      <c r="AX74" s="583"/>
      <c r="AY74" s="592"/>
      <c r="AZ74" s="583"/>
      <c r="BA74" s="583"/>
      <c r="BB74" s="583"/>
      <c r="BC74" s="583"/>
      <c r="BD74" s="594"/>
      <c r="BE74" s="594"/>
      <c r="BF74" s="594"/>
    </row>
    <row r="75" spans="1:58" ht="15.75" thickBot="1">
      <c r="A75" s="572" t="s">
        <v>1473</v>
      </c>
      <c r="B75" s="621">
        <v>739</v>
      </c>
      <c r="C75" s="583"/>
      <c r="D75" s="583"/>
      <c r="E75" s="583"/>
      <c r="F75" s="583"/>
      <c r="G75" s="583"/>
      <c r="H75" s="583"/>
      <c r="I75" s="583"/>
      <c r="J75" s="583"/>
      <c r="K75" s="583"/>
      <c r="L75" s="583"/>
      <c r="M75" s="583"/>
      <c r="N75" s="583"/>
      <c r="O75" s="1124">
        <v>2554.0540540540542</v>
      </c>
      <c r="P75" s="572"/>
      <c r="Q75" s="572" t="s">
        <v>1433</v>
      </c>
      <c r="R75" s="1124">
        <v>3256.4189189189187</v>
      </c>
      <c r="S75" s="1124">
        <v>3831.0810810810813</v>
      </c>
      <c r="T75" s="583">
        <v>101.25</v>
      </c>
      <c r="U75" s="583">
        <v>210</v>
      </c>
      <c r="V75" s="583">
        <f t="shared" si="21"/>
        <v>255.40540540540542</v>
      </c>
      <c r="W75" s="583">
        <f t="shared" si="22"/>
        <v>383.10810810810813</v>
      </c>
      <c r="X75" s="583">
        <f t="shared" si="23"/>
        <v>1021.6216216216217</v>
      </c>
      <c r="AC75" s="583">
        <f>1*145*3.75</f>
        <v>543.75</v>
      </c>
      <c r="AD75" s="583">
        <f t="shared" si="24"/>
        <v>38.625</v>
      </c>
      <c r="AE75" s="583">
        <f t="shared" si="25"/>
        <v>76.875</v>
      </c>
      <c r="AF75" s="583">
        <f t="shared" si="26"/>
        <v>120.375</v>
      </c>
      <c r="AG75" s="583">
        <f t="shared" si="19"/>
        <v>261</v>
      </c>
      <c r="AH75" s="583">
        <f t="shared" si="20"/>
        <v>60.375000000000007</v>
      </c>
      <c r="AU75" s="583"/>
      <c r="AV75" s="1094"/>
      <c r="AW75" s="592"/>
      <c r="AX75" s="583"/>
      <c r="AY75" s="592"/>
      <c r="AZ75" s="583"/>
      <c r="BA75" s="583"/>
      <c r="BB75" s="583"/>
      <c r="BC75" s="583"/>
      <c r="BD75" s="594"/>
      <c r="BE75" s="594"/>
      <c r="BF75" s="594"/>
    </row>
    <row r="76" spans="1:58" ht="15.75" thickBot="1">
      <c r="A76" s="572" t="s">
        <v>1474</v>
      </c>
      <c r="B76" s="621">
        <v>898</v>
      </c>
      <c r="C76" s="583"/>
      <c r="D76" s="583"/>
      <c r="E76" s="583"/>
      <c r="F76" s="583"/>
      <c r="G76" s="583"/>
      <c r="H76" s="583"/>
      <c r="I76" s="583"/>
      <c r="J76" s="583"/>
      <c r="K76" s="583"/>
      <c r="L76" s="583"/>
      <c r="M76" s="583"/>
      <c r="N76" s="583"/>
      <c r="O76" s="1124">
        <v>2570.1392617449665</v>
      </c>
      <c r="P76" s="572"/>
      <c r="Q76" s="572" t="s">
        <v>1433</v>
      </c>
      <c r="R76" s="1124">
        <v>3271.6661073825503</v>
      </c>
      <c r="S76" s="1124">
        <v>3852.0201342281875</v>
      </c>
      <c r="T76" s="583">
        <v>101.25</v>
      </c>
      <c r="U76" s="583">
        <v>210</v>
      </c>
      <c r="V76" s="583">
        <f t="shared" si="21"/>
        <v>257.01392617449665</v>
      </c>
      <c r="W76" s="583">
        <f t="shared" si="22"/>
        <v>385.52088926174497</v>
      </c>
      <c r="X76" s="583">
        <f t="shared" si="23"/>
        <v>1028.0557046979866</v>
      </c>
      <c r="AC76" s="583">
        <f>1*145*3.75</f>
        <v>543.75</v>
      </c>
      <c r="AD76" s="583">
        <f t="shared" si="24"/>
        <v>38.625</v>
      </c>
      <c r="AE76" s="583">
        <f t="shared" si="25"/>
        <v>76.875</v>
      </c>
      <c r="AF76" s="583">
        <f t="shared" si="26"/>
        <v>120.375</v>
      </c>
      <c r="AG76" s="583">
        <f t="shared" si="19"/>
        <v>261</v>
      </c>
      <c r="AH76" s="583">
        <f t="shared" si="20"/>
        <v>60.375000000000007</v>
      </c>
      <c r="AU76" s="583"/>
      <c r="AV76" s="1094"/>
      <c r="AW76" s="592"/>
      <c r="AX76" s="583"/>
      <c r="AY76" s="592"/>
      <c r="AZ76" s="583"/>
      <c r="BA76" s="583"/>
      <c r="BB76" s="583"/>
      <c r="BC76" s="583"/>
      <c r="BD76" s="594"/>
      <c r="BE76" s="594"/>
      <c r="BF76" s="594"/>
    </row>
    <row r="77" spans="1:58" ht="15.75" thickBot="1">
      <c r="A77" s="572" t="s">
        <v>1475</v>
      </c>
      <c r="B77" s="621">
        <v>1208</v>
      </c>
      <c r="C77" s="583"/>
      <c r="D77" s="583"/>
      <c r="E77" s="583"/>
      <c r="F77" s="583"/>
      <c r="G77" s="583"/>
      <c r="H77" s="583"/>
      <c r="I77" s="583"/>
      <c r="J77" s="583"/>
      <c r="K77" s="583"/>
      <c r="L77" s="583"/>
      <c r="M77" s="583"/>
      <c r="N77" s="583"/>
      <c r="O77" s="1124">
        <v>3974.1279069767438</v>
      </c>
      <c r="P77" s="572"/>
      <c r="Q77" s="572" t="s">
        <v>1433</v>
      </c>
      <c r="R77" s="1124">
        <v>4993.2994186046508</v>
      </c>
      <c r="S77" s="1124">
        <v>5826.5843023255811</v>
      </c>
      <c r="T77" s="583">
        <v>131.25</v>
      </c>
      <c r="U77" s="583">
        <v>270</v>
      </c>
      <c r="V77" s="583">
        <f t="shared" si="21"/>
        <v>397.41279069767438</v>
      </c>
      <c r="W77" s="583">
        <f t="shared" si="22"/>
        <v>596.11918604651157</v>
      </c>
      <c r="X77" s="583">
        <f t="shared" si="23"/>
        <v>1589.6511627906975</v>
      </c>
      <c r="AC77" s="583">
        <f>2*145*3.75</f>
        <v>1087.5</v>
      </c>
      <c r="AD77" s="583">
        <f t="shared" si="24"/>
        <v>38.625</v>
      </c>
      <c r="AE77" s="583">
        <f t="shared" si="25"/>
        <v>76.875</v>
      </c>
      <c r="AF77" s="583">
        <f t="shared" si="26"/>
        <v>120.375</v>
      </c>
      <c r="AG77" s="583">
        <f t="shared" si="19"/>
        <v>261</v>
      </c>
      <c r="AH77" s="583">
        <f t="shared" si="20"/>
        <v>60.375000000000007</v>
      </c>
      <c r="AU77" s="583"/>
      <c r="AV77" s="1094"/>
      <c r="AW77" s="592"/>
      <c r="AX77" s="583"/>
      <c r="AY77" s="592"/>
      <c r="AZ77" s="583"/>
      <c r="BA77" s="583"/>
      <c r="BB77" s="583"/>
      <c r="BC77" s="583"/>
      <c r="BD77" s="594"/>
      <c r="BE77" s="594"/>
      <c r="BF77" s="594"/>
    </row>
    <row r="78" spans="1:58" ht="15.75" thickBot="1">
      <c r="A78" s="572" t="s">
        <v>1476</v>
      </c>
      <c r="B78" s="621">
        <v>1401</v>
      </c>
      <c r="C78" s="583"/>
      <c r="D78" s="583"/>
      <c r="E78" s="583"/>
      <c r="F78" s="583"/>
      <c r="G78" s="583"/>
      <c r="H78" s="583"/>
      <c r="I78" s="583"/>
      <c r="J78" s="583"/>
      <c r="K78" s="583"/>
      <c r="L78" s="583"/>
      <c r="M78" s="583"/>
      <c r="N78" s="583"/>
      <c r="O78" s="1124">
        <v>3974.1279069767438</v>
      </c>
      <c r="P78" s="572"/>
      <c r="Q78" s="572" t="s">
        <v>1433</v>
      </c>
      <c r="R78" s="1124">
        <v>4993.2994186046508</v>
      </c>
      <c r="S78" s="1124">
        <v>5826.5843023255811</v>
      </c>
      <c r="T78" s="583">
        <v>131.25</v>
      </c>
      <c r="U78" s="583">
        <v>270</v>
      </c>
      <c r="V78" s="583">
        <f t="shared" si="21"/>
        <v>397.41279069767438</v>
      </c>
      <c r="W78" s="583">
        <f t="shared" si="22"/>
        <v>596.11918604651157</v>
      </c>
      <c r="X78" s="583">
        <f t="shared" si="23"/>
        <v>1589.6511627906975</v>
      </c>
      <c r="AC78" s="583">
        <f>2*145*3.75</f>
        <v>1087.5</v>
      </c>
      <c r="AD78" s="583">
        <f t="shared" si="24"/>
        <v>38.625</v>
      </c>
      <c r="AE78" s="583">
        <f t="shared" si="25"/>
        <v>76.875</v>
      </c>
      <c r="AF78" s="583">
        <f t="shared" si="26"/>
        <v>120.375</v>
      </c>
      <c r="AG78" s="583">
        <f t="shared" si="19"/>
        <v>261</v>
      </c>
      <c r="AH78" s="583">
        <f t="shared" si="20"/>
        <v>60.375000000000007</v>
      </c>
      <c r="AU78" s="583"/>
      <c r="AV78" s="1094"/>
      <c r="AW78" s="592"/>
      <c r="AX78" s="583"/>
      <c r="AY78" s="592"/>
      <c r="AZ78" s="583"/>
      <c r="BA78" s="583"/>
      <c r="BB78" s="583"/>
      <c r="BC78" s="583"/>
      <c r="BD78" s="594"/>
      <c r="BE78" s="594"/>
      <c r="BF78" s="594"/>
    </row>
    <row r="79" spans="1:58" ht="15.75" thickBot="1">
      <c r="A79" s="572" t="s">
        <v>1477</v>
      </c>
      <c r="B79" s="621">
        <v>1585</v>
      </c>
      <c r="C79" s="583"/>
      <c r="D79" s="583"/>
      <c r="E79" s="583"/>
      <c r="F79" s="583"/>
      <c r="G79" s="583"/>
      <c r="H79" s="583"/>
      <c r="I79" s="583"/>
      <c r="J79" s="583"/>
      <c r="K79" s="583"/>
      <c r="L79" s="583"/>
      <c r="M79" s="583"/>
      <c r="N79" s="583"/>
      <c r="O79" s="1124">
        <v>3974.1279069767438</v>
      </c>
      <c r="P79" s="572"/>
      <c r="Q79" s="572" t="s">
        <v>1433</v>
      </c>
      <c r="R79" s="1124">
        <v>4993.2994186046508</v>
      </c>
      <c r="S79" s="1124">
        <v>5826.5843023255811</v>
      </c>
      <c r="T79" s="583">
        <v>131.25</v>
      </c>
      <c r="U79" s="583">
        <v>270</v>
      </c>
      <c r="V79" s="583">
        <f t="shared" si="21"/>
        <v>397.41279069767438</v>
      </c>
      <c r="W79" s="583">
        <f t="shared" si="22"/>
        <v>596.11918604651157</v>
      </c>
      <c r="X79" s="583">
        <f t="shared" si="23"/>
        <v>1589.6511627906975</v>
      </c>
      <c r="AC79" s="583">
        <f>2*145*3.75</f>
        <v>1087.5</v>
      </c>
      <c r="AD79" s="583">
        <f t="shared" si="24"/>
        <v>38.625</v>
      </c>
      <c r="AE79" s="583">
        <f t="shared" si="25"/>
        <v>76.875</v>
      </c>
      <c r="AF79" s="583">
        <f t="shared" si="26"/>
        <v>120.375</v>
      </c>
      <c r="AG79" s="583">
        <f t="shared" si="19"/>
        <v>261</v>
      </c>
      <c r="AH79" s="583">
        <f t="shared" si="20"/>
        <v>60.375000000000007</v>
      </c>
      <c r="AU79" s="583"/>
      <c r="AV79" s="1094"/>
      <c r="AW79" s="592"/>
      <c r="AX79" s="583"/>
      <c r="AY79" s="592"/>
      <c r="AZ79" s="583"/>
      <c r="BA79" s="583"/>
      <c r="BB79" s="583"/>
      <c r="BC79" s="583"/>
      <c r="BD79" s="594"/>
      <c r="BE79" s="594"/>
      <c r="BF79" s="594"/>
    </row>
    <row r="80" spans="1:58" ht="15.75" thickBot="1">
      <c r="A80" s="572" t="s">
        <v>1478</v>
      </c>
      <c r="B80" s="621">
        <v>1616</v>
      </c>
      <c r="C80" s="583"/>
      <c r="D80" s="583"/>
      <c r="E80" s="583"/>
      <c r="F80" s="583"/>
      <c r="G80" s="583"/>
      <c r="H80" s="583"/>
      <c r="I80" s="583"/>
      <c r="J80" s="583"/>
      <c r="K80" s="583"/>
      <c r="L80" s="583"/>
      <c r="M80" s="583"/>
      <c r="N80" s="583"/>
      <c r="O80" s="1124">
        <v>4833.6750000000002</v>
      </c>
      <c r="P80" s="572"/>
      <c r="Q80" s="572" t="s">
        <v>1433</v>
      </c>
      <c r="R80" s="1124">
        <v>5945.2953488372095</v>
      </c>
      <c r="S80" s="1124">
        <v>6850.8287790697677</v>
      </c>
      <c r="T80" s="583">
        <v>161.25</v>
      </c>
      <c r="U80" s="583">
        <v>330</v>
      </c>
      <c r="V80" s="583">
        <f t="shared" si="21"/>
        <v>483.36750000000006</v>
      </c>
      <c r="W80" s="583">
        <f t="shared" si="22"/>
        <v>725.05124999999998</v>
      </c>
      <c r="X80" s="583">
        <f t="shared" si="23"/>
        <v>1933.4700000000003</v>
      </c>
      <c r="AC80" s="583">
        <f>2*145*3.75</f>
        <v>1087.5</v>
      </c>
      <c r="AD80" s="583">
        <f t="shared" si="24"/>
        <v>38.625</v>
      </c>
      <c r="AE80" s="583">
        <f t="shared" si="25"/>
        <v>76.875</v>
      </c>
      <c r="AF80" s="583">
        <f t="shared" si="26"/>
        <v>120.375</v>
      </c>
      <c r="AG80" s="583">
        <f t="shared" si="19"/>
        <v>261</v>
      </c>
      <c r="AH80" s="583">
        <f t="shared" si="20"/>
        <v>60.375000000000007</v>
      </c>
      <c r="AU80" s="583"/>
      <c r="AV80" s="1094"/>
      <c r="AW80" s="592"/>
      <c r="AX80" s="583"/>
      <c r="AY80" s="592"/>
      <c r="AZ80" s="583"/>
      <c r="BA80" s="583"/>
      <c r="BB80" s="583"/>
      <c r="BC80" s="583"/>
      <c r="BD80" s="594"/>
      <c r="BE80" s="594"/>
      <c r="BF80" s="594"/>
    </row>
    <row r="81" spans="1:58" ht="15.75" thickBot="1">
      <c r="A81" s="572" t="s">
        <v>1479</v>
      </c>
      <c r="B81" s="621">
        <v>1935</v>
      </c>
      <c r="C81" s="583"/>
      <c r="D81" s="583"/>
      <c r="E81" s="583"/>
      <c r="F81" s="583"/>
      <c r="G81" s="583"/>
      <c r="H81" s="583"/>
      <c r="I81" s="583"/>
      <c r="J81" s="583"/>
      <c r="K81" s="583"/>
      <c r="L81" s="583"/>
      <c r="M81" s="583"/>
      <c r="N81" s="583"/>
      <c r="O81" s="1124">
        <v>4833.6750000000002</v>
      </c>
      <c r="P81" s="572"/>
      <c r="Q81" s="572" t="s">
        <v>1433</v>
      </c>
      <c r="R81" s="1124">
        <v>5945.2953488372095</v>
      </c>
      <c r="S81" s="1124">
        <v>6850.8287790697677</v>
      </c>
      <c r="T81" s="583">
        <v>161.25</v>
      </c>
      <c r="U81" s="583">
        <v>330</v>
      </c>
      <c r="V81" s="583">
        <f t="shared" si="21"/>
        <v>483.36750000000006</v>
      </c>
      <c r="W81" s="583">
        <f t="shared" si="22"/>
        <v>725.05124999999998</v>
      </c>
      <c r="X81" s="583">
        <f t="shared" si="23"/>
        <v>1933.4700000000003</v>
      </c>
      <c r="AC81" s="583">
        <f>2*145*3.75</f>
        <v>1087.5</v>
      </c>
      <c r="AD81" s="583">
        <f t="shared" si="24"/>
        <v>38.625</v>
      </c>
      <c r="AE81" s="583">
        <f t="shared" si="25"/>
        <v>76.875</v>
      </c>
      <c r="AF81" s="583">
        <f t="shared" si="26"/>
        <v>120.375</v>
      </c>
      <c r="AG81" s="583">
        <f t="shared" si="19"/>
        <v>261</v>
      </c>
      <c r="AH81" s="583">
        <f t="shared" si="20"/>
        <v>60.375000000000007</v>
      </c>
      <c r="AU81" s="583"/>
      <c r="AV81" s="1094"/>
      <c r="AW81" s="592"/>
      <c r="AX81" s="583"/>
      <c r="AY81" s="592"/>
      <c r="AZ81" s="583"/>
      <c r="BA81" s="583"/>
      <c r="BB81" s="583"/>
      <c r="BC81" s="583"/>
      <c r="BD81" s="594"/>
      <c r="BE81" s="594"/>
      <c r="BF81" s="594"/>
    </row>
    <row r="82" spans="1:58" ht="15.75" thickBot="1">
      <c r="A82" s="572" t="s">
        <v>1480</v>
      </c>
      <c r="B82" s="621">
        <v>2250</v>
      </c>
      <c r="C82" s="583"/>
      <c r="D82" s="583"/>
      <c r="E82" s="583"/>
      <c r="F82" s="583"/>
      <c r="G82" s="583"/>
      <c r="H82" s="583"/>
      <c r="I82" s="583"/>
      <c r="J82" s="583"/>
      <c r="K82" s="583"/>
      <c r="L82" s="583"/>
      <c r="M82" s="583"/>
      <c r="N82" s="583"/>
      <c r="O82" s="1124">
        <v>7376.9936145510837</v>
      </c>
      <c r="P82" s="572"/>
      <c r="Q82" s="572" t="s">
        <v>1433</v>
      </c>
      <c r="R82" s="1124">
        <v>8899.3310758513926</v>
      </c>
      <c r="S82" s="1124">
        <v>10142.573335913312</v>
      </c>
      <c r="T82" s="583">
        <v>217.5</v>
      </c>
      <c r="U82" s="583">
        <v>446.25</v>
      </c>
      <c r="V82" s="583">
        <f t="shared" si="21"/>
        <v>737.69936145510837</v>
      </c>
      <c r="W82" s="583">
        <f t="shared" si="22"/>
        <v>1106.5490421826626</v>
      </c>
      <c r="X82" s="583">
        <f t="shared" si="23"/>
        <v>2950.7974458204335</v>
      </c>
      <c r="AC82" s="583">
        <f>3*145*3.75</f>
        <v>1631.25</v>
      </c>
      <c r="AD82" s="583">
        <f t="shared" si="24"/>
        <v>38.625</v>
      </c>
      <c r="AE82" s="583">
        <f t="shared" si="25"/>
        <v>76.875</v>
      </c>
      <c r="AF82" s="583">
        <f t="shared" si="26"/>
        <v>120.375</v>
      </c>
      <c r="AG82" s="583">
        <f t="shared" si="19"/>
        <v>261</v>
      </c>
      <c r="AH82" s="583">
        <f t="shared" si="20"/>
        <v>60.375000000000007</v>
      </c>
      <c r="AU82" s="583"/>
      <c r="AV82" s="1094"/>
      <c r="AW82" s="592"/>
      <c r="AX82" s="583"/>
      <c r="AY82" s="592"/>
      <c r="AZ82" s="583"/>
      <c r="BA82" s="583"/>
      <c r="BB82" s="583"/>
      <c r="BC82" s="583"/>
      <c r="BD82" s="594"/>
      <c r="BE82" s="594"/>
      <c r="BF82" s="594"/>
    </row>
    <row r="83" spans="1:58">
      <c r="AU83" s="583"/>
      <c r="AV83" s="1094"/>
      <c r="AW83" s="592"/>
      <c r="AX83" s="583"/>
      <c r="AY83" s="592"/>
      <c r="AZ83" s="583"/>
      <c r="BA83" s="583"/>
      <c r="BB83" s="583"/>
      <c r="BC83" s="583"/>
      <c r="BD83" s="594"/>
      <c r="BE83" s="594"/>
      <c r="BF83" s="594"/>
    </row>
    <row r="84" spans="1:58">
      <c r="AU84" s="583"/>
      <c r="AV84" s="1094"/>
      <c r="AW84" s="592"/>
      <c r="AX84" s="583"/>
      <c r="AY84" s="592"/>
      <c r="AZ84" s="583"/>
      <c r="BA84" s="583"/>
      <c r="BB84" s="583"/>
      <c r="BC84" s="583"/>
      <c r="BD84" s="594"/>
      <c r="BE84" s="594"/>
      <c r="BF84" s="594"/>
    </row>
    <row r="85" spans="1:58">
      <c r="AU85" s="583"/>
      <c r="AV85" s="1094"/>
      <c r="AW85" s="592"/>
      <c r="AX85" s="583"/>
      <c r="AY85" s="592"/>
      <c r="AZ85" s="583"/>
      <c r="BA85" s="583"/>
      <c r="BB85" s="583"/>
      <c r="BC85" s="583"/>
      <c r="BD85" s="594"/>
      <c r="BE85" s="594"/>
      <c r="BF85" s="594"/>
    </row>
    <row r="86" spans="1:58">
      <c r="AU86" s="583"/>
      <c r="AV86" s="1094"/>
      <c r="AW86" s="592"/>
      <c r="AX86" s="583"/>
      <c r="AY86" s="592"/>
      <c r="AZ86" s="583"/>
      <c r="BA86" s="583"/>
      <c r="BB86" s="583"/>
      <c r="BC86" s="583"/>
      <c r="BD86" s="594"/>
      <c r="BE86" s="594"/>
      <c r="BF86" s="594"/>
    </row>
    <row r="87" spans="1:58">
      <c r="AU87" s="583"/>
      <c r="AV87" s="1094"/>
      <c r="AW87" s="592"/>
      <c r="AX87" s="583"/>
      <c r="AY87" s="592"/>
      <c r="AZ87" s="583"/>
      <c r="BA87" s="583"/>
      <c r="BB87" s="583"/>
      <c r="BC87" s="583"/>
      <c r="BD87" s="594"/>
      <c r="BE87" s="594"/>
      <c r="BF87" s="594"/>
    </row>
    <row r="88" spans="1:58">
      <c r="AU88" s="583"/>
      <c r="AV88" s="1094"/>
      <c r="AW88" s="592"/>
      <c r="AX88" s="583"/>
      <c r="AY88" s="592"/>
      <c r="AZ88" s="583"/>
      <c r="BA88" s="583"/>
      <c r="BB88" s="583"/>
      <c r="BC88" s="583"/>
      <c r="BD88" s="594"/>
      <c r="BE88" s="594"/>
      <c r="BF88" s="594"/>
    </row>
    <row r="89" spans="1:58">
      <c r="AU89" s="583"/>
      <c r="AV89" s="1094"/>
      <c r="AW89" s="592"/>
      <c r="AX89" s="583"/>
      <c r="AY89" s="592"/>
      <c r="AZ89" s="583"/>
      <c r="BA89" s="583"/>
      <c r="BB89" s="583"/>
      <c r="BC89" s="583"/>
      <c r="BD89" s="594"/>
      <c r="BE89" s="594"/>
      <c r="BF89" s="594"/>
    </row>
    <row r="90" spans="1:58">
      <c r="AU90" s="583"/>
      <c r="AV90" s="1094"/>
      <c r="AW90" s="592"/>
      <c r="AX90" s="583"/>
      <c r="AY90" s="592"/>
      <c r="AZ90" s="583"/>
      <c r="BA90" s="583"/>
      <c r="BB90" s="583"/>
      <c r="BC90" s="583"/>
      <c r="BD90" s="594"/>
      <c r="BE90" s="594"/>
      <c r="BF90" s="594"/>
    </row>
    <row r="91" spans="1:58">
      <c r="AU91" s="583"/>
      <c r="AV91" s="1094"/>
      <c r="AW91" s="592"/>
      <c r="AX91" s="583"/>
      <c r="AY91" s="592"/>
      <c r="AZ91" s="583"/>
      <c r="BA91" s="583"/>
      <c r="BB91" s="583"/>
      <c r="BC91" s="583"/>
      <c r="BD91" s="594"/>
      <c r="BE91" s="594"/>
      <c r="BF91" s="594"/>
    </row>
    <row r="92" spans="1:58">
      <c r="AU92" s="583"/>
      <c r="AV92" s="1094"/>
      <c r="AW92" s="592"/>
      <c r="AX92" s="583"/>
      <c r="AY92" s="592"/>
      <c r="AZ92" s="583"/>
      <c r="BA92" s="583"/>
      <c r="BB92" s="583"/>
      <c r="BC92" s="583"/>
      <c r="BD92" s="594"/>
      <c r="BE92" s="594"/>
      <c r="BF92" s="594"/>
    </row>
    <row r="93" spans="1:58">
      <c r="AU93" s="583"/>
      <c r="AV93" s="1094"/>
      <c r="AW93" s="592"/>
      <c r="AX93" s="583"/>
      <c r="AY93" s="592"/>
      <c r="AZ93" s="583"/>
      <c r="BA93" s="583"/>
      <c r="BB93" s="583"/>
      <c r="BC93" s="583"/>
      <c r="BD93" s="594"/>
      <c r="BE93" s="594"/>
      <c r="BF93" s="594"/>
    </row>
    <row r="94" spans="1:58">
      <c r="AU94" s="583"/>
      <c r="AV94" s="1094"/>
      <c r="AW94" s="592"/>
      <c r="AX94" s="583"/>
      <c r="AY94" s="592"/>
      <c r="AZ94" s="583"/>
      <c r="BA94" s="583"/>
      <c r="BB94" s="583"/>
      <c r="BC94" s="583"/>
      <c r="BD94" s="594"/>
      <c r="BE94" s="594"/>
      <c r="BF94" s="594"/>
    </row>
    <row r="95" spans="1:58">
      <c r="AU95" s="583"/>
      <c r="AV95" s="1094"/>
      <c r="AW95" s="592"/>
      <c r="AX95" s="583"/>
      <c r="AY95" s="592"/>
      <c r="AZ95" s="583"/>
      <c r="BA95" s="583"/>
      <c r="BB95" s="583"/>
      <c r="BC95" s="583"/>
      <c r="BD95" s="594"/>
      <c r="BE95" s="594"/>
      <c r="BF95" s="594"/>
    </row>
    <row r="96" spans="1:58">
      <c r="AU96" s="583"/>
      <c r="AV96" s="1094"/>
      <c r="AW96" s="592"/>
      <c r="AX96" s="583"/>
      <c r="AY96" s="592"/>
      <c r="AZ96" s="583"/>
      <c r="BA96" s="583"/>
      <c r="BB96" s="583"/>
      <c r="BC96" s="583"/>
      <c r="BD96" s="594"/>
      <c r="BE96" s="594"/>
      <c r="BF96" s="594"/>
    </row>
    <row r="97" spans="47:58">
      <c r="AU97" s="583"/>
      <c r="AV97" s="1094"/>
      <c r="AW97" s="592"/>
      <c r="AX97" s="583"/>
      <c r="AY97" s="592"/>
      <c r="AZ97" s="583"/>
      <c r="BA97" s="583"/>
      <c r="BB97" s="583"/>
      <c r="BC97" s="583"/>
      <c r="BD97" s="594"/>
      <c r="BE97" s="594"/>
      <c r="BF97" s="594"/>
    </row>
    <row r="98" spans="47:58">
      <c r="AU98" s="583"/>
      <c r="AV98" s="1094"/>
      <c r="AW98" s="592"/>
      <c r="AX98" s="583"/>
      <c r="AY98" s="592"/>
      <c r="AZ98" s="583"/>
      <c r="BA98" s="583"/>
      <c r="BB98" s="583"/>
      <c r="BC98" s="583"/>
      <c r="BD98" s="594"/>
      <c r="BE98" s="594"/>
      <c r="BF98" s="594"/>
    </row>
    <row r="99" spans="47:58">
      <c r="AU99" s="583"/>
      <c r="AV99" s="1094"/>
      <c r="AW99" s="592"/>
      <c r="AX99" s="583"/>
      <c r="AY99" s="592"/>
      <c r="AZ99" s="583"/>
      <c r="BA99" s="583"/>
      <c r="BB99" s="583"/>
      <c r="BC99" s="583"/>
      <c r="BD99" s="594"/>
      <c r="BE99" s="594"/>
      <c r="BF99" s="594"/>
    </row>
    <row r="100" spans="47:58">
      <c r="AU100" s="583"/>
      <c r="AV100" s="1094"/>
      <c r="AW100" s="592"/>
      <c r="AX100" s="583"/>
      <c r="AY100" s="592"/>
      <c r="AZ100" s="583"/>
      <c r="BA100" s="583"/>
      <c r="BB100" s="583"/>
      <c r="BC100" s="583"/>
      <c r="BD100" s="594"/>
      <c r="BE100" s="594"/>
      <c r="BF100" s="594"/>
    </row>
    <row r="101" spans="47:58">
      <c r="AU101" s="583"/>
      <c r="AV101" s="1094"/>
      <c r="AW101" s="592"/>
      <c r="AX101" s="583"/>
      <c r="AY101" s="592"/>
      <c r="AZ101" s="583"/>
      <c r="BA101" s="583"/>
      <c r="BB101" s="583"/>
      <c r="BC101" s="583"/>
      <c r="BD101" s="594"/>
      <c r="BE101" s="594"/>
      <c r="BF101" s="594"/>
    </row>
    <row r="102" spans="47:58">
      <c r="AU102" s="583"/>
      <c r="AV102" s="1094"/>
      <c r="AW102" s="592"/>
      <c r="AX102" s="583"/>
      <c r="AY102" s="592"/>
      <c r="AZ102" s="583"/>
      <c r="BA102" s="583"/>
      <c r="BB102" s="583"/>
      <c r="BC102" s="583"/>
      <c r="BD102" s="594"/>
      <c r="BE102" s="594"/>
      <c r="BF102" s="594"/>
    </row>
    <row r="103" spans="47:58">
      <c r="AU103" s="583"/>
      <c r="AV103" s="1094"/>
      <c r="AW103" s="592"/>
      <c r="AX103" s="583"/>
      <c r="AY103" s="592"/>
      <c r="AZ103" s="583"/>
      <c r="BA103" s="583"/>
      <c r="BB103" s="583"/>
      <c r="BC103" s="583"/>
      <c r="BD103" s="594"/>
      <c r="BE103" s="594"/>
      <c r="BF103" s="594"/>
    </row>
    <row r="104" spans="47:58">
      <c r="AU104" s="583"/>
      <c r="AV104" s="1094"/>
      <c r="AW104" s="592"/>
      <c r="AX104" s="583"/>
      <c r="AY104" s="592"/>
      <c r="AZ104" s="583"/>
      <c r="BA104" s="583"/>
      <c r="BB104" s="583"/>
      <c r="BC104" s="583"/>
      <c r="BD104" s="594"/>
      <c r="BE104" s="594"/>
      <c r="BF104" s="594"/>
    </row>
    <row r="105" spans="47:58">
      <c r="AU105" s="583"/>
      <c r="AV105" s="1094"/>
      <c r="AW105" s="592"/>
      <c r="AX105" s="583"/>
      <c r="AY105" s="592"/>
      <c r="AZ105" s="583"/>
      <c r="BA105" s="583"/>
      <c r="BB105" s="583"/>
      <c r="BC105" s="583"/>
      <c r="BD105" s="594"/>
      <c r="BE105" s="594"/>
      <c r="BF105" s="594"/>
    </row>
    <row r="106" spans="47:58">
      <c r="AU106" s="583"/>
      <c r="AV106" s="1094"/>
      <c r="AW106" s="592"/>
      <c r="AX106" s="583"/>
      <c r="AY106" s="592"/>
      <c r="AZ106" s="583"/>
      <c r="BA106" s="583"/>
      <c r="BB106" s="583"/>
      <c r="BC106" s="583"/>
      <c r="BD106" s="594"/>
      <c r="BE106" s="594"/>
      <c r="BF106" s="594"/>
    </row>
    <row r="107" spans="47:58">
      <c r="AU107" s="583"/>
      <c r="AV107" s="1094"/>
      <c r="AW107" s="592"/>
      <c r="AX107" s="583"/>
      <c r="AY107" s="592"/>
      <c r="AZ107" s="583"/>
      <c r="BA107" s="583"/>
      <c r="BB107" s="583"/>
      <c r="BC107" s="583"/>
      <c r="BD107" s="594"/>
      <c r="BE107" s="594"/>
      <c r="BF107" s="594"/>
    </row>
    <row r="108" spans="47:58">
      <c r="AU108" s="583"/>
      <c r="AV108" s="1094"/>
      <c r="AW108" s="592"/>
      <c r="AX108" s="583"/>
      <c r="AY108" s="592"/>
      <c r="AZ108" s="583"/>
      <c r="BA108" s="583"/>
      <c r="BB108" s="583"/>
      <c r="BC108" s="583"/>
      <c r="BD108" s="594"/>
      <c r="BE108" s="594"/>
      <c r="BF108" s="594"/>
    </row>
    <row r="109" spans="47:58">
      <c r="AU109" s="583"/>
      <c r="AV109" s="1094"/>
      <c r="AW109" s="592"/>
      <c r="AX109" s="583"/>
      <c r="AY109" s="592"/>
      <c r="AZ109" s="583"/>
      <c r="BA109" s="583"/>
      <c r="BB109" s="583"/>
      <c r="BC109" s="583"/>
      <c r="BD109" s="594"/>
      <c r="BE109" s="594"/>
      <c r="BF109" s="594"/>
    </row>
    <row r="110" spans="47:58">
      <c r="AU110" s="583"/>
      <c r="AV110" s="1094"/>
      <c r="AW110" s="592"/>
      <c r="AX110" s="583"/>
      <c r="AY110" s="592"/>
      <c r="AZ110" s="583"/>
      <c r="BA110" s="583"/>
      <c r="BB110" s="583"/>
      <c r="BC110" s="583"/>
      <c r="BD110" s="594"/>
      <c r="BE110" s="594"/>
      <c r="BF110" s="594"/>
    </row>
    <row r="111" spans="47:58">
      <c r="AU111" s="583"/>
      <c r="AV111" s="1094"/>
      <c r="AW111" s="592"/>
      <c r="AX111" s="583"/>
      <c r="AY111" s="592"/>
      <c r="AZ111" s="583"/>
      <c r="BA111" s="583"/>
      <c r="BB111" s="583"/>
      <c r="BC111" s="583"/>
      <c r="BD111" s="594"/>
      <c r="BE111" s="594"/>
      <c r="BF111" s="594"/>
    </row>
    <row r="112" spans="47:58">
      <c r="AU112" s="583"/>
      <c r="AV112" s="1094"/>
      <c r="AW112" s="592"/>
      <c r="AX112" s="583"/>
      <c r="AY112" s="592"/>
      <c r="AZ112" s="583"/>
      <c r="BA112" s="583"/>
      <c r="BB112" s="583"/>
      <c r="BC112" s="583"/>
      <c r="BD112" s="594"/>
      <c r="BE112" s="594"/>
      <c r="BF112" s="594"/>
    </row>
    <row r="113" spans="47:58">
      <c r="AU113" s="583"/>
      <c r="AV113" s="1094"/>
      <c r="AW113" s="592"/>
      <c r="AX113" s="583"/>
      <c r="AY113" s="592"/>
      <c r="AZ113" s="583"/>
      <c r="BA113" s="583"/>
      <c r="BB113" s="583"/>
      <c r="BC113" s="583"/>
      <c r="BD113" s="594"/>
      <c r="BE113" s="594"/>
      <c r="BF113" s="594"/>
    </row>
    <row r="114" spans="47:58">
      <c r="AU114" s="583"/>
      <c r="AV114" s="1094"/>
      <c r="AW114" s="592"/>
      <c r="AX114" s="583"/>
      <c r="AY114" s="592"/>
      <c r="AZ114" s="583"/>
      <c r="BA114" s="583"/>
      <c r="BB114" s="583"/>
      <c r="BC114" s="583"/>
      <c r="BD114" s="594"/>
      <c r="BE114" s="594"/>
      <c r="BF114" s="594"/>
    </row>
    <row r="115" spans="47:58">
      <c r="AU115" s="583"/>
      <c r="AV115" s="1094"/>
      <c r="AW115" s="592"/>
      <c r="AX115" s="583"/>
      <c r="AY115" s="592"/>
      <c r="AZ115" s="583"/>
      <c r="BA115" s="583"/>
      <c r="BB115" s="583"/>
      <c r="BC115" s="583"/>
      <c r="BD115" s="594"/>
      <c r="BE115" s="594"/>
      <c r="BF115" s="594"/>
    </row>
    <row r="116" spans="47:58">
      <c r="AU116" s="583"/>
      <c r="AV116" s="1094"/>
      <c r="AW116" s="592"/>
      <c r="AX116" s="583"/>
      <c r="AY116" s="592"/>
      <c r="AZ116" s="583"/>
      <c r="BA116" s="583"/>
      <c r="BB116" s="583"/>
      <c r="BC116" s="583"/>
      <c r="BD116" s="594"/>
      <c r="BE116" s="594"/>
      <c r="BF116" s="594"/>
    </row>
    <row r="117" spans="47:58">
      <c r="AU117" s="583"/>
      <c r="AV117" s="1094"/>
      <c r="AW117" s="592"/>
      <c r="AX117" s="583"/>
      <c r="AY117" s="592"/>
      <c r="AZ117" s="583"/>
      <c r="BA117" s="583"/>
      <c r="BB117" s="583"/>
      <c r="BC117" s="583"/>
      <c r="BD117" s="594"/>
      <c r="BE117" s="594"/>
      <c r="BF117" s="594"/>
    </row>
    <row r="118" spans="47:58">
      <c r="AU118" s="583"/>
      <c r="AV118" s="1094"/>
      <c r="AW118" s="592"/>
      <c r="AX118" s="583"/>
      <c r="AY118" s="592"/>
      <c r="AZ118" s="583"/>
      <c r="BA118" s="583"/>
      <c r="BB118" s="583"/>
      <c r="BC118" s="583"/>
      <c r="BD118" s="594"/>
      <c r="BE118" s="594"/>
      <c r="BF118" s="594"/>
    </row>
    <row r="119" spans="47:58">
      <c r="AU119" s="583"/>
      <c r="AV119" s="1094"/>
      <c r="AW119" s="592"/>
      <c r="AX119" s="583"/>
      <c r="AY119" s="592"/>
      <c r="AZ119" s="583"/>
      <c r="BA119" s="583"/>
      <c r="BB119" s="583"/>
      <c r="BC119" s="583"/>
      <c r="BD119" s="594"/>
      <c r="BE119" s="594"/>
      <c r="BF119" s="594"/>
    </row>
    <row r="120" spans="47:58">
      <c r="AU120" s="583"/>
      <c r="AV120" s="1094"/>
      <c r="AW120" s="592"/>
      <c r="AX120" s="583"/>
      <c r="AY120" s="592"/>
      <c r="AZ120" s="583"/>
      <c r="BA120" s="583"/>
      <c r="BB120" s="583"/>
      <c r="BC120" s="583"/>
      <c r="BD120" s="594"/>
      <c r="BE120" s="594"/>
      <c r="BF120" s="594"/>
    </row>
    <row r="121" spans="47:58">
      <c r="AU121" s="583"/>
      <c r="AV121" s="1094"/>
      <c r="AW121" s="592"/>
      <c r="AX121" s="583"/>
      <c r="AY121" s="592"/>
      <c r="AZ121" s="583"/>
      <c r="BA121" s="583"/>
      <c r="BB121" s="583"/>
      <c r="BC121" s="583"/>
      <c r="BD121" s="594"/>
      <c r="BE121" s="594"/>
      <c r="BF121" s="594"/>
    </row>
    <row r="122" spans="47:58">
      <c r="AU122" s="583"/>
      <c r="AV122" s="1094"/>
      <c r="AW122" s="592"/>
      <c r="AX122" s="583"/>
      <c r="AY122" s="592"/>
      <c r="AZ122" s="583"/>
      <c r="BA122" s="583"/>
      <c r="BB122" s="583"/>
      <c r="BC122" s="583"/>
      <c r="BD122" s="594"/>
      <c r="BE122" s="594"/>
      <c r="BF122" s="594"/>
    </row>
    <row r="123" spans="47:58">
      <c r="AU123" s="583"/>
      <c r="AV123" s="1094"/>
      <c r="AW123" s="592"/>
      <c r="AX123" s="583"/>
      <c r="AY123" s="592"/>
      <c r="AZ123" s="583"/>
      <c r="BA123" s="583"/>
      <c r="BB123" s="583"/>
      <c r="BC123" s="583"/>
      <c r="BD123" s="594"/>
      <c r="BE123" s="594"/>
      <c r="BF123" s="594"/>
    </row>
    <row r="124" spans="47:58">
      <c r="AU124" s="583"/>
      <c r="AV124" s="1094"/>
      <c r="AW124" s="592"/>
      <c r="AX124" s="583"/>
      <c r="AY124" s="592"/>
      <c r="AZ124" s="583"/>
      <c r="BA124" s="583"/>
      <c r="BB124" s="583"/>
      <c r="BC124" s="583"/>
      <c r="BD124" s="594"/>
      <c r="BE124" s="594"/>
      <c r="BF124" s="594"/>
    </row>
    <row r="125" spans="47:58">
      <c r="AU125" s="583"/>
      <c r="AV125" s="1094"/>
      <c r="AW125" s="592"/>
      <c r="AX125" s="583"/>
      <c r="AY125" s="592"/>
      <c r="AZ125" s="583"/>
      <c r="BA125" s="583"/>
      <c r="BB125" s="583"/>
      <c r="BC125" s="583"/>
      <c r="BD125" s="594"/>
      <c r="BE125" s="594"/>
      <c r="BF125" s="594"/>
    </row>
    <row r="126" spans="47:58">
      <c r="AU126" s="583"/>
      <c r="AV126" s="1094"/>
      <c r="AW126" s="592"/>
      <c r="AX126" s="583"/>
      <c r="AY126" s="592"/>
      <c r="AZ126" s="583"/>
      <c r="BA126" s="583"/>
      <c r="BB126" s="583"/>
      <c r="BC126" s="583"/>
      <c r="BD126" s="594"/>
      <c r="BE126" s="594"/>
      <c r="BF126" s="594"/>
    </row>
    <row r="127" spans="47:58">
      <c r="AU127" s="583"/>
      <c r="AV127" s="1094"/>
      <c r="AW127" s="592"/>
      <c r="AX127" s="583"/>
      <c r="AY127" s="592"/>
      <c r="AZ127" s="583"/>
      <c r="BA127" s="583"/>
      <c r="BB127" s="583"/>
      <c r="BC127" s="583"/>
      <c r="BD127" s="594"/>
      <c r="BE127" s="594"/>
      <c r="BF127" s="594"/>
    </row>
    <row r="128" spans="47:58">
      <c r="AU128" s="583"/>
      <c r="AV128" s="1094"/>
      <c r="AW128" s="592"/>
      <c r="AX128" s="583"/>
      <c r="AY128" s="592"/>
      <c r="AZ128" s="583"/>
      <c r="BA128" s="583"/>
      <c r="BB128" s="583"/>
      <c r="BC128" s="583"/>
      <c r="BD128" s="594"/>
      <c r="BE128" s="594"/>
      <c r="BF128" s="594"/>
    </row>
    <row r="129" spans="47:58">
      <c r="AU129" s="583"/>
      <c r="AV129" s="1094"/>
      <c r="AW129" s="592"/>
      <c r="AX129" s="583"/>
      <c r="AY129" s="592"/>
      <c r="AZ129" s="583"/>
      <c r="BA129" s="583"/>
      <c r="BB129" s="583"/>
      <c r="BC129" s="583"/>
      <c r="BD129" s="594"/>
      <c r="BE129" s="594"/>
      <c r="BF129" s="594"/>
    </row>
    <row r="130" spans="47:58">
      <c r="AU130" s="583"/>
      <c r="AV130" s="1094"/>
      <c r="AW130" s="592"/>
      <c r="AX130" s="583"/>
      <c r="AY130" s="592"/>
      <c r="AZ130" s="583"/>
      <c r="BA130" s="583"/>
      <c r="BB130" s="583"/>
      <c r="BC130" s="583"/>
      <c r="BD130" s="594"/>
      <c r="BE130" s="594"/>
      <c r="BF130" s="594"/>
    </row>
    <row r="131" spans="47:58">
      <c r="AU131" s="583"/>
      <c r="AV131" s="1094"/>
      <c r="AW131" s="592"/>
      <c r="AX131" s="583"/>
      <c r="AY131" s="592"/>
      <c r="AZ131" s="583"/>
      <c r="BA131" s="583"/>
      <c r="BB131" s="583"/>
      <c r="BC131" s="583"/>
      <c r="BD131" s="594"/>
      <c r="BE131" s="594"/>
      <c r="BF131" s="594"/>
    </row>
    <row r="132" spans="47:58">
      <c r="AU132" s="583"/>
      <c r="AV132" s="1094"/>
      <c r="AW132" s="592"/>
      <c r="AX132" s="583"/>
      <c r="AY132" s="592"/>
      <c r="AZ132" s="583"/>
      <c r="BA132" s="583"/>
      <c r="BB132" s="583"/>
      <c r="BC132" s="583"/>
      <c r="BD132" s="594"/>
      <c r="BE132" s="594"/>
      <c r="BF132" s="594"/>
    </row>
    <row r="133" spans="47:58">
      <c r="AU133" s="583"/>
      <c r="AV133" s="1094"/>
      <c r="AW133" s="592"/>
      <c r="AX133" s="583"/>
      <c r="AY133" s="592"/>
      <c r="AZ133" s="583"/>
      <c r="BA133" s="583"/>
      <c r="BB133" s="583"/>
      <c r="BC133" s="583"/>
      <c r="BD133" s="594"/>
      <c r="BE133" s="594"/>
      <c r="BF133" s="594"/>
    </row>
    <row r="134" spans="47:58">
      <c r="AU134" s="583"/>
      <c r="AV134" s="1094"/>
      <c r="AW134" s="592"/>
      <c r="AX134" s="583"/>
      <c r="AY134" s="592"/>
      <c r="AZ134" s="583"/>
      <c r="BA134" s="583"/>
      <c r="BB134" s="583"/>
      <c r="BC134" s="583"/>
      <c r="BD134" s="594"/>
      <c r="BE134" s="594"/>
      <c r="BF134" s="594"/>
    </row>
    <row r="135" spans="47:58">
      <c r="AU135" s="583"/>
      <c r="AV135" s="1094"/>
      <c r="AW135" s="592"/>
      <c r="AX135" s="583"/>
      <c r="AY135" s="592"/>
      <c r="AZ135" s="583"/>
      <c r="BA135" s="583"/>
      <c r="BB135" s="583"/>
      <c r="BC135" s="583"/>
      <c r="BD135" s="594"/>
      <c r="BE135" s="594"/>
      <c r="BF135" s="594"/>
    </row>
    <row r="136" spans="47:58">
      <c r="AU136" s="583"/>
      <c r="AV136" s="1094"/>
      <c r="AW136" s="592"/>
      <c r="AX136" s="583"/>
      <c r="AY136" s="592"/>
      <c r="AZ136" s="583"/>
      <c r="BA136" s="583"/>
      <c r="BB136" s="583"/>
      <c r="BC136" s="583"/>
      <c r="BD136" s="594"/>
      <c r="BE136" s="594"/>
      <c r="BF136" s="594"/>
    </row>
    <row r="137" spans="47:58">
      <c r="AU137" s="583"/>
      <c r="AV137" s="1094"/>
      <c r="AW137" s="592"/>
      <c r="AX137" s="583"/>
      <c r="AY137" s="592"/>
      <c r="AZ137" s="583"/>
      <c r="BA137" s="583"/>
      <c r="BB137" s="583"/>
      <c r="BC137" s="583"/>
      <c r="BD137" s="594"/>
      <c r="BE137" s="594"/>
      <c r="BF137" s="594"/>
    </row>
    <row r="138" spans="47:58">
      <c r="AU138" s="583"/>
      <c r="AV138" s="1094"/>
      <c r="AW138" s="592"/>
      <c r="AX138" s="583"/>
      <c r="AY138" s="592"/>
      <c r="AZ138" s="583"/>
      <c r="BA138" s="583"/>
      <c r="BB138" s="583"/>
      <c r="BC138" s="583"/>
      <c r="BD138" s="594"/>
      <c r="BE138" s="594"/>
      <c r="BF138" s="594"/>
    </row>
    <row r="139" spans="47:58">
      <c r="AU139" s="583"/>
      <c r="AV139" s="1094"/>
      <c r="AW139" s="592"/>
      <c r="AX139" s="583"/>
      <c r="AY139" s="592"/>
      <c r="AZ139" s="583"/>
      <c r="BA139" s="583"/>
      <c r="BB139" s="583"/>
      <c r="BC139" s="583"/>
      <c r="BD139" s="594"/>
      <c r="BE139" s="594"/>
      <c r="BF139" s="594"/>
    </row>
    <row r="140" spans="47:58">
      <c r="AU140" s="583"/>
      <c r="AV140" s="1094"/>
      <c r="AW140" s="592"/>
      <c r="AX140" s="583"/>
      <c r="AY140" s="592"/>
      <c r="AZ140" s="583"/>
      <c r="BA140" s="583"/>
      <c r="BB140" s="583"/>
      <c r="BC140" s="583"/>
      <c r="BD140" s="594"/>
      <c r="BE140" s="594"/>
      <c r="BF140" s="594"/>
    </row>
    <row r="141" spans="47:58">
      <c r="AU141" s="583"/>
      <c r="AV141" s="1094"/>
      <c r="AW141" s="592"/>
      <c r="AX141" s="583"/>
      <c r="AY141" s="592"/>
      <c r="AZ141" s="583"/>
      <c r="BA141" s="583"/>
      <c r="BB141" s="583"/>
      <c r="BC141" s="583"/>
      <c r="BD141" s="594"/>
      <c r="BE141" s="594"/>
      <c r="BF141" s="594"/>
    </row>
    <row r="142" spans="47:58">
      <c r="AU142" s="583"/>
      <c r="AV142" s="1094"/>
      <c r="AW142" s="592"/>
      <c r="AX142" s="583"/>
      <c r="AY142" s="592"/>
      <c r="AZ142" s="583"/>
      <c r="BA142" s="583"/>
      <c r="BB142" s="583"/>
      <c r="BC142" s="583"/>
      <c r="BD142" s="594"/>
      <c r="BE142" s="594"/>
      <c r="BF142" s="594"/>
    </row>
    <row r="143" spans="47:58">
      <c r="AU143" s="583"/>
      <c r="AV143" s="1094"/>
      <c r="AW143" s="592"/>
      <c r="AX143" s="583"/>
      <c r="AY143" s="592"/>
      <c r="AZ143" s="583"/>
      <c r="BA143" s="583"/>
      <c r="BB143" s="583"/>
      <c r="BC143" s="583"/>
      <c r="BD143" s="594"/>
      <c r="BE143" s="594"/>
      <c r="BF143" s="594"/>
    </row>
    <row r="144" spans="47:58">
      <c r="AU144" s="583"/>
      <c r="AV144" s="1094"/>
      <c r="AW144" s="592"/>
      <c r="AX144" s="583"/>
      <c r="AY144" s="592"/>
      <c r="AZ144" s="583"/>
      <c r="BA144" s="583"/>
      <c r="BB144" s="583"/>
      <c r="BC144" s="583"/>
      <c r="BD144" s="594"/>
      <c r="BE144" s="594"/>
      <c r="BF144" s="594"/>
    </row>
    <row r="145" spans="47:58">
      <c r="AU145" s="583"/>
      <c r="AV145" s="1094"/>
      <c r="AW145" s="592"/>
      <c r="AX145" s="583"/>
      <c r="AY145" s="592"/>
      <c r="AZ145" s="583"/>
      <c r="BA145" s="583"/>
      <c r="BB145" s="583"/>
      <c r="BC145" s="583"/>
      <c r="BD145" s="594"/>
      <c r="BE145" s="594"/>
      <c r="BF145" s="594"/>
    </row>
    <row r="146" spans="47:58">
      <c r="AU146" s="583"/>
      <c r="AV146" s="1094"/>
      <c r="AW146" s="592"/>
      <c r="AX146" s="583"/>
      <c r="AY146" s="592"/>
      <c r="AZ146" s="583"/>
      <c r="BA146" s="583"/>
      <c r="BB146" s="583"/>
      <c r="BC146" s="583"/>
      <c r="BD146" s="594"/>
      <c r="BE146" s="594"/>
      <c r="BF146" s="594"/>
    </row>
    <row r="147" spans="47:58">
      <c r="AU147" s="583"/>
      <c r="AV147" s="1094"/>
      <c r="AW147" s="592"/>
      <c r="AX147" s="583"/>
      <c r="AY147" s="592"/>
      <c r="AZ147" s="583"/>
      <c r="BA147" s="583"/>
      <c r="BB147" s="583"/>
      <c r="BC147" s="583"/>
      <c r="BD147" s="594"/>
      <c r="BE147" s="594"/>
      <c r="BF147" s="594"/>
    </row>
    <row r="148" spans="47:58">
      <c r="AU148" s="583"/>
      <c r="AV148" s="1094"/>
      <c r="AW148" s="592"/>
      <c r="AX148" s="583"/>
      <c r="AY148" s="592"/>
      <c r="AZ148" s="583"/>
      <c r="BA148" s="583"/>
      <c r="BB148" s="583"/>
      <c r="BC148" s="583"/>
      <c r="BD148" s="594"/>
      <c r="BE148" s="594"/>
      <c r="BF148" s="594"/>
    </row>
    <row r="149" spans="47:58">
      <c r="AU149" s="583"/>
      <c r="AV149" s="1094"/>
      <c r="AW149" s="592"/>
      <c r="AX149" s="583"/>
      <c r="AY149" s="592"/>
      <c r="AZ149" s="583"/>
      <c r="BA149" s="583"/>
      <c r="BB149" s="583"/>
      <c r="BC149" s="583"/>
      <c r="BD149" s="594"/>
      <c r="BE149" s="594"/>
      <c r="BF149" s="594"/>
    </row>
    <row r="150" spans="47:58">
      <c r="AU150" s="583"/>
      <c r="AV150" s="1094"/>
      <c r="AW150" s="592"/>
      <c r="AX150" s="583"/>
      <c r="AY150" s="592"/>
      <c r="AZ150" s="583"/>
      <c r="BA150" s="583"/>
      <c r="BB150" s="583"/>
      <c r="BC150" s="583"/>
      <c r="BD150" s="594"/>
      <c r="BE150" s="594"/>
      <c r="BF150" s="594"/>
    </row>
    <row r="151" spans="47:58">
      <c r="AU151" s="583"/>
      <c r="AV151" s="1094"/>
      <c r="AW151" s="592"/>
      <c r="AX151" s="583"/>
      <c r="AY151" s="592"/>
      <c r="AZ151" s="583"/>
      <c r="BA151" s="583"/>
      <c r="BB151" s="583"/>
      <c r="BC151" s="583"/>
      <c r="BD151" s="594"/>
      <c r="BE151" s="594"/>
      <c r="BF151" s="594"/>
    </row>
    <row r="152" spans="47:58">
      <c r="AU152" s="583"/>
      <c r="AV152" s="1094"/>
      <c r="AW152" s="592"/>
      <c r="AX152" s="583"/>
      <c r="AY152" s="592"/>
      <c r="AZ152" s="583"/>
      <c r="BA152" s="583"/>
      <c r="BB152" s="583"/>
      <c r="BC152" s="583"/>
      <c r="BD152" s="594"/>
      <c r="BE152" s="594"/>
      <c r="BF152" s="594"/>
    </row>
    <row r="153" spans="47:58">
      <c r="AU153" s="583"/>
      <c r="AV153" s="1094"/>
      <c r="AW153" s="592"/>
      <c r="AX153" s="583"/>
      <c r="AY153" s="592"/>
      <c r="AZ153" s="583"/>
      <c r="BA153" s="583"/>
      <c r="BB153" s="583"/>
      <c r="BC153" s="583"/>
      <c r="BD153" s="594"/>
      <c r="BE153" s="594"/>
      <c r="BF153" s="594"/>
    </row>
    <row r="154" spans="47:58">
      <c r="AU154" s="583"/>
      <c r="AV154" s="1094"/>
      <c r="AW154" s="592"/>
      <c r="AX154" s="583"/>
      <c r="AY154" s="592"/>
      <c r="AZ154" s="583"/>
      <c r="BA154" s="583"/>
      <c r="BB154" s="583"/>
      <c r="BC154" s="583"/>
      <c r="BD154" s="594"/>
      <c r="BE154" s="594"/>
      <c r="BF154" s="594"/>
    </row>
    <row r="155" spans="47:58">
      <c r="AU155" s="583"/>
      <c r="AV155" s="1094"/>
      <c r="AW155" s="592"/>
      <c r="AX155" s="583"/>
      <c r="AY155" s="592"/>
      <c r="AZ155" s="583"/>
      <c r="BA155" s="583"/>
      <c r="BB155" s="583"/>
      <c r="BC155" s="583"/>
      <c r="BD155" s="594"/>
      <c r="BE155" s="594"/>
      <c r="BF155" s="594"/>
    </row>
    <row r="156" spans="47:58">
      <c r="AU156" s="583"/>
      <c r="AV156" s="1094"/>
      <c r="AW156" s="592"/>
      <c r="AX156" s="583"/>
      <c r="AY156" s="592"/>
      <c r="AZ156" s="583"/>
      <c r="BA156" s="583"/>
      <c r="BB156" s="583"/>
      <c r="BC156" s="583"/>
      <c r="BD156" s="594"/>
      <c r="BE156" s="594"/>
      <c r="BF156" s="594"/>
    </row>
    <row r="157" spans="47:58">
      <c r="AU157" s="583"/>
      <c r="AV157" s="1094"/>
      <c r="AW157" s="592"/>
      <c r="AX157" s="583"/>
      <c r="AY157" s="592"/>
      <c r="AZ157" s="583"/>
      <c r="BA157" s="583"/>
      <c r="BB157" s="583"/>
      <c r="BC157" s="583"/>
      <c r="BD157" s="594"/>
      <c r="BE157" s="594"/>
      <c r="BF157" s="594"/>
    </row>
    <row r="158" spans="47:58">
      <c r="AU158" s="583"/>
      <c r="AV158" s="1094"/>
      <c r="AW158" s="592"/>
      <c r="AX158" s="583"/>
      <c r="AY158" s="592"/>
      <c r="AZ158" s="583"/>
      <c r="BA158" s="583"/>
      <c r="BB158" s="583"/>
      <c r="BC158" s="583"/>
      <c r="BD158" s="594"/>
      <c r="BE158" s="594"/>
      <c r="BF158" s="594"/>
    </row>
    <row r="159" spans="47:58">
      <c r="AU159" s="583"/>
      <c r="AV159" s="1094"/>
      <c r="AW159" s="592"/>
      <c r="AX159" s="583"/>
      <c r="AY159" s="592"/>
      <c r="AZ159" s="583"/>
      <c r="BA159" s="583"/>
      <c r="BB159" s="583"/>
      <c r="BC159" s="583"/>
      <c r="BD159" s="594"/>
      <c r="BE159" s="594"/>
      <c r="BF159" s="594"/>
    </row>
    <row r="160" spans="47:58">
      <c r="AU160" s="583"/>
      <c r="AV160" s="1094"/>
      <c r="AW160" s="592"/>
      <c r="AX160" s="583"/>
      <c r="AY160" s="592"/>
      <c r="AZ160" s="583"/>
      <c r="BA160" s="583"/>
      <c r="BB160" s="583"/>
      <c r="BC160" s="583"/>
      <c r="BD160" s="594"/>
      <c r="BE160" s="594"/>
      <c r="BF160" s="594"/>
    </row>
    <row r="161" spans="47:58">
      <c r="AU161" s="583"/>
      <c r="AV161" s="1094"/>
      <c r="AW161" s="592"/>
      <c r="AX161" s="583"/>
      <c r="AY161" s="592"/>
      <c r="AZ161" s="583"/>
      <c r="BA161" s="583"/>
      <c r="BB161" s="583"/>
      <c r="BC161" s="583"/>
      <c r="BD161" s="594"/>
      <c r="BE161" s="594"/>
      <c r="BF161" s="594"/>
    </row>
    <row r="162" spans="47:58">
      <c r="AU162" s="583"/>
      <c r="AV162" s="1094"/>
      <c r="AW162" s="592"/>
      <c r="AX162" s="583"/>
      <c r="AY162" s="592"/>
      <c r="AZ162" s="583"/>
      <c r="BA162" s="583"/>
      <c r="BB162" s="583"/>
      <c r="BC162" s="583"/>
      <c r="BD162" s="594"/>
      <c r="BE162" s="594"/>
      <c r="BF162" s="594"/>
    </row>
    <row r="163" spans="47:58">
      <c r="AU163" s="583"/>
      <c r="AV163" s="1094"/>
      <c r="AW163" s="592"/>
      <c r="AX163" s="583"/>
      <c r="AY163" s="592"/>
      <c r="AZ163" s="583"/>
      <c r="BA163" s="583"/>
      <c r="BB163" s="583"/>
      <c r="BC163" s="583"/>
      <c r="BD163" s="594"/>
      <c r="BE163" s="594"/>
      <c r="BF163" s="594"/>
    </row>
    <row r="164" spans="47:58">
      <c r="AU164" s="583"/>
      <c r="AV164" s="1094"/>
      <c r="AW164" s="592"/>
      <c r="AX164" s="583"/>
      <c r="AY164" s="592"/>
      <c r="AZ164" s="583"/>
      <c r="BA164" s="583"/>
      <c r="BB164" s="583"/>
      <c r="BC164" s="583"/>
      <c r="BD164" s="594"/>
      <c r="BE164" s="594"/>
      <c r="BF164" s="594"/>
    </row>
    <row r="165" spans="47:58">
      <c r="AU165" s="583"/>
      <c r="AV165" s="1094"/>
      <c r="AW165" s="592"/>
      <c r="AX165" s="583"/>
      <c r="AY165" s="592"/>
      <c r="AZ165" s="583"/>
      <c r="BA165" s="583"/>
      <c r="BB165" s="583"/>
      <c r="BC165" s="583"/>
      <c r="BD165" s="594"/>
      <c r="BE165" s="594"/>
      <c r="BF165" s="594"/>
    </row>
    <row r="166" spans="47:58">
      <c r="AU166" s="583"/>
      <c r="AV166" s="1094"/>
      <c r="AW166" s="592"/>
      <c r="AX166" s="583"/>
      <c r="AY166" s="592"/>
      <c r="AZ166" s="583"/>
      <c r="BA166" s="583"/>
      <c r="BB166" s="583"/>
      <c r="BC166" s="583"/>
      <c r="BD166" s="594"/>
      <c r="BE166" s="594"/>
      <c r="BF166" s="594"/>
    </row>
    <row r="167" spans="47:58">
      <c r="AU167" s="583"/>
      <c r="AV167" s="1094"/>
      <c r="AW167" s="592"/>
      <c r="AX167" s="583"/>
      <c r="AY167" s="592"/>
      <c r="AZ167" s="583"/>
      <c r="BA167" s="583"/>
      <c r="BB167" s="583"/>
      <c r="BC167" s="583"/>
      <c r="BD167" s="594"/>
      <c r="BE167" s="594"/>
      <c r="BF167" s="594"/>
    </row>
    <row r="168" spans="47:58">
      <c r="AU168" s="583"/>
      <c r="AV168" s="1094"/>
      <c r="AW168" s="592"/>
      <c r="AX168" s="583"/>
      <c r="AY168" s="592"/>
      <c r="AZ168" s="583"/>
      <c r="BA168" s="583"/>
      <c r="BB168" s="583"/>
      <c r="BC168" s="583"/>
      <c r="BD168" s="594"/>
      <c r="BE168" s="594"/>
      <c r="BF168" s="594"/>
    </row>
    <row r="169" spans="47:58">
      <c r="AU169" s="583"/>
      <c r="AV169" s="1094"/>
      <c r="AW169" s="592"/>
      <c r="AX169" s="583"/>
      <c r="AY169" s="592"/>
      <c r="AZ169" s="583"/>
      <c r="BA169" s="583"/>
      <c r="BB169" s="583"/>
      <c r="BC169" s="583"/>
      <c r="BD169" s="594"/>
      <c r="BE169" s="594"/>
      <c r="BF169" s="594"/>
    </row>
    <row r="170" spans="47:58">
      <c r="AU170" s="583"/>
      <c r="AV170" s="1094"/>
      <c r="AW170" s="592"/>
      <c r="AX170" s="583"/>
      <c r="AY170" s="592"/>
      <c r="AZ170" s="583"/>
      <c r="BA170" s="583"/>
      <c r="BB170" s="583"/>
      <c r="BC170" s="583"/>
      <c r="BD170" s="594"/>
      <c r="BE170" s="594"/>
      <c r="BF170" s="594"/>
    </row>
    <row r="171" spans="47:58">
      <c r="AU171" s="583"/>
      <c r="AV171" s="1094"/>
      <c r="AW171" s="592"/>
      <c r="AX171" s="583"/>
      <c r="AY171" s="592"/>
      <c r="AZ171" s="583"/>
      <c r="BA171" s="583"/>
      <c r="BB171" s="583"/>
      <c r="BC171" s="583"/>
      <c r="BD171" s="594"/>
      <c r="BE171" s="594"/>
      <c r="BF171" s="594"/>
    </row>
    <row r="172" spans="47:58">
      <c r="AU172" s="583"/>
      <c r="AV172" s="1094"/>
      <c r="AW172" s="592"/>
      <c r="AX172" s="583"/>
      <c r="AY172" s="592"/>
      <c r="AZ172" s="583"/>
      <c r="BA172" s="583"/>
      <c r="BB172" s="583"/>
      <c r="BC172" s="583"/>
      <c r="BD172" s="594"/>
      <c r="BE172" s="594"/>
      <c r="BF172" s="594"/>
    </row>
    <row r="173" spans="47:58">
      <c r="AU173" s="583"/>
      <c r="AV173" s="1094"/>
      <c r="AW173" s="592"/>
      <c r="AX173" s="583"/>
      <c r="AY173" s="592"/>
      <c r="AZ173" s="583"/>
      <c r="BA173" s="583"/>
      <c r="BB173" s="583"/>
      <c r="BC173" s="583"/>
      <c r="BD173" s="594"/>
      <c r="BE173" s="594"/>
      <c r="BF173" s="594"/>
    </row>
    <row r="174" spans="47:58">
      <c r="AU174" s="583"/>
      <c r="AV174" s="1094"/>
      <c r="AW174" s="592"/>
      <c r="AX174" s="583"/>
      <c r="AY174" s="592"/>
      <c r="AZ174" s="583"/>
      <c r="BA174" s="583"/>
      <c r="BB174" s="583"/>
      <c r="BC174" s="583"/>
      <c r="BD174" s="594"/>
      <c r="BE174" s="594"/>
      <c r="BF174" s="594"/>
    </row>
    <row r="175" spans="47:58">
      <c r="AU175" s="583"/>
      <c r="AV175" s="1094"/>
      <c r="AW175" s="592"/>
      <c r="AX175" s="583"/>
      <c r="AY175" s="592"/>
      <c r="AZ175" s="583"/>
      <c r="BA175" s="583"/>
      <c r="BB175" s="583"/>
      <c r="BC175" s="583"/>
      <c r="BD175" s="594"/>
      <c r="BE175" s="594"/>
      <c r="BF175" s="594"/>
    </row>
    <row r="176" spans="47:58">
      <c r="AU176" s="583"/>
      <c r="AV176" s="1094"/>
      <c r="AW176" s="592"/>
      <c r="AX176" s="583"/>
      <c r="AY176" s="592"/>
      <c r="AZ176" s="583"/>
      <c r="BA176" s="583"/>
      <c r="BB176" s="583"/>
      <c r="BC176" s="583"/>
      <c r="BD176" s="594"/>
      <c r="BE176" s="594"/>
      <c r="BF176" s="594"/>
    </row>
    <row r="177" spans="47:58">
      <c r="AU177" s="583"/>
      <c r="AV177" s="1094"/>
      <c r="AW177" s="592"/>
      <c r="AX177" s="583"/>
      <c r="AY177" s="592"/>
      <c r="AZ177" s="583"/>
      <c r="BA177" s="583"/>
      <c r="BB177" s="583"/>
      <c r="BC177" s="583"/>
      <c r="BD177" s="594"/>
      <c r="BE177" s="594"/>
      <c r="BF177" s="594"/>
    </row>
    <row r="178" spans="47:58">
      <c r="AU178" s="583"/>
      <c r="AV178" s="1094"/>
      <c r="AW178" s="592"/>
      <c r="AX178" s="583"/>
      <c r="AY178" s="592"/>
      <c r="AZ178" s="583"/>
      <c r="BA178" s="583"/>
      <c r="BB178" s="583"/>
      <c r="BC178" s="583"/>
      <c r="BD178" s="594"/>
      <c r="BE178" s="594"/>
      <c r="BF178" s="594"/>
    </row>
    <row r="179" spans="47:58">
      <c r="AU179" s="583"/>
      <c r="AV179" s="1094"/>
      <c r="AW179" s="592"/>
      <c r="AX179" s="583"/>
      <c r="AY179" s="592"/>
      <c r="AZ179" s="583"/>
      <c r="BA179" s="583"/>
      <c r="BB179" s="583"/>
      <c r="BC179" s="583"/>
      <c r="BD179" s="594"/>
      <c r="BE179" s="594"/>
      <c r="BF179" s="594"/>
    </row>
    <row r="180" spans="47:58">
      <c r="AU180" s="583"/>
      <c r="AV180" s="1094"/>
      <c r="AW180" s="592"/>
      <c r="AX180" s="583"/>
      <c r="AY180" s="592"/>
      <c r="AZ180" s="583"/>
      <c r="BA180" s="583"/>
      <c r="BB180" s="583"/>
      <c r="BC180" s="583"/>
      <c r="BD180" s="594"/>
      <c r="BE180" s="594"/>
      <c r="BF180" s="594"/>
    </row>
    <row r="181" spans="47:58">
      <c r="AU181" s="583"/>
      <c r="AV181" s="1094"/>
      <c r="AW181" s="592"/>
      <c r="AX181" s="583"/>
      <c r="AY181" s="592"/>
      <c r="AZ181" s="583"/>
      <c r="BA181" s="583"/>
      <c r="BB181" s="583"/>
      <c r="BC181" s="583"/>
      <c r="BD181" s="594"/>
      <c r="BE181" s="594"/>
      <c r="BF181" s="594"/>
    </row>
    <row r="182" spans="47:58">
      <c r="AU182" s="583"/>
      <c r="AV182" s="1094"/>
      <c r="AW182" s="592"/>
      <c r="AX182" s="583"/>
      <c r="AY182" s="592"/>
      <c r="AZ182" s="583"/>
      <c r="BA182" s="583"/>
      <c r="BB182" s="583"/>
      <c r="BC182" s="583"/>
      <c r="BD182" s="594"/>
      <c r="BE182" s="594"/>
      <c r="BF182" s="594"/>
    </row>
    <row r="183" spans="47:58">
      <c r="AU183" s="583"/>
      <c r="AV183" s="1094"/>
      <c r="AW183" s="592"/>
      <c r="AX183" s="583"/>
      <c r="AY183" s="592"/>
      <c r="AZ183" s="583"/>
      <c r="BA183" s="583"/>
      <c r="BB183" s="583"/>
      <c r="BC183" s="583"/>
      <c r="BD183" s="594"/>
      <c r="BE183" s="594"/>
      <c r="BF183" s="594"/>
    </row>
    <row r="184" spans="47:58">
      <c r="AU184" s="583"/>
      <c r="AV184" s="1094"/>
      <c r="AW184" s="592"/>
      <c r="AX184" s="583"/>
      <c r="AY184" s="592"/>
      <c r="AZ184" s="583"/>
      <c r="BA184" s="583"/>
      <c r="BB184" s="583"/>
      <c r="BC184" s="583"/>
      <c r="BD184" s="594"/>
      <c r="BE184" s="594"/>
      <c r="BF184" s="594"/>
    </row>
    <row r="185" spans="47:58">
      <c r="AU185" s="583"/>
      <c r="AV185" s="1094"/>
      <c r="AW185" s="592"/>
      <c r="AX185" s="583"/>
      <c r="AY185" s="592"/>
      <c r="AZ185" s="583"/>
      <c r="BA185" s="583"/>
      <c r="BB185" s="583"/>
      <c r="BC185" s="583"/>
      <c r="BD185" s="594"/>
      <c r="BE185" s="594"/>
      <c r="BF185" s="594"/>
    </row>
    <row r="186" spans="47:58">
      <c r="AU186" s="583"/>
      <c r="AV186" s="1094"/>
      <c r="AW186" s="592"/>
      <c r="AX186" s="583"/>
      <c r="AY186" s="592"/>
      <c r="AZ186" s="583"/>
      <c r="BA186" s="583"/>
      <c r="BB186" s="583"/>
      <c r="BC186" s="583"/>
      <c r="BD186" s="594"/>
      <c r="BE186" s="594"/>
      <c r="BF186" s="594"/>
    </row>
    <row r="187" spans="47:58">
      <c r="AU187" s="583"/>
      <c r="AV187" s="1094"/>
      <c r="AW187" s="592"/>
      <c r="AX187" s="583"/>
      <c r="AY187" s="592"/>
      <c r="AZ187" s="583"/>
      <c r="BA187" s="583"/>
      <c r="BB187" s="583"/>
      <c r="BC187" s="583"/>
      <c r="BD187" s="594"/>
      <c r="BE187" s="594"/>
      <c r="BF187" s="594"/>
    </row>
    <row r="188" spans="47:58">
      <c r="AU188" s="583"/>
      <c r="AV188" s="1094"/>
      <c r="AW188" s="592"/>
      <c r="AX188" s="583"/>
      <c r="AY188" s="592"/>
      <c r="AZ188" s="583"/>
      <c r="BA188" s="583"/>
      <c r="BB188" s="583"/>
      <c r="BC188" s="583"/>
      <c r="BD188" s="594"/>
      <c r="BE188" s="594"/>
      <c r="BF188" s="594"/>
    </row>
    <row r="189" spans="47:58">
      <c r="AU189" s="583"/>
      <c r="AV189" s="1094"/>
      <c r="AW189" s="592"/>
      <c r="AX189" s="583"/>
      <c r="AY189" s="592"/>
      <c r="AZ189" s="583"/>
      <c r="BA189" s="583"/>
      <c r="BB189" s="583"/>
      <c r="BC189" s="583"/>
      <c r="BD189" s="594"/>
      <c r="BE189" s="594"/>
      <c r="BF189" s="594"/>
    </row>
    <row r="190" spans="47:58">
      <c r="AU190" s="583"/>
      <c r="AV190" s="1094"/>
      <c r="AW190" s="592"/>
      <c r="AX190" s="583"/>
      <c r="AY190" s="592"/>
      <c r="AZ190" s="583"/>
      <c r="BA190" s="583"/>
      <c r="BB190" s="583"/>
      <c r="BC190" s="583"/>
      <c r="BD190" s="594"/>
      <c r="BE190" s="594"/>
      <c r="BF190" s="594"/>
    </row>
    <row r="191" spans="47:58">
      <c r="AU191" s="583"/>
      <c r="AV191" s="1094"/>
      <c r="AW191" s="592"/>
      <c r="AX191" s="583"/>
      <c r="AY191" s="592"/>
      <c r="AZ191" s="583"/>
      <c r="BA191" s="583"/>
      <c r="BB191" s="583"/>
      <c r="BC191" s="583"/>
      <c r="BD191" s="594"/>
      <c r="BE191" s="594"/>
      <c r="BF191" s="594"/>
    </row>
    <row r="192" spans="47:58">
      <c r="AU192" s="583"/>
      <c r="AV192" s="1094"/>
      <c r="AW192" s="592"/>
      <c r="AX192" s="583"/>
      <c r="AY192" s="592"/>
      <c r="AZ192" s="583"/>
      <c r="BA192" s="583"/>
      <c r="BB192" s="583"/>
      <c r="BC192" s="583"/>
      <c r="BD192" s="594"/>
      <c r="BE192" s="594"/>
      <c r="BF192" s="594"/>
    </row>
    <row r="193" spans="47:58">
      <c r="AU193" s="583"/>
      <c r="AV193" s="1094"/>
      <c r="AW193" s="592"/>
      <c r="AX193" s="583"/>
      <c r="AY193" s="592"/>
      <c r="AZ193" s="583"/>
      <c r="BA193" s="583"/>
      <c r="BB193" s="583"/>
      <c r="BC193" s="583"/>
      <c r="BD193" s="594"/>
      <c r="BE193" s="594"/>
      <c r="BF193" s="594"/>
    </row>
    <row r="194" spans="47:58">
      <c r="AU194" s="583"/>
      <c r="AV194" s="1094"/>
      <c r="AW194" s="592"/>
      <c r="AX194" s="583"/>
      <c r="AY194" s="592"/>
      <c r="AZ194" s="583"/>
      <c r="BA194" s="583"/>
      <c r="BB194" s="583"/>
      <c r="BC194" s="583"/>
      <c r="BD194" s="594"/>
      <c r="BE194" s="594"/>
      <c r="BF194" s="594"/>
    </row>
    <row r="195" spans="47:58">
      <c r="AU195" s="583"/>
      <c r="AV195" s="1094"/>
      <c r="AW195" s="592"/>
      <c r="AX195" s="583"/>
      <c r="AY195" s="592"/>
      <c r="AZ195" s="583"/>
      <c r="BA195" s="583"/>
      <c r="BB195" s="583"/>
      <c r="BC195" s="583"/>
      <c r="BD195" s="594"/>
      <c r="BE195" s="594"/>
      <c r="BF195" s="594"/>
    </row>
    <row r="196" spans="47:58">
      <c r="AU196" s="583"/>
      <c r="AV196" s="1094"/>
      <c r="AW196" s="592"/>
      <c r="AX196" s="583"/>
      <c r="AY196" s="592"/>
      <c r="AZ196" s="583"/>
      <c r="BA196" s="583"/>
      <c r="BB196" s="583"/>
      <c r="BC196" s="583"/>
      <c r="BD196" s="594"/>
      <c r="BE196" s="594"/>
      <c r="BF196" s="594"/>
    </row>
    <row r="197" spans="47:58">
      <c r="AU197" s="583"/>
      <c r="AV197" s="1094"/>
      <c r="AW197" s="592"/>
      <c r="AX197" s="583"/>
      <c r="AY197" s="592"/>
      <c r="AZ197" s="583"/>
      <c r="BA197" s="583"/>
      <c r="BB197" s="583"/>
      <c r="BC197" s="583"/>
      <c r="BD197" s="594"/>
      <c r="BE197" s="594"/>
      <c r="BF197" s="594"/>
    </row>
    <row r="198" spans="47:58">
      <c r="AU198" s="583"/>
      <c r="AV198" s="1094"/>
      <c r="AW198" s="592"/>
      <c r="AX198" s="583"/>
      <c r="AY198" s="592"/>
      <c r="AZ198" s="583"/>
      <c r="BA198" s="583"/>
      <c r="BB198" s="583"/>
      <c r="BC198" s="583"/>
      <c r="BD198" s="594"/>
      <c r="BE198" s="594"/>
      <c r="BF198" s="594"/>
    </row>
    <row r="199" spans="47:58">
      <c r="AU199" s="583"/>
      <c r="AV199" s="1094"/>
      <c r="AW199" s="592"/>
      <c r="AX199" s="583"/>
      <c r="AY199" s="592"/>
      <c r="AZ199" s="583"/>
      <c r="BA199" s="583"/>
      <c r="BB199" s="583"/>
      <c r="BC199" s="583"/>
      <c r="BD199" s="594"/>
      <c r="BE199" s="594"/>
      <c r="BF199" s="594"/>
    </row>
    <row r="200" spans="47:58">
      <c r="AU200" s="583"/>
      <c r="AV200" s="1094"/>
      <c r="AW200" s="592"/>
      <c r="AX200" s="583"/>
      <c r="AY200" s="592"/>
      <c r="AZ200" s="583"/>
      <c r="BA200" s="583"/>
      <c r="BB200" s="583"/>
      <c r="BC200" s="583"/>
      <c r="BD200" s="594"/>
      <c r="BE200" s="594"/>
      <c r="BF200" s="594"/>
    </row>
    <row r="201" spans="47:58">
      <c r="AU201" s="583"/>
      <c r="AV201" s="1094"/>
      <c r="AW201" s="592"/>
      <c r="AX201" s="583"/>
      <c r="AY201" s="592"/>
      <c r="AZ201" s="583"/>
      <c r="BA201" s="583"/>
      <c r="BB201" s="583"/>
      <c r="BC201" s="583"/>
      <c r="BD201" s="594"/>
      <c r="BE201" s="594"/>
      <c r="BF201" s="594"/>
    </row>
    <row r="202" spans="47:58">
      <c r="AU202" s="583"/>
      <c r="AV202" s="1094"/>
      <c r="AW202" s="592"/>
      <c r="AX202" s="583"/>
      <c r="AY202" s="592"/>
      <c r="AZ202" s="583"/>
      <c r="BA202" s="583"/>
      <c r="BB202" s="583"/>
      <c r="BC202" s="583"/>
      <c r="BD202" s="594"/>
      <c r="BE202" s="594"/>
      <c r="BF202" s="594"/>
    </row>
    <row r="203" spans="47:58">
      <c r="AU203" s="583"/>
      <c r="AV203" s="1094"/>
      <c r="AW203" s="592"/>
      <c r="AX203" s="583"/>
      <c r="AY203" s="592"/>
      <c r="AZ203" s="583"/>
      <c r="BA203" s="583"/>
      <c r="BB203" s="583"/>
      <c r="BC203" s="583"/>
      <c r="BD203" s="594"/>
      <c r="BE203" s="594"/>
      <c r="BF203" s="594"/>
    </row>
    <row r="204" spans="47:58">
      <c r="AU204" s="583"/>
      <c r="AV204" s="1094"/>
      <c r="AW204" s="592"/>
      <c r="AX204" s="583"/>
      <c r="AY204" s="592"/>
      <c r="AZ204" s="583"/>
      <c r="BA204" s="583"/>
      <c r="BB204" s="583"/>
      <c r="BC204" s="583"/>
      <c r="BD204" s="594"/>
      <c r="BE204" s="594"/>
      <c r="BF204" s="594"/>
    </row>
    <row r="205" spans="47:58">
      <c r="AU205" s="583"/>
      <c r="AV205" s="1094"/>
      <c r="AW205" s="592"/>
      <c r="AX205" s="583"/>
      <c r="AY205" s="592"/>
      <c r="AZ205" s="583"/>
      <c r="BA205" s="583"/>
      <c r="BB205" s="583"/>
      <c r="BC205" s="583"/>
      <c r="BD205" s="594"/>
      <c r="BE205" s="594"/>
      <c r="BF205" s="594"/>
    </row>
    <row r="206" spans="47:58">
      <c r="AU206" s="583"/>
      <c r="AV206" s="1094"/>
      <c r="AW206" s="592"/>
      <c r="AX206" s="583"/>
      <c r="AY206" s="592"/>
      <c r="AZ206" s="583"/>
      <c r="BA206" s="583"/>
      <c r="BB206" s="583"/>
      <c r="BC206" s="583"/>
      <c r="BD206" s="594"/>
      <c r="BE206" s="594"/>
      <c r="BF206" s="594"/>
    </row>
    <row r="207" spans="47:58">
      <c r="AU207" s="583"/>
      <c r="AV207" s="1094"/>
      <c r="AW207" s="592"/>
      <c r="AX207" s="583"/>
      <c r="AY207" s="592"/>
      <c r="AZ207" s="583"/>
      <c r="BA207" s="583"/>
      <c r="BB207" s="583"/>
      <c r="BC207" s="583"/>
      <c r="BD207" s="594"/>
      <c r="BE207" s="594"/>
      <c r="BF207" s="594"/>
    </row>
    <row r="208" spans="47:58">
      <c r="AU208" s="583"/>
      <c r="AV208" s="1094"/>
      <c r="AW208" s="592"/>
      <c r="AX208" s="583"/>
      <c r="AY208" s="592"/>
      <c r="AZ208" s="583"/>
      <c r="BA208" s="583"/>
      <c r="BB208" s="583"/>
      <c r="BC208" s="583"/>
      <c r="BD208" s="594"/>
      <c r="BE208" s="594"/>
      <c r="BF208" s="594"/>
    </row>
    <row r="209" spans="47:58">
      <c r="AU209" s="583"/>
      <c r="AV209" s="1094"/>
      <c r="AW209" s="592"/>
      <c r="AX209" s="583"/>
      <c r="AY209" s="592"/>
      <c r="AZ209" s="583"/>
      <c r="BA209" s="583"/>
      <c r="BB209" s="583"/>
      <c r="BC209" s="583"/>
      <c r="BD209" s="594"/>
      <c r="BE209" s="594"/>
      <c r="BF209" s="594"/>
    </row>
    <row r="210" spans="47:58">
      <c r="AU210" s="583"/>
      <c r="AV210" s="1094"/>
      <c r="AW210" s="592"/>
      <c r="AX210" s="583"/>
      <c r="AY210" s="592"/>
      <c r="AZ210" s="583"/>
      <c r="BA210" s="583"/>
      <c r="BB210" s="583"/>
      <c r="BC210" s="583"/>
      <c r="BD210" s="594"/>
      <c r="BE210" s="594"/>
      <c r="BF210" s="594"/>
    </row>
    <row r="211" spans="47:58">
      <c r="AU211" s="583"/>
      <c r="AV211" s="1094"/>
      <c r="AW211" s="592"/>
      <c r="AX211" s="583"/>
      <c r="AY211" s="592"/>
      <c r="AZ211" s="583"/>
      <c r="BA211" s="583"/>
      <c r="BB211" s="583"/>
      <c r="BC211" s="583"/>
      <c r="BD211" s="594"/>
      <c r="BE211" s="594"/>
      <c r="BF211" s="594"/>
    </row>
    <row r="212" spans="47:58">
      <c r="AU212" s="583"/>
      <c r="AV212" s="1094"/>
      <c r="AW212" s="592"/>
      <c r="AX212" s="583"/>
      <c r="AY212" s="592"/>
      <c r="AZ212" s="583"/>
      <c r="BA212" s="583"/>
      <c r="BB212" s="583"/>
      <c r="BC212" s="583"/>
      <c r="BD212" s="594"/>
      <c r="BE212" s="594"/>
      <c r="BF212" s="594"/>
    </row>
    <row r="213" spans="47:58">
      <c r="AU213" s="583"/>
      <c r="AV213" s="1094"/>
      <c r="AW213" s="592"/>
      <c r="AX213" s="583"/>
      <c r="AY213" s="592"/>
      <c r="AZ213" s="583"/>
      <c r="BA213" s="583"/>
      <c r="BB213" s="583"/>
      <c r="BC213" s="583"/>
      <c r="BD213" s="594"/>
      <c r="BE213" s="594"/>
      <c r="BF213" s="594"/>
    </row>
    <row r="214" spans="47:58">
      <c r="AU214" s="583"/>
      <c r="AV214" s="1094"/>
      <c r="AW214" s="592"/>
      <c r="AX214" s="583"/>
      <c r="AY214" s="592"/>
      <c r="AZ214" s="583"/>
      <c r="BA214" s="583"/>
      <c r="BB214" s="583"/>
      <c r="BC214" s="583"/>
      <c r="BD214" s="594"/>
      <c r="BE214" s="594"/>
      <c r="BF214" s="594"/>
    </row>
    <row r="215" spans="47:58">
      <c r="AU215" s="583"/>
      <c r="AV215" s="1094"/>
      <c r="AW215" s="592"/>
      <c r="AX215" s="583"/>
      <c r="AY215" s="592"/>
      <c r="AZ215" s="583"/>
      <c r="BA215" s="583"/>
      <c r="BB215" s="583"/>
      <c r="BC215" s="583"/>
      <c r="BD215" s="594"/>
      <c r="BE215" s="594"/>
      <c r="BF215" s="594"/>
    </row>
    <row r="216" spans="47:58">
      <c r="AU216" s="583"/>
      <c r="AV216" s="1094"/>
      <c r="AW216" s="592"/>
      <c r="AX216" s="583"/>
      <c r="AY216" s="592"/>
      <c r="AZ216" s="583"/>
      <c r="BA216" s="583"/>
      <c r="BB216" s="583"/>
      <c r="BC216" s="583"/>
      <c r="BD216" s="594"/>
      <c r="BE216" s="594"/>
      <c r="BF216" s="594"/>
    </row>
    <row r="217" spans="47:58">
      <c r="AU217" s="583"/>
      <c r="AV217" s="1094"/>
      <c r="AW217" s="592"/>
      <c r="AX217" s="583"/>
      <c r="AY217" s="592"/>
      <c r="AZ217" s="583"/>
      <c r="BA217" s="583"/>
      <c r="BB217" s="583"/>
      <c r="BC217" s="583"/>
      <c r="BD217" s="594"/>
      <c r="BE217" s="594"/>
      <c r="BF217" s="594"/>
    </row>
    <row r="218" spans="47:58">
      <c r="AU218" s="583"/>
      <c r="AV218" s="1094"/>
      <c r="AW218" s="592"/>
      <c r="AX218" s="583"/>
      <c r="AY218" s="592"/>
      <c r="AZ218" s="583"/>
      <c r="BA218" s="583"/>
      <c r="BB218" s="583"/>
      <c r="BC218" s="583"/>
      <c r="BD218" s="594"/>
      <c r="BE218" s="594"/>
      <c r="BF218" s="594"/>
    </row>
    <row r="219" spans="47:58">
      <c r="AU219" s="583"/>
      <c r="AV219" s="1094"/>
      <c r="AW219" s="592"/>
      <c r="AX219" s="583"/>
      <c r="AY219" s="592"/>
      <c r="AZ219" s="583"/>
      <c r="BA219" s="583"/>
      <c r="BB219" s="583"/>
      <c r="BC219" s="583"/>
      <c r="BD219" s="594"/>
      <c r="BE219" s="594"/>
      <c r="BF219" s="594"/>
    </row>
    <row r="220" spans="47:58">
      <c r="AU220" s="583"/>
      <c r="AV220" s="1094"/>
      <c r="AW220" s="592"/>
      <c r="AX220" s="583"/>
      <c r="AY220" s="592"/>
      <c r="AZ220" s="583"/>
      <c r="BA220" s="583"/>
      <c r="BB220" s="583"/>
      <c r="BC220" s="583"/>
      <c r="BD220" s="594"/>
      <c r="BE220" s="594"/>
      <c r="BF220" s="594"/>
    </row>
    <row r="221" spans="47:58">
      <c r="AU221" s="583"/>
      <c r="AV221" s="1094"/>
      <c r="AW221" s="592"/>
      <c r="AX221" s="583"/>
      <c r="AY221" s="592"/>
      <c r="AZ221" s="583"/>
      <c r="BA221" s="583"/>
      <c r="BB221" s="583"/>
      <c r="BC221" s="583"/>
      <c r="BD221" s="594"/>
      <c r="BE221" s="594"/>
      <c r="BF221" s="594"/>
    </row>
    <row r="222" spans="47:58">
      <c r="AU222" s="583"/>
      <c r="AV222" s="1094"/>
      <c r="AW222" s="592"/>
      <c r="AX222" s="583"/>
      <c r="AY222" s="592"/>
      <c r="AZ222" s="583"/>
      <c r="BA222" s="583"/>
      <c r="BB222" s="583"/>
      <c r="BC222" s="583"/>
      <c r="BD222" s="594"/>
      <c r="BE222" s="594"/>
      <c r="BF222" s="594"/>
    </row>
    <row r="223" spans="47:58">
      <c r="AU223" s="583"/>
      <c r="AV223" s="1094"/>
      <c r="AW223" s="592"/>
      <c r="AX223" s="583"/>
      <c r="AY223" s="592"/>
      <c r="AZ223" s="583"/>
      <c r="BA223" s="583"/>
      <c r="BB223" s="583"/>
      <c r="BC223" s="583"/>
      <c r="BD223" s="594"/>
      <c r="BE223" s="594"/>
      <c r="BF223" s="594"/>
    </row>
    <row r="224" spans="47:58">
      <c r="AU224" s="583"/>
      <c r="AV224" s="1094"/>
      <c r="AW224" s="592"/>
      <c r="AX224" s="583"/>
      <c r="AY224" s="592"/>
      <c r="AZ224" s="583"/>
      <c r="BA224" s="583"/>
      <c r="BB224" s="583"/>
      <c r="BC224" s="583"/>
      <c r="BD224" s="594"/>
      <c r="BE224" s="594"/>
      <c r="BF224" s="594"/>
    </row>
    <row r="225" spans="47:58">
      <c r="AU225" s="583"/>
      <c r="AV225" s="1094"/>
      <c r="AW225" s="592"/>
      <c r="AX225" s="583"/>
      <c r="AY225" s="592"/>
      <c r="AZ225" s="583"/>
      <c r="BA225" s="583"/>
      <c r="BB225" s="583"/>
      <c r="BC225" s="583"/>
      <c r="BD225" s="594"/>
      <c r="BE225" s="594"/>
      <c r="BF225" s="594"/>
    </row>
    <row r="226" spans="47:58">
      <c r="AU226" s="583"/>
      <c r="AV226" s="1094"/>
      <c r="AW226" s="592"/>
      <c r="AX226" s="583"/>
      <c r="AY226" s="592"/>
      <c r="AZ226" s="583"/>
      <c r="BA226" s="583"/>
      <c r="BB226" s="583"/>
      <c r="BC226" s="583"/>
      <c r="BD226" s="594"/>
      <c r="BE226" s="594"/>
      <c r="BF226" s="594"/>
    </row>
    <row r="227" spans="47:58">
      <c r="AU227" s="583"/>
      <c r="AV227" s="1094"/>
      <c r="AW227" s="592"/>
      <c r="AX227" s="583"/>
      <c r="AY227" s="592"/>
      <c r="AZ227" s="583"/>
      <c r="BA227" s="583"/>
      <c r="BB227" s="583"/>
      <c r="BC227" s="583"/>
      <c r="BD227" s="594"/>
      <c r="BE227" s="594"/>
      <c r="BF227" s="594"/>
    </row>
    <row r="228" spans="47:58">
      <c r="AU228" s="583"/>
      <c r="AV228" s="1094"/>
      <c r="AW228" s="592"/>
      <c r="AX228" s="583"/>
      <c r="AY228" s="592"/>
      <c r="AZ228" s="583"/>
      <c r="BA228" s="583"/>
      <c r="BB228" s="583"/>
      <c r="BC228" s="583"/>
      <c r="BD228" s="594"/>
      <c r="BE228" s="594"/>
      <c r="BF228" s="594"/>
    </row>
    <row r="229" spans="47:58">
      <c r="AU229" s="583"/>
      <c r="AV229" s="1094"/>
      <c r="AW229" s="592"/>
      <c r="AX229" s="583"/>
      <c r="AY229" s="592"/>
      <c r="AZ229" s="583"/>
      <c r="BA229" s="583"/>
      <c r="BB229" s="583"/>
      <c r="BC229" s="583"/>
      <c r="BD229" s="594"/>
      <c r="BE229" s="594"/>
      <c r="BF229" s="594"/>
    </row>
    <row r="230" spans="47:58">
      <c r="AU230" s="583"/>
      <c r="AV230" s="1094"/>
      <c r="AW230" s="592"/>
      <c r="AX230" s="583"/>
      <c r="AY230" s="592"/>
      <c r="AZ230" s="583"/>
      <c r="BA230" s="583"/>
      <c r="BB230" s="583"/>
      <c r="BC230" s="583"/>
      <c r="BD230" s="594"/>
      <c r="BE230" s="594"/>
      <c r="BF230" s="594"/>
    </row>
    <row r="231" spans="47:58">
      <c r="AU231" s="583"/>
      <c r="AV231" s="1094"/>
      <c r="AW231" s="592"/>
      <c r="AX231" s="583"/>
      <c r="AY231" s="592"/>
      <c r="AZ231" s="583"/>
      <c r="BA231" s="583"/>
      <c r="BB231" s="583"/>
      <c r="BC231" s="583"/>
      <c r="BD231" s="594"/>
      <c r="BE231" s="594"/>
      <c r="BF231" s="594"/>
    </row>
    <row r="232" spans="47:58">
      <c r="AU232" s="583"/>
      <c r="AV232" s="1094"/>
      <c r="AW232" s="592"/>
      <c r="AX232" s="583"/>
      <c r="AY232" s="592"/>
      <c r="AZ232" s="583"/>
      <c r="BA232" s="583"/>
      <c r="BB232" s="583"/>
      <c r="BC232" s="583"/>
      <c r="BD232" s="594"/>
      <c r="BE232" s="594"/>
      <c r="BF232" s="594"/>
    </row>
    <row r="233" spans="47:58">
      <c r="AU233" s="583"/>
      <c r="AV233" s="1094"/>
      <c r="AW233" s="592"/>
      <c r="AX233" s="583"/>
      <c r="AY233" s="592"/>
      <c r="AZ233" s="583"/>
      <c r="BA233" s="583"/>
      <c r="BB233" s="583"/>
      <c r="BC233" s="583"/>
      <c r="BD233" s="594"/>
      <c r="BE233" s="594"/>
      <c r="BF233" s="594"/>
    </row>
    <row r="234" spans="47:58">
      <c r="AU234" s="583"/>
      <c r="AV234" s="1094"/>
      <c r="AW234" s="592"/>
      <c r="AX234" s="583"/>
      <c r="AY234" s="592"/>
      <c r="AZ234" s="583"/>
      <c r="BA234" s="583"/>
      <c r="BB234" s="583"/>
      <c r="BC234" s="583"/>
      <c r="BD234" s="594"/>
      <c r="BE234" s="594"/>
      <c r="BF234" s="594"/>
    </row>
    <row r="235" spans="47:58">
      <c r="AU235" s="583"/>
      <c r="AV235" s="1094"/>
      <c r="AW235" s="592"/>
      <c r="AX235" s="583"/>
      <c r="AY235" s="592"/>
      <c r="AZ235" s="583"/>
      <c r="BA235" s="583"/>
      <c r="BB235" s="583"/>
      <c r="BC235" s="583"/>
      <c r="BD235" s="594"/>
      <c r="BE235" s="594"/>
      <c r="BF235" s="594"/>
    </row>
    <row r="236" spans="47:58">
      <c r="AU236" s="583"/>
      <c r="AV236" s="1094"/>
      <c r="AW236" s="592"/>
      <c r="AX236" s="583"/>
      <c r="AY236" s="592"/>
      <c r="AZ236" s="583"/>
      <c r="BA236" s="583"/>
      <c r="BB236" s="583"/>
      <c r="BC236" s="583"/>
      <c r="BD236" s="594"/>
      <c r="BE236" s="594"/>
      <c r="BF236" s="594"/>
    </row>
    <row r="237" spans="47:58">
      <c r="AU237" s="583"/>
      <c r="AV237" s="1094"/>
      <c r="AW237" s="592"/>
      <c r="AX237" s="583"/>
      <c r="AY237" s="592"/>
      <c r="AZ237" s="583"/>
      <c r="BA237" s="583"/>
      <c r="BB237" s="583"/>
      <c r="BC237" s="583"/>
      <c r="BD237" s="594"/>
      <c r="BE237" s="594"/>
      <c r="BF237" s="594"/>
    </row>
    <row r="238" spans="47:58">
      <c r="AU238" s="583"/>
      <c r="AV238" s="1094"/>
      <c r="AW238" s="592"/>
      <c r="AX238" s="583"/>
      <c r="AY238" s="592"/>
      <c r="AZ238" s="583"/>
      <c r="BA238" s="583"/>
      <c r="BB238" s="583"/>
      <c r="BC238" s="583"/>
      <c r="BD238" s="594"/>
      <c r="BE238" s="594"/>
      <c r="BF238" s="594"/>
    </row>
    <row r="239" spans="47:58">
      <c r="AU239" s="583"/>
      <c r="AV239" s="1094"/>
      <c r="AW239" s="592"/>
      <c r="AX239" s="583"/>
      <c r="AY239" s="592"/>
      <c r="AZ239" s="583"/>
      <c r="BA239" s="583"/>
      <c r="BB239" s="583"/>
      <c r="BC239" s="583"/>
      <c r="BD239" s="594"/>
      <c r="BE239" s="594"/>
      <c r="BF239" s="594"/>
    </row>
    <row r="240" spans="47:58">
      <c r="AU240" s="583"/>
      <c r="AV240" s="1094"/>
      <c r="AW240" s="592"/>
      <c r="AX240" s="583"/>
      <c r="AY240" s="592"/>
      <c r="AZ240" s="583"/>
      <c r="BA240" s="583"/>
      <c r="BB240" s="583"/>
      <c r="BC240" s="583"/>
      <c r="BD240" s="594"/>
      <c r="BE240" s="594"/>
      <c r="BF240" s="594"/>
    </row>
    <row r="241" spans="47:58">
      <c r="AU241" s="583"/>
      <c r="AV241" s="1094"/>
      <c r="AW241" s="592"/>
      <c r="AX241" s="583"/>
      <c r="AY241" s="592"/>
      <c r="AZ241" s="583"/>
      <c r="BA241" s="583"/>
      <c r="BB241" s="583"/>
      <c r="BC241" s="583"/>
      <c r="BD241" s="594"/>
      <c r="BE241" s="594"/>
      <c r="BF241" s="594"/>
    </row>
    <row r="242" spans="47:58">
      <c r="AU242" s="583"/>
      <c r="AV242" s="1094"/>
      <c r="AW242" s="592"/>
      <c r="AX242" s="583"/>
      <c r="AY242" s="592"/>
      <c r="AZ242" s="583"/>
      <c r="BA242" s="583"/>
      <c r="BB242" s="583"/>
      <c r="BC242" s="583"/>
      <c r="BD242" s="594"/>
      <c r="BE242" s="594"/>
      <c r="BF242" s="594"/>
    </row>
    <row r="243" spans="47:58">
      <c r="AU243" s="583"/>
      <c r="AV243" s="1094"/>
      <c r="AW243" s="592"/>
      <c r="AX243" s="583"/>
      <c r="AY243" s="592"/>
      <c r="AZ243" s="583"/>
      <c r="BA243" s="583"/>
      <c r="BB243" s="583"/>
      <c r="BC243" s="583"/>
      <c r="BD243" s="594"/>
      <c r="BE243" s="594"/>
      <c r="BF243" s="594"/>
    </row>
    <row r="244" spans="47:58">
      <c r="AU244" s="583"/>
      <c r="AV244" s="1094"/>
      <c r="AW244" s="592"/>
      <c r="AX244" s="583"/>
      <c r="AY244" s="592"/>
      <c r="AZ244" s="583"/>
      <c r="BA244" s="583"/>
      <c r="BB244" s="583"/>
      <c r="BC244" s="583"/>
      <c r="BD244" s="594"/>
      <c r="BE244" s="594"/>
      <c r="BF244" s="594"/>
    </row>
    <row r="245" spans="47:58">
      <c r="AU245" s="583"/>
      <c r="AV245" s="1094"/>
      <c r="AW245" s="592"/>
      <c r="AX245" s="583"/>
      <c r="AY245" s="592"/>
      <c r="AZ245" s="583"/>
      <c r="BA245" s="583"/>
      <c r="BB245" s="583"/>
      <c r="BC245" s="583"/>
      <c r="BD245" s="594"/>
      <c r="BE245" s="594"/>
      <c r="BF245" s="594"/>
    </row>
    <row r="246" spans="47:58">
      <c r="AU246" s="583"/>
      <c r="AV246" s="1094"/>
      <c r="AW246" s="592"/>
      <c r="AX246" s="583"/>
      <c r="AY246" s="592"/>
      <c r="AZ246" s="583"/>
      <c r="BA246" s="583"/>
      <c r="BB246" s="583"/>
      <c r="BC246" s="583"/>
      <c r="BD246" s="594"/>
      <c r="BE246" s="594"/>
      <c r="BF246" s="594"/>
    </row>
    <row r="247" spans="47:58">
      <c r="AU247" s="583"/>
      <c r="AV247" s="1094"/>
      <c r="AW247" s="592"/>
      <c r="AX247" s="583"/>
      <c r="AY247" s="592"/>
      <c r="AZ247" s="583"/>
      <c r="BA247" s="583"/>
      <c r="BB247" s="583"/>
      <c r="BC247" s="583"/>
      <c r="BD247" s="594"/>
      <c r="BE247" s="594"/>
      <c r="BF247" s="594"/>
    </row>
    <row r="248" spans="47:58">
      <c r="AU248" s="583"/>
      <c r="AV248" s="1094"/>
      <c r="AW248" s="592"/>
      <c r="AX248" s="583"/>
      <c r="AY248" s="592"/>
      <c r="AZ248" s="583"/>
      <c r="BA248" s="583"/>
      <c r="BB248" s="583"/>
      <c r="BC248" s="583"/>
      <c r="BD248" s="594"/>
      <c r="BE248" s="594"/>
      <c r="BF248" s="594"/>
    </row>
    <row r="249" spans="47:58">
      <c r="AU249" s="583"/>
      <c r="AV249" s="1094"/>
      <c r="AW249" s="592"/>
      <c r="AX249" s="583"/>
      <c r="AY249" s="592"/>
      <c r="AZ249" s="583"/>
      <c r="BA249" s="583"/>
      <c r="BB249" s="583"/>
      <c r="BC249" s="583"/>
      <c r="BD249" s="594"/>
      <c r="BE249" s="594"/>
      <c r="BF249" s="594"/>
    </row>
    <row r="250" spans="47:58">
      <c r="AU250" s="583"/>
      <c r="AV250" s="1094"/>
      <c r="AW250" s="592"/>
      <c r="AX250" s="583"/>
      <c r="AY250" s="592"/>
      <c r="AZ250" s="583"/>
      <c r="BA250" s="583"/>
      <c r="BB250" s="583"/>
      <c r="BC250" s="583"/>
      <c r="BD250" s="594"/>
      <c r="BE250" s="594"/>
      <c r="BF250" s="594"/>
    </row>
    <row r="251" spans="47:58">
      <c r="AU251" s="583"/>
      <c r="AV251" s="1094"/>
      <c r="AW251" s="592"/>
      <c r="AX251" s="583"/>
      <c r="AY251" s="592"/>
      <c r="AZ251" s="583"/>
      <c r="BA251" s="583"/>
      <c r="BB251" s="583"/>
      <c r="BC251" s="583"/>
      <c r="BD251" s="594"/>
      <c r="BE251" s="594"/>
      <c r="BF251" s="594"/>
    </row>
    <row r="252" spans="47:58">
      <c r="AU252" s="583"/>
      <c r="AV252" s="1094"/>
      <c r="AW252" s="592"/>
      <c r="AX252" s="583"/>
      <c r="AY252" s="592"/>
      <c r="AZ252" s="583"/>
      <c r="BA252" s="583"/>
      <c r="BB252" s="583"/>
      <c r="BC252" s="583"/>
      <c r="BD252" s="594"/>
      <c r="BE252" s="594"/>
      <c r="BF252" s="594"/>
    </row>
    <row r="253" spans="47:58">
      <c r="AU253" s="583"/>
      <c r="AV253" s="1094"/>
      <c r="AW253" s="592"/>
      <c r="AX253" s="583"/>
      <c r="AY253" s="592"/>
      <c r="AZ253" s="583"/>
      <c r="BA253" s="583"/>
      <c r="BB253" s="583"/>
      <c r="BC253" s="583"/>
      <c r="BD253" s="594"/>
      <c r="BE253" s="594"/>
      <c r="BF253" s="594"/>
    </row>
    <row r="254" spans="47:58">
      <c r="AU254" s="583"/>
      <c r="AV254" s="1094"/>
      <c r="AW254" s="592"/>
      <c r="AX254" s="583"/>
      <c r="AY254" s="592"/>
      <c r="AZ254" s="583"/>
      <c r="BA254" s="583"/>
      <c r="BB254" s="583"/>
      <c r="BC254" s="583"/>
      <c r="BD254" s="594"/>
      <c r="BE254" s="594"/>
      <c r="BF254" s="594"/>
    </row>
    <row r="255" spans="47:58">
      <c r="AU255" s="583"/>
      <c r="AV255" s="1094"/>
      <c r="AW255" s="592"/>
      <c r="AX255" s="583"/>
      <c r="AY255" s="592"/>
      <c r="AZ255" s="583"/>
      <c r="BA255" s="583"/>
      <c r="BB255" s="583"/>
      <c r="BC255" s="583"/>
      <c r="BD255" s="594"/>
      <c r="BE255" s="594"/>
      <c r="BF255" s="594"/>
    </row>
    <row r="256" spans="47:58">
      <c r="AU256" s="583"/>
      <c r="AV256" s="1094"/>
      <c r="AW256" s="592"/>
      <c r="AX256" s="583"/>
      <c r="AY256" s="592"/>
      <c r="AZ256" s="583"/>
      <c r="BA256" s="583"/>
      <c r="BB256" s="583"/>
      <c r="BC256" s="583"/>
      <c r="BD256" s="594"/>
      <c r="BE256" s="594"/>
      <c r="BF256" s="594"/>
    </row>
    <row r="257" spans="47:58">
      <c r="AU257" s="583"/>
      <c r="AV257" s="1094"/>
      <c r="AW257" s="592"/>
      <c r="AX257" s="583"/>
      <c r="AY257" s="592"/>
      <c r="AZ257" s="583"/>
      <c r="BA257" s="583"/>
      <c r="BB257" s="583"/>
      <c r="BC257" s="583"/>
      <c r="BD257" s="594"/>
      <c r="BE257" s="594"/>
      <c r="BF257" s="594"/>
    </row>
    <row r="258" spans="47:58">
      <c r="AU258" s="583"/>
      <c r="AV258" s="1094"/>
      <c r="AW258" s="592"/>
      <c r="AX258" s="583"/>
      <c r="AY258" s="592"/>
      <c r="AZ258" s="583"/>
      <c r="BA258" s="583"/>
      <c r="BB258" s="583"/>
      <c r="BC258" s="583"/>
      <c r="BD258" s="594"/>
      <c r="BE258" s="594"/>
      <c r="BF258" s="594"/>
    </row>
    <row r="259" spans="47:58">
      <c r="AU259" s="583"/>
      <c r="AV259" s="1094"/>
      <c r="AW259" s="592"/>
      <c r="AX259" s="583"/>
      <c r="AY259" s="592"/>
      <c r="AZ259" s="583"/>
      <c r="BA259" s="583"/>
      <c r="BB259" s="583"/>
      <c r="BC259" s="583"/>
      <c r="BD259" s="594"/>
      <c r="BE259" s="594"/>
      <c r="BF259" s="594"/>
    </row>
    <row r="260" spans="47:58">
      <c r="AU260" s="583"/>
      <c r="AV260" s="1094"/>
      <c r="AW260" s="592"/>
      <c r="AX260" s="583"/>
      <c r="AY260" s="592"/>
      <c r="AZ260" s="583"/>
      <c r="BA260" s="583"/>
      <c r="BB260" s="583"/>
      <c r="BC260" s="583"/>
      <c r="BD260" s="594"/>
      <c r="BE260" s="594"/>
      <c r="BF260" s="594"/>
    </row>
    <row r="261" spans="47:58">
      <c r="AU261" s="583"/>
      <c r="AV261" s="1094"/>
      <c r="AW261" s="592"/>
      <c r="AX261" s="583"/>
      <c r="AY261" s="592"/>
      <c r="AZ261" s="583"/>
      <c r="BA261" s="583"/>
      <c r="BB261" s="583"/>
      <c r="BC261" s="583"/>
      <c r="BD261" s="594"/>
      <c r="BE261" s="594"/>
      <c r="BF261" s="594"/>
    </row>
    <row r="262" spans="47:58">
      <c r="AU262" s="583"/>
      <c r="AV262" s="1094"/>
      <c r="AW262" s="592"/>
      <c r="AX262" s="583"/>
      <c r="AY262" s="592"/>
      <c r="AZ262" s="583"/>
      <c r="BA262" s="583"/>
      <c r="BB262" s="583"/>
      <c r="BC262" s="583"/>
      <c r="BD262" s="594"/>
      <c r="BE262" s="594"/>
      <c r="BF262" s="594"/>
    </row>
    <row r="263" spans="47:58">
      <c r="AU263" s="583"/>
      <c r="AV263" s="1094"/>
      <c r="AW263" s="592"/>
      <c r="AX263" s="583"/>
      <c r="AY263" s="592"/>
      <c r="AZ263" s="583"/>
      <c r="BA263" s="583"/>
      <c r="BB263" s="583"/>
      <c r="BC263" s="583"/>
      <c r="BD263" s="594"/>
      <c r="BE263" s="594"/>
      <c r="BF263" s="594"/>
    </row>
    <row r="264" spans="47:58">
      <c r="AU264" s="583"/>
      <c r="AV264" s="1094"/>
      <c r="AW264" s="592"/>
      <c r="AX264" s="583"/>
      <c r="AY264" s="592"/>
      <c r="AZ264" s="583"/>
      <c r="BA264" s="583"/>
      <c r="BB264" s="583"/>
      <c r="BC264" s="583"/>
      <c r="BD264" s="594"/>
      <c r="BE264" s="594"/>
      <c r="BF264" s="594"/>
    </row>
    <row r="265" spans="47:58">
      <c r="AU265" s="583"/>
      <c r="AV265" s="1094"/>
      <c r="AW265" s="592"/>
      <c r="AX265" s="583"/>
      <c r="AY265" s="592"/>
      <c r="AZ265" s="583"/>
      <c r="BA265" s="583"/>
      <c r="BB265" s="583"/>
      <c r="BC265" s="583"/>
      <c r="BD265" s="594"/>
      <c r="BE265" s="594"/>
      <c r="BF265" s="594"/>
    </row>
    <row r="266" spans="47:58">
      <c r="AU266" s="583"/>
      <c r="AV266" s="1094"/>
      <c r="AW266" s="592"/>
      <c r="AX266" s="583"/>
      <c r="AY266" s="592"/>
      <c r="AZ266" s="583"/>
      <c r="BA266" s="583"/>
      <c r="BB266" s="583"/>
      <c r="BC266" s="583"/>
      <c r="BD266" s="594"/>
      <c r="BE266" s="594"/>
      <c r="BF266" s="594"/>
    </row>
    <row r="267" spans="47:58">
      <c r="AU267" s="583"/>
      <c r="AV267" s="1094"/>
      <c r="AW267" s="592"/>
      <c r="AX267" s="583"/>
      <c r="AY267" s="592"/>
      <c r="AZ267" s="583"/>
      <c r="BA267" s="583"/>
      <c r="BB267" s="583"/>
      <c r="BC267" s="583"/>
      <c r="BD267" s="594"/>
      <c r="BE267" s="594"/>
      <c r="BF267" s="594"/>
    </row>
    <row r="268" spans="47:58">
      <c r="AU268" s="583"/>
      <c r="AV268" s="1094"/>
      <c r="AW268" s="592"/>
      <c r="AX268" s="583"/>
      <c r="AY268" s="592"/>
      <c r="AZ268" s="583"/>
      <c r="BA268" s="583"/>
      <c r="BB268" s="583"/>
      <c r="BC268" s="583"/>
      <c r="BD268" s="594"/>
      <c r="BE268" s="594"/>
      <c r="BF268" s="594"/>
    </row>
    <row r="269" spans="47:58">
      <c r="AU269" s="583"/>
      <c r="AV269" s="1094"/>
      <c r="AW269" s="592"/>
      <c r="AX269" s="583"/>
      <c r="AY269" s="592"/>
      <c r="AZ269" s="583"/>
      <c r="BA269" s="583"/>
      <c r="BB269" s="583"/>
      <c r="BC269" s="583"/>
      <c r="BD269" s="594"/>
      <c r="BE269" s="594"/>
      <c r="BF269" s="594"/>
    </row>
    <row r="270" spans="47:58">
      <c r="AU270" s="583"/>
      <c r="AV270" s="1094"/>
      <c r="AW270" s="592"/>
      <c r="AX270" s="583"/>
      <c r="AY270" s="592"/>
      <c r="AZ270" s="583"/>
      <c r="BA270" s="583"/>
      <c r="BB270" s="583"/>
      <c r="BC270" s="583"/>
      <c r="BD270" s="594"/>
      <c r="BE270" s="594"/>
      <c r="BF270" s="594"/>
    </row>
    <row r="271" spans="47:58">
      <c r="AU271" s="583"/>
      <c r="AV271" s="1094"/>
      <c r="AW271" s="592"/>
      <c r="AX271" s="583"/>
      <c r="AY271" s="592"/>
      <c r="AZ271" s="583"/>
      <c r="BA271" s="583"/>
      <c r="BB271" s="583"/>
      <c r="BC271" s="583"/>
      <c r="BD271" s="594"/>
      <c r="BE271" s="594"/>
      <c r="BF271" s="594"/>
    </row>
    <row r="272" spans="47:58">
      <c r="AU272" s="583"/>
      <c r="AV272" s="1094"/>
      <c r="AW272" s="592"/>
      <c r="AX272" s="583"/>
      <c r="AY272" s="592"/>
      <c r="AZ272" s="583"/>
      <c r="BA272" s="583"/>
      <c r="BB272" s="583"/>
      <c r="BC272" s="583"/>
      <c r="BD272" s="594"/>
      <c r="BE272" s="594"/>
      <c r="BF272" s="594"/>
    </row>
    <row r="273" spans="47:58">
      <c r="AU273" s="583"/>
      <c r="AV273" s="1094"/>
      <c r="AW273" s="592"/>
      <c r="AX273" s="583"/>
      <c r="AY273" s="592"/>
      <c r="AZ273" s="583"/>
      <c r="BA273" s="583"/>
      <c r="BB273" s="583"/>
      <c r="BC273" s="583"/>
      <c r="BD273" s="594"/>
      <c r="BE273" s="594"/>
      <c r="BF273" s="594"/>
    </row>
    <row r="274" spans="47:58">
      <c r="AU274" s="583"/>
      <c r="AV274" s="1094"/>
      <c r="AW274" s="592"/>
      <c r="AX274" s="583"/>
      <c r="AY274" s="592"/>
      <c r="AZ274" s="583"/>
      <c r="BA274" s="583"/>
      <c r="BB274" s="583"/>
      <c r="BC274" s="583"/>
      <c r="BD274" s="594"/>
      <c r="BE274" s="594"/>
      <c r="BF274" s="594"/>
    </row>
    <row r="275" spans="47:58">
      <c r="AU275" s="583"/>
      <c r="AV275" s="1094"/>
      <c r="AW275" s="592"/>
      <c r="AX275" s="583"/>
      <c r="AY275" s="592"/>
      <c r="AZ275" s="583"/>
      <c r="BA275" s="583"/>
      <c r="BB275" s="583"/>
      <c r="BC275" s="583"/>
      <c r="BD275" s="594"/>
      <c r="BE275" s="594"/>
      <c r="BF275" s="594"/>
    </row>
    <row r="276" spans="47:58">
      <c r="AU276" s="583"/>
      <c r="AV276" s="1094"/>
      <c r="AW276" s="592"/>
      <c r="AX276" s="583"/>
      <c r="AY276" s="592"/>
      <c r="AZ276" s="583"/>
      <c r="BA276" s="583"/>
      <c r="BB276" s="583"/>
      <c r="BC276" s="583"/>
      <c r="BD276" s="594"/>
      <c r="BE276" s="594"/>
      <c r="BF276" s="594"/>
    </row>
    <row r="277" spans="47:58">
      <c r="AU277" s="583"/>
      <c r="AV277" s="1094"/>
      <c r="AW277" s="592"/>
      <c r="AX277" s="583"/>
      <c r="AY277" s="592"/>
      <c r="AZ277" s="583"/>
      <c r="BA277" s="583"/>
      <c r="BB277" s="583"/>
      <c r="BC277" s="583"/>
      <c r="BD277" s="594"/>
      <c r="BE277" s="594"/>
      <c r="BF277" s="594"/>
    </row>
    <row r="278" spans="47:58">
      <c r="AU278" s="583"/>
      <c r="AV278" s="1094"/>
      <c r="AW278" s="592"/>
      <c r="AX278" s="583"/>
      <c r="AY278" s="592"/>
      <c r="AZ278" s="583"/>
      <c r="BA278" s="583"/>
      <c r="BB278" s="583"/>
      <c r="BC278" s="583"/>
      <c r="BD278" s="594"/>
      <c r="BE278" s="594"/>
      <c r="BF278" s="594"/>
    </row>
    <row r="279" spans="47:58">
      <c r="AU279" s="583"/>
      <c r="AV279" s="1094"/>
      <c r="AW279" s="592"/>
      <c r="AX279" s="583"/>
      <c r="AY279" s="592"/>
      <c r="AZ279" s="583"/>
      <c r="BA279" s="583"/>
      <c r="BB279" s="583"/>
      <c r="BC279" s="583"/>
      <c r="BD279" s="594"/>
      <c r="BE279" s="594"/>
      <c r="BF279" s="594"/>
    </row>
    <row r="280" spans="47:58">
      <c r="AU280" s="583"/>
      <c r="AV280" s="1094"/>
      <c r="AW280" s="592"/>
      <c r="AX280" s="583"/>
      <c r="AY280" s="592"/>
      <c r="AZ280" s="583"/>
      <c r="BA280" s="583"/>
      <c r="BB280" s="583"/>
      <c r="BC280" s="583"/>
      <c r="BD280" s="594"/>
      <c r="BE280" s="594"/>
      <c r="BF280" s="594"/>
    </row>
    <row r="281" spans="47:58">
      <c r="AU281" s="583"/>
      <c r="AV281" s="1094"/>
      <c r="AW281" s="592"/>
      <c r="AX281" s="583"/>
      <c r="AY281" s="592"/>
      <c r="AZ281" s="583"/>
      <c r="BA281" s="583"/>
      <c r="BB281" s="583"/>
      <c r="BC281" s="583"/>
      <c r="BD281" s="594"/>
      <c r="BE281" s="594"/>
      <c r="BF281" s="594"/>
    </row>
    <row r="282" spans="47:58">
      <c r="AU282" s="583"/>
      <c r="AV282" s="1094"/>
      <c r="AW282" s="592"/>
      <c r="AX282" s="583"/>
      <c r="AY282" s="592"/>
      <c r="AZ282" s="583"/>
      <c r="BA282" s="583"/>
      <c r="BB282" s="583"/>
      <c r="BC282" s="583"/>
      <c r="BD282" s="594"/>
      <c r="BE282" s="594"/>
      <c r="BF282" s="594"/>
    </row>
    <row r="283" spans="47:58">
      <c r="AU283" s="583"/>
      <c r="AV283" s="1094"/>
      <c r="AW283" s="592"/>
      <c r="AX283" s="583"/>
      <c r="AY283" s="592"/>
      <c r="AZ283" s="583"/>
      <c r="BA283" s="583"/>
      <c r="BB283" s="583"/>
      <c r="BC283" s="583"/>
      <c r="BD283" s="594"/>
      <c r="BE283" s="594"/>
      <c r="BF283" s="594"/>
    </row>
    <row r="284" spans="47:58">
      <c r="AU284" s="583"/>
      <c r="AV284" s="1094"/>
      <c r="AW284" s="592"/>
      <c r="AX284" s="583"/>
      <c r="AY284" s="592"/>
      <c r="AZ284" s="583"/>
      <c r="BA284" s="583"/>
      <c r="BB284" s="583"/>
      <c r="BC284" s="583"/>
      <c r="BD284" s="594"/>
      <c r="BE284" s="594"/>
      <c r="BF284" s="594"/>
    </row>
    <row r="285" spans="47:58">
      <c r="AU285" s="583"/>
      <c r="AV285" s="1094"/>
      <c r="AW285" s="592"/>
      <c r="AX285" s="583"/>
      <c r="AY285" s="592"/>
      <c r="AZ285" s="583"/>
      <c r="BA285" s="583"/>
      <c r="BB285" s="583"/>
      <c r="BC285" s="583"/>
      <c r="BD285" s="594"/>
      <c r="BE285" s="594"/>
      <c r="BF285" s="594"/>
    </row>
    <row r="286" spans="47:58">
      <c r="AU286" s="583"/>
      <c r="AV286" s="1094"/>
      <c r="AW286" s="592"/>
      <c r="AX286" s="583"/>
      <c r="AY286" s="592"/>
      <c r="AZ286" s="583"/>
      <c r="BA286" s="583"/>
      <c r="BB286" s="583"/>
      <c r="BC286" s="583"/>
      <c r="BD286" s="594"/>
      <c r="BE286" s="594"/>
      <c r="BF286" s="594"/>
    </row>
    <row r="287" spans="47:58">
      <c r="AU287" s="583"/>
      <c r="AV287" s="1094"/>
      <c r="AW287" s="592"/>
      <c r="AX287" s="583"/>
      <c r="AY287" s="592"/>
      <c r="AZ287" s="583"/>
      <c r="BA287" s="583"/>
      <c r="BB287" s="583"/>
      <c r="BC287" s="583"/>
      <c r="BD287" s="594"/>
      <c r="BE287" s="594"/>
      <c r="BF287" s="594"/>
    </row>
    <row r="288" spans="47:58">
      <c r="AU288" s="583"/>
      <c r="AV288" s="1094"/>
      <c r="AW288" s="592"/>
      <c r="AX288" s="583"/>
      <c r="AY288" s="592"/>
      <c r="AZ288" s="583"/>
      <c r="BA288" s="583"/>
      <c r="BB288" s="583"/>
      <c r="BC288" s="583"/>
      <c r="BD288" s="594"/>
      <c r="BE288" s="594"/>
      <c r="BF288" s="594"/>
    </row>
    <row r="289" spans="47:58">
      <c r="AU289" s="583"/>
      <c r="AV289" s="1094"/>
      <c r="AW289" s="592"/>
      <c r="AX289" s="583"/>
      <c r="AY289" s="592"/>
      <c r="AZ289" s="583"/>
      <c r="BA289" s="583"/>
      <c r="BB289" s="583"/>
      <c r="BC289" s="583"/>
      <c r="BD289" s="594"/>
      <c r="BE289" s="594"/>
      <c r="BF289" s="594"/>
    </row>
    <row r="290" spans="47:58">
      <c r="AU290" s="583"/>
      <c r="AV290" s="1094"/>
      <c r="AW290" s="592"/>
      <c r="AX290" s="583"/>
      <c r="AY290" s="592"/>
      <c r="AZ290" s="583"/>
      <c r="BA290" s="583"/>
      <c r="BB290" s="583"/>
      <c r="BC290" s="583"/>
      <c r="BD290" s="594"/>
      <c r="BE290" s="594"/>
      <c r="BF290" s="594"/>
    </row>
    <row r="291" spans="47:58">
      <c r="AU291" s="583"/>
      <c r="AV291" s="1094"/>
      <c r="AW291" s="592"/>
      <c r="AX291" s="583"/>
      <c r="AY291" s="592"/>
      <c r="AZ291" s="583"/>
      <c r="BA291" s="583"/>
      <c r="BB291" s="583"/>
      <c r="BC291" s="583"/>
      <c r="BD291" s="594"/>
      <c r="BE291" s="594"/>
      <c r="BF291" s="594"/>
    </row>
    <row r="292" spans="47:58">
      <c r="AU292" s="583"/>
      <c r="AV292" s="1094"/>
      <c r="AW292" s="592"/>
      <c r="AX292" s="583"/>
      <c r="AY292" s="592"/>
      <c r="AZ292" s="583"/>
      <c r="BA292" s="583"/>
      <c r="BB292" s="583"/>
      <c r="BC292" s="583"/>
      <c r="BD292" s="594"/>
      <c r="BE292" s="594"/>
      <c r="BF292" s="594"/>
    </row>
    <row r="293" spans="47:58">
      <c r="AU293" s="583"/>
      <c r="AV293" s="1094"/>
      <c r="AW293" s="592"/>
      <c r="AX293" s="583"/>
      <c r="AY293" s="592"/>
      <c r="AZ293" s="583"/>
      <c r="BA293" s="583"/>
      <c r="BB293" s="583"/>
      <c r="BC293" s="583"/>
      <c r="BD293" s="594"/>
      <c r="BE293" s="594"/>
      <c r="BF293" s="594"/>
    </row>
    <row r="294" spans="47:58">
      <c r="AU294" s="583"/>
      <c r="AV294" s="1094"/>
      <c r="AW294" s="592"/>
      <c r="AX294" s="583"/>
      <c r="AY294" s="592"/>
      <c r="AZ294" s="583"/>
      <c r="BA294" s="583"/>
      <c r="BB294" s="583"/>
      <c r="BC294" s="583"/>
      <c r="BD294" s="594"/>
      <c r="BE294" s="594"/>
      <c r="BF294" s="594"/>
    </row>
    <row r="295" spans="47:58">
      <c r="AU295" s="583"/>
      <c r="AV295" s="1094"/>
      <c r="AW295" s="592"/>
      <c r="AX295" s="583"/>
      <c r="AY295" s="592"/>
      <c r="AZ295" s="583"/>
      <c r="BA295" s="583"/>
      <c r="BB295" s="583"/>
      <c r="BC295" s="583"/>
      <c r="BD295" s="594"/>
      <c r="BE295" s="594"/>
      <c r="BF295" s="594"/>
    </row>
    <row r="296" spans="47:58">
      <c r="AU296" s="583"/>
      <c r="AV296" s="1094"/>
      <c r="AW296" s="592"/>
      <c r="AX296" s="583"/>
      <c r="AY296" s="592"/>
      <c r="AZ296" s="583"/>
      <c r="BA296" s="583"/>
      <c r="BB296" s="583"/>
      <c r="BC296" s="583"/>
      <c r="BD296" s="594"/>
      <c r="BE296" s="594"/>
      <c r="BF296" s="594"/>
    </row>
    <row r="297" spans="47:58">
      <c r="AU297" s="583"/>
      <c r="AV297" s="1094"/>
      <c r="AW297" s="592"/>
      <c r="AX297" s="583"/>
      <c r="AY297" s="592"/>
      <c r="AZ297" s="583"/>
      <c r="BA297" s="583"/>
      <c r="BB297" s="583"/>
      <c r="BC297" s="583"/>
      <c r="BD297" s="594"/>
      <c r="BE297" s="594"/>
      <c r="BF297" s="594"/>
    </row>
    <row r="298" spans="47:58">
      <c r="AU298" s="583"/>
      <c r="AV298" s="1094"/>
      <c r="AW298" s="592"/>
      <c r="AX298" s="583"/>
      <c r="AY298" s="592"/>
      <c r="AZ298" s="583"/>
      <c r="BA298" s="583"/>
      <c r="BB298" s="583"/>
      <c r="BC298" s="583"/>
      <c r="BD298" s="594"/>
      <c r="BE298" s="594"/>
      <c r="BF298" s="594"/>
    </row>
    <row r="299" spans="47:58">
      <c r="AU299" s="583"/>
      <c r="AV299" s="1094"/>
      <c r="AW299" s="592"/>
      <c r="AX299" s="583"/>
      <c r="AY299" s="592"/>
      <c r="AZ299" s="583"/>
      <c r="BA299" s="583"/>
      <c r="BB299" s="583"/>
      <c r="BC299" s="583"/>
      <c r="BD299" s="594"/>
      <c r="BE299" s="594"/>
      <c r="BF299" s="594"/>
    </row>
    <row r="300" spans="47:58">
      <c r="AU300" s="583"/>
      <c r="AV300" s="1094"/>
      <c r="AW300" s="592"/>
      <c r="AX300" s="583"/>
      <c r="AY300" s="592"/>
      <c r="AZ300" s="583"/>
      <c r="BA300" s="583"/>
      <c r="BB300" s="583"/>
      <c r="BC300" s="583"/>
      <c r="BD300" s="594"/>
      <c r="BE300" s="594"/>
      <c r="BF300" s="594"/>
    </row>
    <row r="301" spans="47:58">
      <c r="AU301" s="583"/>
      <c r="AV301" s="1094"/>
      <c r="AW301" s="592"/>
      <c r="AX301" s="583"/>
      <c r="AY301" s="592"/>
      <c r="AZ301" s="583"/>
      <c r="BA301" s="583"/>
      <c r="BB301" s="583"/>
      <c r="BC301" s="583"/>
      <c r="BD301" s="594"/>
      <c r="BE301" s="594"/>
      <c r="BF301" s="594"/>
    </row>
    <row r="302" spans="47:58">
      <c r="AU302" s="583"/>
      <c r="AV302" s="1094"/>
      <c r="AW302" s="592"/>
      <c r="AX302" s="583"/>
      <c r="AY302" s="592"/>
      <c r="AZ302" s="583"/>
      <c r="BA302" s="583"/>
      <c r="BB302" s="583"/>
      <c r="BC302" s="583"/>
      <c r="BD302" s="594"/>
      <c r="BE302" s="594"/>
      <c r="BF302" s="594"/>
    </row>
    <row r="303" spans="47:58">
      <c r="AU303" s="583"/>
      <c r="AV303" s="1094"/>
      <c r="AW303" s="592"/>
      <c r="AX303" s="583"/>
      <c r="AY303" s="592"/>
      <c r="AZ303" s="583"/>
      <c r="BA303" s="583"/>
      <c r="BB303" s="583"/>
      <c r="BC303" s="583"/>
      <c r="BD303" s="594"/>
      <c r="BE303" s="594"/>
      <c r="BF303" s="594"/>
    </row>
    <row r="304" spans="47:58">
      <c r="AU304" s="583"/>
      <c r="AV304" s="1094"/>
      <c r="AW304" s="592"/>
      <c r="AX304" s="583"/>
      <c r="AY304" s="592"/>
      <c r="AZ304" s="583"/>
      <c r="BA304" s="583"/>
      <c r="BB304" s="583"/>
      <c r="BC304" s="583"/>
      <c r="BD304" s="594"/>
      <c r="BE304" s="594"/>
      <c r="BF304" s="594"/>
    </row>
    <row r="305" spans="47:58">
      <c r="AU305" s="583"/>
      <c r="AV305" s="1094"/>
      <c r="AW305" s="592"/>
      <c r="AX305" s="583"/>
      <c r="AY305" s="592"/>
      <c r="AZ305" s="583"/>
      <c r="BA305" s="583"/>
      <c r="BB305" s="583"/>
      <c r="BC305" s="583"/>
      <c r="BD305" s="594"/>
      <c r="BE305" s="594"/>
      <c r="BF305" s="594"/>
    </row>
    <row r="306" spans="47:58">
      <c r="AU306" s="583"/>
      <c r="AV306" s="1094"/>
      <c r="AW306" s="592"/>
      <c r="AX306" s="583"/>
      <c r="AY306" s="592"/>
      <c r="AZ306" s="583"/>
      <c r="BA306" s="583"/>
      <c r="BB306" s="583"/>
      <c r="BC306" s="583"/>
      <c r="BD306" s="594"/>
      <c r="BE306" s="594"/>
      <c r="BF306" s="594"/>
    </row>
    <row r="307" spans="47:58">
      <c r="AU307" s="583"/>
      <c r="AV307" s="1094"/>
      <c r="AW307" s="592"/>
      <c r="AX307" s="583"/>
      <c r="AY307" s="592"/>
      <c r="AZ307" s="583"/>
      <c r="BA307" s="583"/>
      <c r="BB307" s="583"/>
      <c r="BC307" s="583"/>
      <c r="BD307" s="594"/>
      <c r="BE307" s="594"/>
      <c r="BF307" s="594"/>
    </row>
    <row r="308" spans="47:58">
      <c r="AU308" s="583"/>
      <c r="AV308" s="1094"/>
      <c r="AW308" s="592"/>
      <c r="AX308" s="583"/>
      <c r="AY308" s="592"/>
      <c r="AZ308" s="583"/>
      <c r="BA308" s="583"/>
      <c r="BB308" s="583"/>
      <c r="BC308" s="583"/>
      <c r="BD308" s="594"/>
      <c r="BE308" s="594"/>
      <c r="BF308" s="594"/>
    </row>
    <row r="309" spans="47:58">
      <c r="AU309" s="583"/>
      <c r="AV309" s="1094"/>
      <c r="AW309" s="592"/>
      <c r="AX309" s="583"/>
      <c r="AY309" s="592"/>
      <c r="AZ309" s="583"/>
      <c r="BA309" s="583"/>
      <c r="BB309" s="583"/>
      <c r="BC309" s="583"/>
      <c r="BD309" s="594"/>
      <c r="BE309" s="594"/>
      <c r="BF309" s="594"/>
    </row>
    <row r="310" spans="47:58">
      <c r="AU310" s="583"/>
      <c r="AV310" s="1094"/>
      <c r="AW310" s="592"/>
      <c r="AX310" s="583"/>
      <c r="AY310" s="592"/>
      <c r="AZ310" s="583"/>
      <c r="BA310" s="583"/>
      <c r="BB310" s="583"/>
      <c r="BC310" s="583"/>
      <c r="BD310" s="594"/>
      <c r="BE310" s="594"/>
      <c r="BF310" s="594"/>
    </row>
    <row r="311" spans="47:58">
      <c r="AU311" s="583"/>
      <c r="AV311" s="1094"/>
      <c r="AW311" s="592"/>
      <c r="AX311" s="583"/>
      <c r="AY311" s="592"/>
      <c r="AZ311" s="583"/>
      <c r="BA311" s="583"/>
      <c r="BB311" s="583"/>
      <c r="BC311" s="583"/>
      <c r="BD311" s="594"/>
      <c r="BE311" s="594"/>
      <c r="BF311" s="594"/>
    </row>
    <row r="312" spans="47:58">
      <c r="AU312" s="583"/>
      <c r="AV312" s="1094"/>
      <c r="AW312" s="592"/>
      <c r="AX312" s="583"/>
      <c r="AY312" s="592"/>
      <c r="AZ312" s="583"/>
      <c r="BA312" s="583"/>
      <c r="BB312" s="583"/>
      <c r="BC312" s="583"/>
      <c r="BD312" s="594"/>
      <c r="BE312" s="594"/>
      <c r="BF312" s="594"/>
    </row>
    <row r="313" spans="47:58">
      <c r="AU313" s="583"/>
      <c r="AV313" s="1094"/>
      <c r="AW313" s="592"/>
      <c r="AX313" s="583"/>
      <c r="AY313" s="592"/>
      <c r="AZ313" s="583"/>
      <c r="BA313" s="583"/>
      <c r="BB313" s="583"/>
      <c r="BC313" s="583"/>
      <c r="BD313" s="594"/>
      <c r="BE313" s="594"/>
      <c r="BF313" s="594"/>
    </row>
    <row r="314" spans="47:58">
      <c r="AU314" s="583"/>
      <c r="AV314" s="1094"/>
      <c r="AW314" s="592"/>
      <c r="AX314" s="583"/>
      <c r="AY314" s="592"/>
      <c r="AZ314" s="583"/>
      <c r="BA314" s="583"/>
      <c r="BB314" s="583"/>
      <c r="BC314" s="583"/>
      <c r="BD314" s="594"/>
      <c r="BE314" s="594"/>
      <c r="BF314" s="594"/>
    </row>
    <row r="315" spans="47:58">
      <c r="AU315" s="583"/>
      <c r="AV315" s="1094"/>
      <c r="AW315" s="592"/>
      <c r="AX315" s="583"/>
      <c r="AY315" s="592"/>
      <c r="AZ315" s="583"/>
      <c r="BA315" s="583"/>
      <c r="BB315" s="583"/>
      <c r="BC315" s="583"/>
      <c r="BD315" s="594"/>
      <c r="BE315" s="594"/>
      <c r="BF315" s="594"/>
    </row>
    <row r="316" spans="47:58">
      <c r="AU316" s="583"/>
      <c r="AV316" s="1094"/>
      <c r="AW316" s="592"/>
      <c r="AX316" s="583"/>
      <c r="AY316" s="592"/>
      <c r="AZ316" s="583"/>
      <c r="BA316" s="583"/>
      <c r="BB316" s="583"/>
      <c r="BC316" s="583"/>
      <c r="BD316" s="594"/>
      <c r="BE316" s="594"/>
      <c r="BF316" s="594"/>
    </row>
    <row r="317" spans="47:58">
      <c r="AU317" s="583"/>
      <c r="AV317" s="1094"/>
      <c r="AW317" s="592"/>
      <c r="AX317" s="583"/>
      <c r="AY317" s="592"/>
      <c r="AZ317" s="583"/>
      <c r="BA317" s="583"/>
      <c r="BB317" s="583"/>
      <c r="BC317" s="583"/>
      <c r="BD317" s="594"/>
      <c r="BE317" s="594"/>
      <c r="BF317" s="594"/>
    </row>
    <row r="318" spans="47:58">
      <c r="AU318" s="583"/>
      <c r="AV318" s="1094"/>
      <c r="AW318" s="592"/>
      <c r="AX318" s="583"/>
      <c r="AY318" s="592"/>
      <c r="AZ318" s="583"/>
      <c r="BA318" s="583"/>
      <c r="BB318" s="583"/>
      <c r="BC318" s="583"/>
      <c r="BD318" s="594"/>
      <c r="BE318" s="594"/>
      <c r="BF318" s="594"/>
    </row>
    <row r="319" spans="47:58">
      <c r="AU319" s="583"/>
      <c r="AV319" s="1094"/>
      <c r="AW319" s="592"/>
      <c r="AX319" s="583"/>
      <c r="AY319" s="592"/>
      <c r="AZ319" s="583"/>
      <c r="BA319" s="583"/>
      <c r="BB319" s="583"/>
      <c r="BC319" s="583"/>
      <c r="BD319" s="594"/>
      <c r="BE319" s="594"/>
      <c r="BF319" s="594"/>
    </row>
    <row r="320" spans="47:58">
      <c r="AU320" s="583"/>
      <c r="AV320" s="1094"/>
      <c r="AW320" s="592"/>
      <c r="AX320" s="583"/>
      <c r="AY320" s="592"/>
      <c r="AZ320" s="583"/>
      <c r="BA320" s="583"/>
      <c r="BB320" s="583"/>
      <c r="BC320" s="583"/>
      <c r="BD320" s="594"/>
      <c r="BE320" s="594"/>
      <c r="BF320" s="594"/>
    </row>
    <row r="321" spans="47:58">
      <c r="AU321" s="583"/>
      <c r="AV321" s="1094"/>
      <c r="AW321" s="592"/>
      <c r="AX321" s="583"/>
      <c r="AY321" s="592"/>
      <c r="AZ321" s="583"/>
      <c r="BA321" s="583"/>
      <c r="BB321" s="583"/>
      <c r="BC321" s="583"/>
      <c r="BD321" s="594"/>
      <c r="BE321" s="594"/>
      <c r="BF321" s="594"/>
    </row>
    <row r="322" spans="47:58">
      <c r="AU322" s="583"/>
      <c r="AV322" s="1094"/>
      <c r="AW322" s="592"/>
      <c r="AX322" s="583"/>
      <c r="AY322" s="592"/>
      <c r="AZ322" s="583"/>
      <c r="BA322" s="583"/>
      <c r="BB322" s="583"/>
      <c r="BC322" s="583"/>
      <c r="BD322" s="594"/>
      <c r="BE322" s="594"/>
      <c r="BF322" s="594"/>
    </row>
    <row r="323" spans="47:58">
      <c r="AU323" s="583"/>
      <c r="AV323" s="1094"/>
      <c r="AW323" s="592"/>
      <c r="AX323" s="583"/>
      <c r="AY323" s="592"/>
      <c r="AZ323" s="583"/>
      <c r="BA323" s="583"/>
      <c r="BB323" s="583"/>
      <c r="BC323" s="583"/>
      <c r="BD323" s="594"/>
      <c r="BE323" s="594"/>
      <c r="BF323" s="594"/>
    </row>
    <row r="324" spans="47:58">
      <c r="AU324" s="583"/>
      <c r="AV324" s="1094"/>
      <c r="AW324" s="592"/>
      <c r="AX324" s="583"/>
      <c r="AY324" s="592"/>
      <c r="AZ324" s="583"/>
      <c r="BA324" s="583"/>
      <c r="BB324" s="583"/>
      <c r="BC324" s="583"/>
      <c r="BD324" s="594"/>
      <c r="BE324" s="594"/>
      <c r="BF324" s="594"/>
    </row>
    <row r="325" spans="47:58">
      <c r="AU325" s="583"/>
      <c r="AV325" s="1094"/>
      <c r="AW325" s="592"/>
      <c r="AX325" s="583"/>
      <c r="AY325" s="592"/>
      <c r="AZ325" s="583"/>
      <c r="BA325" s="583"/>
      <c r="BB325" s="583"/>
      <c r="BC325" s="583"/>
      <c r="BD325" s="594"/>
      <c r="BE325" s="594"/>
      <c r="BF325" s="594"/>
    </row>
    <row r="326" spans="47:58">
      <c r="AU326" s="583"/>
      <c r="AV326" s="1094"/>
      <c r="AW326" s="592"/>
      <c r="AX326" s="583"/>
      <c r="AY326" s="592"/>
      <c r="AZ326" s="583"/>
      <c r="BA326" s="583"/>
      <c r="BB326" s="583"/>
      <c r="BC326" s="583"/>
      <c r="BD326" s="594"/>
      <c r="BE326" s="594"/>
      <c r="BF326" s="594"/>
    </row>
    <row r="327" spans="47:58">
      <c r="AU327" s="583"/>
      <c r="AV327" s="1094"/>
      <c r="AW327" s="592"/>
      <c r="AX327" s="583"/>
      <c r="AY327" s="592"/>
      <c r="AZ327" s="583"/>
      <c r="BA327" s="583"/>
      <c r="BB327" s="583"/>
      <c r="BC327" s="583"/>
      <c r="BD327" s="594"/>
      <c r="BE327" s="594"/>
      <c r="BF327" s="594"/>
    </row>
    <row r="328" spans="47:58">
      <c r="AU328" s="583"/>
      <c r="AV328" s="1094"/>
      <c r="AW328" s="592"/>
      <c r="AX328" s="583"/>
      <c r="AY328" s="592"/>
      <c r="AZ328" s="583"/>
      <c r="BA328" s="583"/>
      <c r="BB328" s="583"/>
      <c r="BC328" s="583"/>
      <c r="BD328" s="594"/>
      <c r="BE328" s="594"/>
      <c r="BF328" s="594"/>
    </row>
    <row r="329" spans="47:58">
      <c r="AU329" s="583"/>
      <c r="AV329" s="1094"/>
      <c r="AW329" s="592"/>
      <c r="AX329" s="583"/>
      <c r="AY329" s="592"/>
      <c r="AZ329" s="583"/>
      <c r="BA329" s="583"/>
      <c r="BB329" s="583"/>
      <c r="BC329" s="583"/>
      <c r="BD329" s="594"/>
      <c r="BE329" s="594"/>
      <c r="BF329" s="594"/>
    </row>
    <row r="330" spans="47:58">
      <c r="AU330" s="583"/>
      <c r="AV330" s="1094"/>
      <c r="AW330" s="592"/>
      <c r="AX330" s="583"/>
      <c r="AY330" s="592"/>
      <c r="AZ330" s="583"/>
      <c r="BA330" s="583"/>
      <c r="BB330" s="583"/>
      <c r="BC330" s="583"/>
      <c r="BD330" s="594"/>
      <c r="BE330" s="594"/>
      <c r="BF330" s="594"/>
    </row>
    <row r="331" spans="47:58">
      <c r="AU331" s="583"/>
      <c r="AV331" s="1094"/>
      <c r="AW331" s="592"/>
      <c r="AX331" s="583"/>
      <c r="AY331" s="592"/>
      <c r="AZ331" s="583"/>
      <c r="BA331" s="583"/>
      <c r="BB331" s="583"/>
      <c r="BC331" s="583"/>
      <c r="BD331" s="594"/>
      <c r="BE331" s="594"/>
      <c r="BF331" s="594"/>
    </row>
    <row r="332" spans="47:58">
      <c r="AU332" s="583"/>
      <c r="AV332" s="1094"/>
      <c r="AW332" s="592"/>
      <c r="AX332" s="583"/>
      <c r="AY332" s="592"/>
      <c r="AZ332" s="583"/>
      <c r="BA332" s="583"/>
      <c r="BB332" s="583"/>
      <c r="BC332" s="583"/>
      <c r="BD332" s="594"/>
      <c r="BE332" s="594"/>
      <c r="BF332" s="594"/>
    </row>
    <row r="333" spans="47:58">
      <c r="AU333" s="583"/>
      <c r="AV333" s="1094"/>
      <c r="AW333" s="592"/>
      <c r="AX333" s="583"/>
      <c r="AY333" s="592"/>
      <c r="AZ333" s="583"/>
      <c r="BA333" s="583"/>
      <c r="BB333" s="583"/>
      <c r="BC333" s="583"/>
      <c r="BD333" s="594"/>
      <c r="BE333" s="594"/>
      <c r="BF333" s="594"/>
    </row>
    <row r="334" spans="47:58">
      <c r="AU334" s="583"/>
      <c r="AV334" s="1094"/>
      <c r="AW334" s="592"/>
      <c r="AX334" s="583"/>
      <c r="AY334" s="592"/>
      <c r="AZ334" s="583"/>
      <c r="BA334" s="583"/>
      <c r="BB334" s="583"/>
      <c r="BC334" s="583"/>
      <c r="BD334" s="594"/>
      <c r="BE334" s="594"/>
      <c r="BF334" s="594"/>
    </row>
    <row r="335" spans="47:58">
      <c r="AU335" s="583"/>
      <c r="AV335" s="1094"/>
      <c r="AW335" s="592"/>
      <c r="AX335" s="583"/>
      <c r="AY335" s="592"/>
      <c r="AZ335" s="583"/>
      <c r="BA335" s="583"/>
      <c r="BB335" s="583"/>
      <c r="BC335" s="583"/>
      <c r="BD335" s="594"/>
      <c r="BE335" s="594"/>
      <c r="BF335" s="594"/>
    </row>
    <row r="336" spans="47:58">
      <c r="AU336" s="583"/>
      <c r="AV336" s="1094"/>
      <c r="AW336" s="592"/>
      <c r="AX336" s="583"/>
      <c r="AY336" s="592"/>
      <c r="AZ336" s="583"/>
      <c r="BA336" s="583"/>
      <c r="BB336" s="583"/>
      <c r="BC336" s="583"/>
      <c r="BD336" s="594"/>
      <c r="BE336" s="594"/>
      <c r="BF336" s="594"/>
    </row>
    <row r="337" spans="47:58">
      <c r="AU337" s="583"/>
      <c r="AV337" s="1094"/>
      <c r="AW337" s="592"/>
      <c r="AX337" s="583"/>
      <c r="AY337" s="592"/>
      <c r="AZ337" s="583"/>
      <c r="BA337" s="583"/>
      <c r="BB337" s="583"/>
      <c r="BC337" s="583"/>
      <c r="BD337" s="594"/>
      <c r="BE337" s="594"/>
      <c r="BF337" s="594"/>
    </row>
    <row r="338" spans="47:58">
      <c r="AU338" s="583"/>
      <c r="AV338" s="1094"/>
      <c r="AW338" s="592"/>
      <c r="AX338" s="583"/>
      <c r="AY338" s="592"/>
      <c r="AZ338" s="583"/>
      <c r="BA338" s="583"/>
      <c r="BB338" s="583"/>
      <c r="BC338" s="583"/>
      <c r="BD338" s="594"/>
      <c r="BE338" s="594"/>
      <c r="BF338" s="594"/>
    </row>
    <row r="339" spans="47:58">
      <c r="AU339" s="583"/>
      <c r="AV339" s="1094"/>
      <c r="AW339" s="592"/>
      <c r="AX339" s="583"/>
      <c r="AY339" s="592"/>
      <c r="AZ339" s="583"/>
      <c r="BA339" s="583"/>
      <c r="BB339" s="583"/>
      <c r="BC339" s="583"/>
      <c r="BD339" s="594"/>
      <c r="BE339" s="594"/>
      <c r="BF339" s="594"/>
    </row>
    <row r="340" spans="47:58">
      <c r="AU340" s="583"/>
      <c r="AV340" s="1094"/>
      <c r="AW340" s="592"/>
      <c r="AX340" s="583"/>
      <c r="AY340" s="592"/>
      <c r="AZ340" s="583"/>
      <c r="BA340" s="583"/>
      <c r="BB340" s="583"/>
      <c r="BC340" s="583"/>
      <c r="BD340" s="594"/>
      <c r="BE340" s="594"/>
      <c r="BF340" s="594"/>
    </row>
    <row r="341" spans="47:58">
      <c r="AU341" s="583"/>
      <c r="AV341" s="1094"/>
      <c r="AW341" s="592"/>
      <c r="AX341" s="583"/>
      <c r="AY341" s="592"/>
      <c r="AZ341" s="583"/>
      <c r="BA341" s="583"/>
      <c r="BB341" s="583"/>
      <c r="BC341" s="583"/>
      <c r="BD341" s="594"/>
      <c r="BE341" s="594"/>
      <c r="BF341" s="594"/>
    </row>
    <row r="342" spans="47:58">
      <c r="AU342" s="583"/>
      <c r="AV342" s="1094"/>
      <c r="AW342" s="592"/>
      <c r="AX342" s="583"/>
      <c r="AY342" s="592"/>
      <c r="AZ342" s="583"/>
      <c r="BA342" s="583"/>
      <c r="BB342" s="583"/>
      <c r="BC342" s="583"/>
      <c r="BD342" s="594"/>
      <c r="BE342" s="594"/>
      <c r="BF342" s="594"/>
    </row>
    <row r="343" spans="47:58">
      <c r="AU343" s="583"/>
      <c r="AV343" s="1094"/>
      <c r="AW343" s="592"/>
      <c r="AX343" s="583"/>
      <c r="AY343" s="592"/>
      <c r="AZ343" s="583"/>
      <c r="BA343" s="583"/>
      <c r="BB343" s="583"/>
      <c r="BC343" s="583"/>
      <c r="BD343" s="594"/>
      <c r="BE343" s="594"/>
      <c r="BF343" s="594"/>
    </row>
    <row r="344" spans="47:58">
      <c r="AU344" s="583"/>
      <c r="AV344" s="1094"/>
      <c r="AW344" s="592"/>
      <c r="AX344" s="583"/>
      <c r="AY344" s="592"/>
      <c r="AZ344" s="583"/>
      <c r="BA344" s="583"/>
      <c r="BB344" s="583"/>
      <c r="BC344" s="583"/>
      <c r="BD344" s="594"/>
      <c r="BE344" s="594"/>
      <c r="BF344" s="594"/>
    </row>
    <row r="345" spans="47:58">
      <c r="AU345" s="583"/>
      <c r="AV345" s="1094"/>
      <c r="AW345" s="592"/>
      <c r="AX345" s="583"/>
      <c r="AY345" s="592"/>
      <c r="AZ345" s="583"/>
      <c r="BA345" s="583"/>
      <c r="BB345" s="583"/>
      <c r="BC345" s="583"/>
      <c r="BD345" s="594"/>
      <c r="BE345" s="594"/>
      <c r="BF345" s="594"/>
    </row>
    <row r="346" spans="47:58">
      <c r="AU346" s="583"/>
      <c r="AV346" s="1094"/>
      <c r="AW346" s="592"/>
      <c r="AX346" s="583"/>
      <c r="AY346" s="592"/>
      <c r="AZ346" s="583"/>
      <c r="BA346" s="583"/>
      <c r="BB346" s="583"/>
      <c r="BC346" s="583"/>
      <c r="BD346" s="594"/>
      <c r="BE346" s="594"/>
      <c r="BF346" s="594"/>
    </row>
    <row r="347" spans="47:58">
      <c r="AU347" s="583"/>
      <c r="AV347" s="1094"/>
      <c r="AW347" s="592"/>
      <c r="AX347" s="583"/>
      <c r="AY347" s="592"/>
      <c r="AZ347" s="583"/>
      <c r="BA347" s="583"/>
      <c r="BB347" s="583"/>
      <c r="BC347" s="583"/>
      <c r="BD347" s="594"/>
      <c r="BE347" s="594"/>
      <c r="BF347" s="594"/>
    </row>
    <row r="348" spans="47:58">
      <c r="AU348" s="583"/>
      <c r="AV348" s="1094"/>
      <c r="AW348" s="592"/>
      <c r="AX348" s="583"/>
      <c r="AY348" s="592"/>
      <c r="AZ348" s="583"/>
      <c r="BA348" s="583"/>
      <c r="BB348" s="583"/>
      <c r="BC348" s="583"/>
      <c r="BD348" s="594"/>
      <c r="BE348" s="594"/>
      <c r="BF348" s="594"/>
    </row>
    <row r="349" spans="47:58">
      <c r="AU349" s="583"/>
      <c r="AV349" s="1094"/>
      <c r="AW349" s="592"/>
      <c r="AX349" s="583"/>
      <c r="AY349" s="592"/>
      <c r="AZ349" s="583"/>
      <c r="BA349" s="583"/>
      <c r="BB349" s="583"/>
      <c r="BC349" s="583"/>
      <c r="BD349" s="594"/>
      <c r="BE349" s="594"/>
      <c r="BF349" s="594"/>
    </row>
    <row r="350" spans="47:58">
      <c r="AU350" s="583"/>
      <c r="AV350" s="1094"/>
      <c r="AW350" s="592"/>
      <c r="AX350" s="583"/>
      <c r="AY350" s="592"/>
      <c r="AZ350" s="583"/>
      <c r="BA350" s="583"/>
      <c r="BB350" s="583"/>
      <c r="BC350" s="583"/>
      <c r="BD350" s="594"/>
      <c r="BE350" s="594"/>
      <c r="BF350" s="594"/>
    </row>
    <row r="351" spans="47:58">
      <c r="AU351" s="583"/>
      <c r="AV351" s="1094"/>
      <c r="AW351" s="592"/>
      <c r="AX351" s="583"/>
      <c r="AY351" s="592"/>
      <c r="AZ351" s="583"/>
      <c r="BA351" s="583"/>
      <c r="BB351" s="583"/>
      <c r="BC351" s="583"/>
      <c r="BD351" s="594"/>
      <c r="BE351" s="594"/>
      <c r="BF351" s="594"/>
    </row>
    <row r="352" spans="47:58">
      <c r="AU352" s="583"/>
      <c r="AV352" s="1094"/>
      <c r="AW352" s="592"/>
      <c r="AX352" s="583"/>
      <c r="AY352" s="592"/>
      <c r="AZ352" s="583"/>
      <c r="BA352" s="583"/>
      <c r="BB352" s="583"/>
      <c r="BC352" s="583"/>
      <c r="BD352" s="594"/>
      <c r="BE352" s="594"/>
      <c r="BF352" s="594"/>
    </row>
    <row r="353" spans="47:58">
      <c r="AU353" s="583"/>
      <c r="AV353" s="1094"/>
      <c r="AW353" s="592"/>
      <c r="AX353" s="583"/>
      <c r="AY353" s="592"/>
      <c r="AZ353" s="583"/>
      <c r="BA353" s="583"/>
      <c r="BB353" s="583"/>
      <c r="BC353" s="583"/>
      <c r="BD353" s="594"/>
      <c r="BE353" s="594"/>
      <c r="BF353" s="594"/>
    </row>
    <row r="354" spans="47:58">
      <c r="AU354" s="583"/>
      <c r="AV354" s="1094"/>
      <c r="AW354" s="592"/>
      <c r="AX354" s="583"/>
      <c r="AY354" s="592"/>
      <c r="AZ354" s="583"/>
      <c r="BA354" s="583"/>
      <c r="BB354" s="583"/>
      <c r="BC354" s="583"/>
      <c r="BD354" s="594"/>
      <c r="BE354" s="594"/>
      <c r="BF354" s="594"/>
    </row>
    <row r="355" spans="47:58">
      <c r="AU355" s="583"/>
      <c r="AV355" s="1094"/>
      <c r="AW355" s="592"/>
      <c r="AX355" s="583"/>
      <c r="AY355" s="592"/>
      <c r="AZ355" s="583"/>
      <c r="BA355" s="583"/>
      <c r="BB355" s="583"/>
      <c r="BC355" s="583"/>
      <c r="BD355" s="594"/>
      <c r="BE355" s="594"/>
      <c r="BF355" s="594"/>
    </row>
    <row r="356" spans="47:58">
      <c r="AU356" s="583"/>
      <c r="AV356" s="1094"/>
      <c r="AW356" s="592"/>
      <c r="AX356" s="583"/>
      <c r="AY356" s="592"/>
      <c r="AZ356" s="583"/>
      <c r="BA356" s="583"/>
      <c r="BB356" s="583"/>
      <c r="BC356" s="583"/>
      <c r="BD356" s="594"/>
      <c r="BE356" s="594"/>
      <c r="BF356" s="594"/>
    </row>
    <row r="357" spans="47:58">
      <c r="AU357" s="583"/>
      <c r="AV357" s="1094"/>
      <c r="AW357" s="592"/>
      <c r="AX357" s="583"/>
      <c r="AY357" s="592"/>
      <c r="AZ357" s="583"/>
      <c r="BA357" s="583"/>
      <c r="BB357" s="583"/>
      <c r="BC357" s="583"/>
      <c r="BD357" s="594"/>
      <c r="BE357" s="594"/>
      <c r="BF357" s="594"/>
    </row>
    <row r="358" spans="47:58">
      <c r="AU358" s="583"/>
      <c r="AV358" s="1094"/>
      <c r="AW358" s="592"/>
      <c r="AX358" s="583"/>
      <c r="AY358" s="592"/>
      <c r="AZ358" s="583"/>
      <c r="BA358" s="583"/>
      <c r="BB358" s="583"/>
      <c r="BC358" s="583"/>
      <c r="BD358" s="594"/>
      <c r="BE358" s="594"/>
      <c r="BF358" s="594"/>
    </row>
    <row r="359" spans="47:58">
      <c r="AU359" s="583"/>
      <c r="AV359" s="1094"/>
      <c r="AW359" s="592"/>
      <c r="AX359" s="583"/>
      <c r="AY359" s="592"/>
      <c r="AZ359" s="583"/>
      <c r="BA359" s="583"/>
      <c r="BB359" s="583"/>
      <c r="BC359" s="583"/>
      <c r="BD359" s="594"/>
      <c r="BE359" s="594"/>
      <c r="BF359" s="594"/>
    </row>
    <row r="360" spans="47:58">
      <c r="AU360" s="583"/>
      <c r="AV360" s="1094"/>
      <c r="AW360" s="592"/>
      <c r="AX360" s="583"/>
      <c r="AY360" s="592"/>
      <c r="AZ360" s="583"/>
      <c r="BA360" s="583"/>
      <c r="BB360" s="583"/>
      <c r="BC360" s="583"/>
      <c r="BD360" s="594"/>
      <c r="BE360" s="594"/>
      <c r="BF360" s="594"/>
    </row>
    <row r="361" spans="47:58">
      <c r="AU361" s="583"/>
      <c r="AV361" s="1094"/>
      <c r="AW361" s="592"/>
      <c r="AX361" s="583"/>
      <c r="AY361" s="592"/>
      <c r="AZ361" s="583"/>
      <c r="BA361" s="583"/>
      <c r="BB361" s="583"/>
      <c r="BC361" s="583"/>
      <c r="BD361" s="594"/>
      <c r="BE361" s="594"/>
      <c r="BF361" s="594"/>
    </row>
    <row r="362" spans="47:58">
      <c r="AU362" s="583"/>
      <c r="AV362" s="1094"/>
      <c r="AW362" s="592"/>
      <c r="AX362" s="583"/>
      <c r="AY362" s="592"/>
      <c r="AZ362" s="583"/>
      <c r="BA362" s="583"/>
      <c r="BB362" s="583"/>
      <c r="BC362" s="583"/>
      <c r="BD362" s="594"/>
      <c r="BE362" s="594"/>
      <c r="BF362" s="594"/>
    </row>
    <row r="363" spans="47:58">
      <c r="AU363" s="583"/>
      <c r="AV363" s="1094"/>
      <c r="AW363" s="592"/>
      <c r="AX363" s="583"/>
      <c r="AY363" s="592"/>
      <c r="AZ363" s="583"/>
      <c r="BA363" s="583"/>
      <c r="BB363" s="583"/>
      <c r="BC363" s="583"/>
      <c r="BD363" s="594"/>
      <c r="BE363" s="594"/>
      <c r="BF363" s="594"/>
    </row>
    <row r="364" spans="47:58">
      <c r="AU364" s="583"/>
      <c r="AV364" s="1094"/>
      <c r="AW364" s="592"/>
      <c r="AX364" s="583"/>
      <c r="AY364" s="592"/>
      <c r="AZ364" s="583"/>
      <c r="BA364" s="583"/>
      <c r="BB364" s="583"/>
      <c r="BC364" s="583"/>
      <c r="BD364" s="594"/>
      <c r="BE364" s="594"/>
      <c r="BF364" s="594"/>
    </row>
    <row r="365" spans="47:58">
      <c r="AU365" s="583"/>
      <c r="AV365" s="1094"/>
      <c r="AW365" s="592"/>
      <c r="AX365" s="583"/>
      <c r="AY365" s="592"/>
      <c r="AZ365" s="583"/>
      <c r="BA365" s="583"/>
      <c r="BB365" s="583"/>
      <c r="BC365" s="583"/>
      <c r="BD365" s="594"/>
      <c r="BE365" s="594"/>
      <c r="BF365" s="594"/>
    </row>
    <row r="366" spans="47:58">
      <c r="AU366" s="583"/>
      <c r="AV366" s="1094"/>
      <c r="AW366" s="592"/>
      <c r="AX366" s="583"/>
      <c r="AY366" s="592"/>
      <c r="AZ366" s="583"/>
      <c r="BA366" s="583"/>
      <c r="BB366" s="583"/>
      <c r="BC366" s="583"/>
      <c r="BD366" s="594"/>
      <c r="BE366" s="594"/>
      <c r="BF366" s="594"/>
    </row>
    <row r="367" spans="47:58">
      <c r="AU367" s="583"/>
      <c r="AV367" s="1094"/>
      <c r="AW367" s="592"/>
      <c r="AX367" s="583"/>
      <c r="AY367" s="592"/>
      <c r="AZ367" s="583"/>
      <c r="BA367" s="583"/>
      <c r="BB367" s="583"/>
      <c r="BC367" s="583"/>
      <c r="BD367" s="594"/>
      <c r="BE367" s="594"/>
      <c r="BF367" s="594"/>
    </row>
    <row r="368" spans="47:58">
      <c r="AU368" s="583"/>
      <c r="AV368" s="1094"/>
      <c r="AW368" s="592"/>
      <c r="AX368" s="583"/>
      <c r="AY368" s="592"/>
      <c r="AZ368" s="583"/>
      <c r="BA368" s="583"/>
      <c r="BB368" s="583"/>
      <c r="BC368" s="583"/>
      <c r="BD368" s="594"/>
      <c r="BE368" s="594"/>
      <c r="BF368" s="594"/>
    </row>
    <row r="369" spans="47:58">
      <c r="AU369" s="583"/>
      <c r="AV369" s="1094"/>
      <c r="AW369" s="592"/>
      <c r="AX369" s="583"/>
      <c r="AY369" s="592"/>
      <c r="AZ369" s="583"/>
      <c r="BA369" s="583"/>
      <c r="BB369" s="583"/>
      <c r="BC369" s="583"/>
      <c r="BD369" s="594"/>
      <c r="BE369" s="594"/>
      <c r="BF369" s="594"/>
    </row>
    <row r="370" spans="47:58">
      <c r="AU370" s="583"/>
      <c r="AV370" s="1094"/>
      <c r="AW370" s="592"/>
      <c r="AX370" s="583"/>
      <c r="AY370" s="592"/>
      <c r="AZ370" s="583"/>
      <c r="BA370" s="583"/>
      <c r="BB370" s="583"/>
      <c r="BC370" s="583"/>
      <c r="BD370" s="594"/>
      <c r="BE370" s="594"/>
      <c r="BF370" s="594"/>
    </row>
    <row r="371" spans="47:58">
      <c r="AU371" s="583"/>
      <c r="AV371" s="1094"/>
      <c r="AW371" s="592"/>
      <c r="AX371" s="583"/>
      <c r="AY371" s="592"/>
      <c r="AZ371" s="583"/>
      <c r="BA371" s="583"/>
      <c r="BB371" s="583"/>
      <c r="BC371" s="583"/>
      <c r="BD371" s="594"/>
      <c r="BE371" s="594"/>
      <c r="BF371" s="594"/>
    </row>
    <row r="372" spans="47:58">
      <c r="AU372" s="583"/>
      <c r="AV372" s="1094"/>
      <c r="AW372" s="592"/>
      <c r="AX372" s="583"/>
      <c r="AY372" s="592"/>
      <c r="AZ372" s="583"/>
      <c r="BA372" s="583"/>
      <c r="BB372" s="583"/>
      <c r="BC372" s="583"/>
      <c r="BD372" s="594"/>
      <c r="BE372" s="594"/>
      <c r="BF372" s="594"/>
    </row>
    <row r="373" spans="47:58">
      <c r="AU373" s="583"/>
      <c r="AV373" s="1094"/>
      <c r="AW373" s="592"/>
      <c r="AX373" s="583"/>
      <c r="AY373" s="592"/>
      <c r="AZ373" s="583"/>
      <c r="BA373" s="583"/>
      <c r="BB373" s="583"/>
      <c r="BC373" s="583"/>
      <c r="BD373" s="594"/>
      <c r="BE373" s="594"/>
      <c r="BF373" s="594"/>
    </row>
    <row r="374" spans="47:58">
      <c r="AU374" s="583"/>
      <c r="AV374" s="1094"/>
      <c r="AW374" s="592"/>
      <c r="AX374" s="583"/>
      <c r="AY374" s="592"/>
      <c r="AZ374" s="583"/>
      <c r="BA374" s="583"/>
      <c r="BB374" s="583"/>
      <c r="BC374" s="583"/>
      <c r="BD374" s="594"/>
      <c r="BE374" s="594"/>
      <c r="BF374" s="594"/>
    </row>
    <row r="375" spans="47:58">
      <c r="AU375" s="583"/>
      <c r="AV375" s="1094"/>
      <c r="AW375" s="592"/>
      <c r="AX375" s="583"/>
      <c r="AY375" s="592"/>
      <c r="AZ375" s="583"/>
      <c r="BA375" s="583"/>
      <c r="BB375" s="583"/>
      <c r="BC375" s="583"/>
      <c r="BD375" s="594"/>
      <c r="BE375" s="594"/>
      <c r="BF375" s="594"/>
    </row>
    <row r="376" spans="47:58">
      <c r="AU376" s="583"/>
      <c r="AV376" s="1094"/>
      <c r="AW376" s="592"/>
      <c r="AX376" s="583"/>
      <c r="AY376" s="592"/>
      <c r="AZ376" s="583"/>
      <c r="BA376" s="583"/>
      <c r="BB376" s="583"/>
      <c r="BC376" s="583"/>
      <c r="BD376" s="594"/>
      <c r="BE376" s="594"/>
      <c r="BF376" s="594"/>
    </row>
    <row r="377" spans="47:58">
      <c r="AU377" s="583"/>
      <c r="AV377" s="1094"/>
      <c r="AW377" s="592"/>
      <c r="AX377" s="583"/>
      <c r="AY377" s="592"/>
      <c r="AZ377" s="583"/>
      <c r="BA377" s="583"/>
      <c r="BB377" s="583"/>
      <c r="BC377" s="583"/>
      <c r="BD377" s="594"/>
      <c r="BE377" s="594"/>
      <c r="BF377" s="594"/>
    </row>
    <row r="378" spans="47:58">
      <c r="AU378" s="583"/>
      <c r="AV378" s="1094"/>
      <c r="AW378" s="592"/>
      <c r="AX378" s="583"/>
      <c r="AY378" s="592"/>
      <c r="AZ378" s="583"/>
      <c r="BA378" s="583"/>
      <c r="BB378" s="583"/>
      <c r="BC378" s="583"/>
      <c r="BD378" s="594"/>
      <c r="BE378" s="594"/>
      <c r="BF378" s="594"/>
    </row>
    <row r="379" spans="47:58">
      <c r="AU379" s="583"/>
      <c r="AV379" s="1094"/>
      <c r="AW379" s="592"/>
      <c r="AX379" s="583"/>
      <c r="AY379" s="592"/>
      <c r="AZ379" s="583"/>
      <c r="BA379" s="583"/>
      <c r="BB379" s="583"/>
      <c r="BC379" s="583"/>
      <c r="BD379" s="594"/>
      <c r="BE379" s="594"/>
      <c r="BF379" s="594"/>
    </row>
    <row r="380" spans="47:58">
      <c r="AU380" s="583"/>
      <c r="AV380" s="1094"/>
      <c r="AW380" s="592"/>
      <c r="AX380" s="583"/>
      <c r="AY380" s="592"/>
      <c r="AZ380" s="583"/>
      <c r="BA380" s="583"/>
      <c r="BB380" s="583"/>
      <c r="BC380" s="583"/>
      <c r="BD380" s="594"/>
      <c r="BE380" s="594"/>
      <c r="BF380" s="594"/>
    </row>
    <row r="381" spans="47:58">
      <c r="AU381" s="583"/>
      <c r="AV381" s="1094"/>
      <c r="AW381" s="592"/>
      <c r="AX381" s="583"/>
      <c r="AY381" s="592"/>
      <c r="AZ381" s="583"/>
      <c r="BA381" s="583"/>
      <c r="BB381" s="583"/>
      <c r="BC381" s="583"/>
      <c r="BD381" s="594"/>
      <c r="BE381" s="594"/>
      <c r="BF381" s="594"/>
    </row>
    <row r="382" spans="47:58">
      <c r="AU382" s="583"/>
      <c r="AV382" s="1094"/>
      <c r="AW382" s="592"/>
      <c r="AX382" s="583"/>
      <c r="AY382" s="592"/>
      <c r="AZ382" s="583"/>
      <c r="BA382" s="583"/>
      <c r="BB382" s="583"/>
      <c r="BC382" s="583"/>
      <c r="BD382" s="594"/>
      <c r="BE382" s="594"/>
      <c r="BF382" s="594"/>
    </row>
    <row r="383" spans="47:58">
      <c r="AU383" s="583"/>
      <c r="AV383" s="1094"/>
      <c r="AW383" s="592"/>
      <c r="AX383" s="583"/>
      <c r="AY383" s="592"/>
      <c r="AZ383" s="583"/>
      <c r="BA383" s="583"/>
      <c r="BB383" s="583"/>
      <c r="BC383" s="583"/>
      <c r="BD383" s="594"/>
      <c r="BE383" s="594"/>
      <c r="BF383" s="594"/>
    </row>
    <row r="384" spans="47:58">
      <c r="AU384" s="583"/>
      <c r="AV384" s="1094"/>
      <c r="AW384" s="592"/>
      <c r="AX384" s="583"/>
      <c r="AY384" s="592"/>
      <c r="AZ384" s="583"/>
      <c r="BA384" s="583"/>
      <c r="BB384" s="583"/>
      <c r="BC384" s="583"/>
      <c r="BD384" s="594"/>
      <c r="BE384" s="594"/>
      <c r="BF384" s="594"/>
    </row>
    <row r="385" spans="47:58">
      <c r="AU385" s="583"/>
      <c r="AV385" s="1094"/>
      <c r="AW385" s="592"/>
      <c r="AX385" s="583"/>
      <c r="AY385" s="592"/>
      <c r="AZ385" s="583"/>
      <c r="BA385" s="583"/>
      <c r="BB385" s="583"/>
      <c r="BC385" s="583"/>
      <c r="BD385" s="594"/>
      <c r="BE385" s="594"/>
      <c r="BF385" s="594"/>
    </row>
    <row r="386" spans="47:58">
      <c r="AU386" s="583"/>
      <c r="AV386" s="1094"/>
      <c r="AW386" s="592"/>
      <c r="AX386" s="583"/>
      <c r="AY386" s="592"/>
      <c r="AZ386" s="583"/>
      <c r="BA386" s="583"/>
      <c r="BB386" s="583"/>
      <c r="BC386" s="583"/>
      <c r="BD386" s="594"/>
      <c r="BE386" s="594"/>
      <c r="BF386" s="594"/>
    </row>
    <row r="387" spans="47:58">
      <c r="AU387" s="583"/>
      <c r="AV387" s="1094"/>
      <c r="AW387" s="592"/>
      <c r="AX387" s="583"/>
      <c r="AY387" s="592"/>
      <c r="AZ387" s="583"/>
      <c r="BA387" s="583"/>
      <c r="BB387" s="583"/>
      <c r="BC387" s="583"/>
      <c r="BD387" s="594"/>
      <c r="BE387" s="594"/>
      <c r="BF387" s="594"/>
    </row>
    <row r="388" spans="47:58">
      <c r="AU388" s="583"/>
      <c r="AV388" s="1094"/>
      <c r="AW388" s="592"/>
      <c r="AX388" s="583"/>
      <c r="AY388" s="592"/>
      <c r="AZ388" s="583"/>
      <c r="BA388" s="583"/>
      <c r="BB388" s="583"/>
      <c r="BC388" s="583"/>
      <c r="BD388" s="594"/>
      <c r="BE388" s="594"/>
      <c r="BF388" s="594"/>
    </row>
    <row r="389" spans="47:58">
      <c r="AU389" s="583"/>
      <c r="AV389" s="1094"/>
      <c r="AW389" s="592"/>
      <c r="AX389" s="583"/>
      <c r="AY389" s="592"/>
      <c r="AZ389" s="583"/>
      <c r="BA389" s="583"/>
      <c r="BB389" s="583"/>
      <c r="BC389" s="583"/>
      <c r="BD389" s="594"/>
      <c r="BE389" s="594"/>
      <c r="BF389" s="594"/>
    </row>
    <row r="390" spans="47:58">
      <c r="AU390" s="583"/>
      <c r="AV390" s="1094"/>
      <c r="AW390" s="592"/>
      <c r="AX390" s="583"/>
      <c r="AY390" s="592"/>
      <c r="AZ390" s="583"/>
      <c r="BA390" s="583"/>
      <c r="BB390" s="583"/>
      <c r="BC390" s="583"/>
      <c r="BD390" s="594"/>
      <c r="BE390" s="594"/>
      <c r="BF390" s="594"/>
    </row>
    <row r="391" spans="47:58">
      <c r="AU391" s="583"/>
      <c r="AV391" s="1094"/>
      <c r="AW391" s="592"/>
      <c r="AX391" s="583"/>
      <c r="AY391" s="592"/>
      <c r="AZ391" s="583"/>
      <c r="BA391" s="583"/>
      <c r="BB391" s="583"/>
      <c r="BC391" s="583"/>
      <c r="BD391" s="594"/>
      <c r="BE391" s="594"/>
      <c r="BF391" s="594"/>
    </row>
    <row r="392" spans="47:58">
      <c r="AU392" s="583"/>
      <c r="AV392" s="1094"/>
      <c r="AW392" s="592"/>
      <c r="AX392" s="583"/>
      <c r="AY392" s="592"/>
      <c r="AZ392" s="583"/>
      <c r="BA392" s="583"/>
      <c r="BB392" s="583"/>
      <c r="BC392" s="583"/>
      <c r="BD392" s="594"/>
      <c r="BE392" s="594"/>
      <c r="BF392" s="594"/>
    </row>
    <row r="393" spans="47:58">
      <c r="AU393" s="583"/>
      <c r="AV393" s="1094"/>
      <c r="AW393" s="592"/>
      <c r="AX393" s="583"/>
      <c r="AY393" s="592"/>
      <c r="AZ393" s="583"/>
      <c r="BA393" s="583"/>
      <c r="BB393" s="583"/>
      <c r="BC393" s="583"/>
      <c r="BD393" s="594"/>
      <c r="BE393" s="594"/>
      <c r="BF393" s="594"/>
    </row>
    <row r="394" spans="47:58">
      <c r="AU394" s="603"/>
      <c r="AV394" s="1095"/>
      <c r="AW394" s="592"/>
      <c r="AX394" s="603"/>
      <c r="AY394" s="592"/>
      <c r="AZ394" s="603"/>
      <c r="BA394" s="603"/>
      <c r="BB394" s="603"/>
      <c r="BC394" s="603"/>
      <c r="BD394" s="594"/>
      <c r="BE394" s="594"/>
      <c r="BF394" s="594"/>
    </row>
    <row r="395" spans="47:58">
      <c r="AX395" s="580"/>
      <c r="AZ395" s="580"/>
    </row>
    <row r="396" spans="47:58">
      <c r="AX396" s="580"/>
      <c r="AZ396" s="580"/>
    </row>
    <row r="397" spans="47:58">
      <c r="AX397" s="580"/>
      <c r="AZ397" s="580"/>
    </row>
    <row r="398" spans="47:58">
      <c r="AX398" s="580"/>
      <c r="AZ398" s="580"/>
    </row>
    <row r="399" spans="47:58">
      <c r="AX399" s="580"/>
      <c r="AZ399" s="580"/>
    </row>
    <row r="400" spans="47:58">
      <c r="AX400" s="580"/>
      <c r="AZ400" s="580"/>
    </row>
    <row r="401" s="580" customFormat="1"/>
    <row r="402" s="580" customFormat="1"/>
    <row r="403" s="580" customFormat="1"/>
    <row r="404" s="580" customFormat="1"/>
    <row r="405" s="580" customFormat="1"/>
    <row r="406" s="580" customFormat="1"/>
    <row r="407" s="580" customFormat="1"/>
    <row r="408" s="580" customFormat="1"/>
    <row r="409" s="580" customFormat="1"/>
    <row r="410" s="580" customFormat="1"/>
    <row r="411" s="580" customFormat="1"/>
    <row r="412" s="580" customFormat="1"/>
    <row r="413" s="580" customFormat="1"/>
    <row r="414" s="580" customFormat="1"/>
    <row r="415" s="580" customFormat="1"/>
    <row r="416" s="580" customFormat="1"/>
    <row r="417" s="580" customFormat="1"/>
    <row r="418" s="580" customFormat="1"/>
    <row r="419" s="580" customFormat="1"/>
    <row r="420" s="580" customFormat="1"/>
    <row r="421" s="580" customFormat="1"/>
    <row r="422" s="580" customFormat="1"/>
    <row r="423" s="580" customFormat="1"/>
    <row r="424" s="580" customFormat="1"/>
    <row r="425" s="580" customFormat="1"/>
    <row r="426" s="580" customFormat="1"/>
    <row r="427" s="580" customFormat="1"/>
    <row r="428" s="580" customFormat="1"/>
    <row r="429" s="580" customFormat="1"/>
    <row r="430" s="580" customFormat="1"/>
    <row r="431" s="580" customFormat="1"/>
    <row r="432" s="580" customFormat="1"/>
    <row r="433" s="580" customFormat="1"/>
    <row r="434" s="580" customFormat="1"/>
    <row r="435" s="580" customFormat="1"/>
    <row r="436" s="580" customFormat="1"/>
    <row r="437" s="580" customFormat="1"/>
    <row r="438" s="580" customFormat="1"/>
    <row r="439" s="580" customFormat="1"/>
    <row r="440" s="580" customFormat="1"/>
    <row r="441" s="580" customFormat="1"/>
    <row r="442" s="580" customFormat="1"/>
    <row r="443" s="580" customFormat="1"/>
    <row r="444" s="580" customFormat="1"/>
    <row r="445" s="580" customFormat="1"/>
    <row r="446" s="580" customFormat="1"/>
    <row r="447" s="580" customFormat="1"/>
    <row r="448" s="580" customFormat="1"/>
    <row r="449" s="580" customFormat="1"/>
    <row r="450" s="580" customFormat="1"/>
    <row r="451" s="580" customFormat="1"/>
    <row r="452" s="580" customFormat="1"/>
    <row r="453" s="580" customFormat="1"/>
    <row r="454" s="580" customFormat="1"/>
    <row r="455" s="580" customFormat="1"/>
    <row r="456" s="580" customFormat="1"/>
    <row r="457" s="580" customFormat="1"/>
    <row r="458" s="580" customFormat="1"/>
    <row r="459" s="580" customFormat="1"/>
    <row r="460" s="580" customFormat="1"/>
    <row r="461" s="580" customFormat="1"/>
    <row r="462" s="580" customFormat="1"/>
    <row r="463" s="580" customFormat="1"/>
    <row r="464" s="580" customFormat="1"/>
    <row r="465" s="580" customFormat="1"/>
    <row r="466" s="580" customFormat="1"/>
    <row r="467" s="580" customFormat="1"/>
    <row r="468" s="580" customFormat="1"/>
    <row r="469" s="580" customFormat="1"/>
    <row r="470" s="580" customFormat="1"/>
    <row r="471" s="580" customFormat="1"/>
    <row r="472" s="580" customFormat="1"/>
    <row r="473" s="580" customFormat="1"/>
    <row r="474" s="580" customFormat="1"/>
    <row r="475" s="580" customFormat="1"/>
    <row r="476" s="580" customFormat="1"/>
    <row r="477" s="580" customFormat="1"/>
    <row r="478" s="580" customFormat="1"/>
    <row r="479" s="580" customFormat="1"/>
    <row r="480" s="580" customFormat="1"/>
    <row r="481" s="580" customFormat="1"/>
    <row r="482" s="580" customFormat="1"/>
    <row r="483" s="580" customFormat="1"/>
    <row r="484" s="580" customFormat="1"/>
    <row r="485" s="580" customFormat="1"/>
    <row r="486" s="580" customFormat="1"/>
    <row r="487" s="580" customFormat="1"/>
    <row r="488" s="580" customFormat="1"/>
    <row r="489" s="580" customFormat="1"/>
    <row r="490" s="580" customFormat="1"/>
    <row r="491" s="580" customFormat="1"/>
    <row r="492" s="580" customFormat="1"/>
    <row r="493" s="580" customFormat="1"/>
    <row r="494" s="580" customFormat="1"/>
    <row r="495" s="580" customFormat="1"/>
    <row r="496" s="580" customFormat="1"/>
    <row r="497" s="580" customFormat="1"/>
    <row r="498" s="580" customFormat="1"/>
    <row r="499" s="580" customFormat="1"/>
    <row r="500" s="580" customFormat="1"/>
    <row r="501" s="580" customFormat="1"/>
    <row r="502" s="580" customFormat="1"/>
    <row r="503" s="580" customFormat="1"/>
    <row r="504" s="580" customFormat="1"/>
    <row r="505" s="580" customFormat="1"/>
    <row r="506" s="580" customFormat="1"/>
    <row r="507" s="580" customFormat="1"/>
    <row r="508" s="580" customFormat="1"/>
    <row r="509" s="580" customFormat="1"/>
    <row r="510" s="580" customFormat="1"/>
    <row r="511" s="580" customFormat="1"/>
    <row r="512" s="580" customFormat="1"/>
    <row r="513" s="580" customFormat="1"/>
    <row r="514" s="580" customFormat="1"/>
    <row r="515" s="580" customFormat="1"/>
    <row r="516" s="580" customFormat="1"/>
    <row r="517" s="580" customFormat="1"/>
    <row r="518" s="580" customFormat="1"/>
    <row r="519" s="580" customFormat="1"/>
    <row r="520" s="580" customFormat="1"/>
    <row r="521" s="580" customFormat="1"/>
    <row r="522" s="580" customFormat="1"/>
    <row r="523" s="580" customFormat="1"/>
    <row r="524" s="580" customFormat="1"/>
    <row r="525" s="580" customFormat="1"/>
    <row r="526" s="580" customFormat="1"/>
    <row r="527" s="580" customFormat="1"/>
    <row r="528" s="580" customFormat="1"/>
    <row r="529" s="580" customFormat="1"/>
    <row r="530" s="580" customFormat="1"/>
    <row r="531" s="580" customFormat="1"/>
    <row r="532" s="580" customFormat="1"/>
    <row r="533" s="580" customFormat="1"/>
    <row r="534" s="580" customFormat="1"/>
    <row r="535" s="580" customFormat="1"/>
    <row r="536" s="580" customFormat="1"/>
    <row r="537" s="580" customFormat="1"/>
    <row r="538" s="580" customFormat="1"/>
    <row r="539" s="580" customFormat="1"/>
    <row r="540" s="580" customFormat="1"/>
    <row r="541" s="580" customFormat="1"/>
    <row r="542" s="580" customFormat="1"/>
    <row r="543" s="580" customFormat="1"/>
    <row r="544" s="580" customFormat="1"/>
    <row r="545" s="580" customFormat="1"/>
    <row r="546" s="580" customFormat="1"/>
    <row r="547" s="580" customFormat="1"/>
    <row r="548" s="580" customFormat="1"/>
    <row r="549" s="580" customFormat="1"/>
    <row r="550" s="580" customFormat="1"/>
    <row r="551" s="580" customFormat="1"/>
    <row r="552" s="580" customFormat="1"/>
    <row r="553" s="580" customFormat="1"/>
    <row r="554" s="580" customFormat="1"/>
    <row r="555" s="580" customFormat="1"/>
    <row r="556" s="580" customFormat="1"/>
    <row r="557" s="580" customFormat="1"/>
    <row r="558" s="580" customFormat="1"/>
    <row r="559" s="580" customFormat="1"/>
    <row r="560" s="580" customFormat="1"/>
    <row r="561" s="580" customFormat="1"/>
    <row r="562" s="580" customFormat="1"/>
    <row r="563" s="580" customFormat="1"/>
    <row r="564" s="580" customFormat="1"/>
    <row r="565" s="580" customFormat="1"/>
    <row r="566" s="580" customFormat="1"/>
    <row r="567" s="580" customFormat="1"/>
    <row r="568" s="580" customFormat="1"/>
    <row r="569" s="580" customFormat="1"/>
    <row r="570" s="580" customFormat="1"/>
    <row r="571" s="580" customFormat="1"/>
    <row r="572" s="580" customFormat="1"/>
    <row r="573" s="580" customFormat="1"/>
    <row r="574" s="580" customFormat="1"/>
    <row r="575" s="580" customFormat="1"/>
    <row r="576" s="580" customFormat="1"/>
    <row r="577" s="580" customFormat="1"/>
    <row r="578" s="580" customFormat="1"/>
    <row r="579" s="580" customFormat="1"/>
    <row r="580" s="580" customFormat="1"/>
    <row r="581" s="580" customFormat="1"/>
    <row r="582" s="580" customFormat="1"/>
    <row r="583" s="580" customFormat="1"/>
    <row r="584" s="580" customFormat="1"/>
    <row r="585" s="580" customFormat="1"/>
    <row r="586" s="580" customFormat="1"/>
    <row r="587" s="580" customFormat="1"/>
    <row r="588" s="580" customFormat="1"/>
    <row r="589" s="580" customFormat="1"/>
    <row r="590" s="580" customFormat="1"/>
    <row r="591" s="580" customFormat="1"/>
    <row r="592" s="580" customFormat="1"/>
    <row r="593" s="580" customFormat="1"/>
    <row r="594" s="580" customFormat="1"/>
    <row r="595" s="580" customFormat="1"/>
    <row r="596" s="580" customFormat="1"/>
    <row r="597" s="580" customFormat="1"/>
    <row r="598" s="580" customFormat="1"/>
    <row r="599" s="580" customFormat="1"/>
    <row r="600" s="580" customFormat="1"/>
    <row r="601" s="580" customFormat="1"/>
    <row r="602" s="580" customFormat="1"/>
    <row r="603" s="580" customFormat="1"/>
    <row r="604" s="580" customFormat="1"/>
    <row r="605" s="580" customFormat="1"/>
    <row r="606" s="580" customFormat="1"/>
    <row r="607" s="580" customFormat="1"/>
    <row r="608" s="580" customFormat="1"/>
    <row r="609" s="580" customFormat="1"/>
    <row r="610" s="580" customFormat="1"/>
    <row r="611" s="580" customFormat="1"/>
    <row r="612" s="580" customFormat="1"/>
    <row r="613" s="580" customFormat="1"/>
    <row r="614" s="580" customFormat="1"/>
    <row r="615" s="580" customFormat="1"/>
    <row r="616" s="580" customFormat="1"/>
    <row r="617" s="580" customFormat="1"/>
    <row r="618" s="580" customFormat="1"/>
    <row r="619" s="580" customFormat="1"/>
    <row r="620" s="580" customFormat="1"/>
    <row r="621" s="580" customFormat="1"/>
    <row r="622" s="580" customFormat="1"/>
    <row r="623" s="580" customFormat="1"/>
    <row r="624" s="580" customFormat="1"/>
    <row r="625" s="580" customFormat="1"/>
    <row r="626" s="580" customFormat="1"/>
    <row r="627" s="580" customFormat="1"/>
    <row r="628" s="580" customFormat="1"/>
    <row r="629" s="580" customFormat="1"/>
    <row r="630" s="580" customFormat="1"/>
    <row r="631" s="580" customFormat="1"/>
    <row r="632" s="580" customFormat="1"/>
    <row r="633" s="580" customFormat="1"/>
    <row r="634" s="580" customFormat="1"/>
    <row r="635" s="580" customFormat="1"/>
    <row r="636" s="580" customFormat="1"/>
    <row r="637" s="580" customFormat="1"/>
    <row r="638" s="580" customFormat="1"/>
    <row r="639" s="580" customFormat="1"/>
    <row r="640" s="580" customFormat="1"/>
    <row r="641" s="580" customFormat="1"/>
    <row r="642" s="580" customFormat="1"/>
    <row r="643" s="580" customFormat="1"/>
    <row r="644" s="580" customFormat="1"/>
    <row r="645" s="580" customFormat="1"/>
    <row r="646" s="580" customFormat="1"/>
    <row r="647" s="580" customFormat="1"/>
    <row r="648" s="580" customFormat="1"/>
    <row r="649" s="580" customFormat="1"/>
    <row r="650" s="580" customFormat="1"/>
    <row r="651" s="580" customFormat="1"/>
    <row r="652" s="580" customFormat="1"/>
    <row r="653" s="580" customFormat="1"/>
    <row r="654" s="580" customFormat="1"/>
    <row r="655" s="580" customFormat="1"/>
    <row r="656" s="580" customFormat="1"/>
    <row r="657" s="580" customFormat="1"/>
    <row r="658" s="580" customFormat="1"/>
    <row r="659" s="580" customFormat="1"/>
    <row r="660" s="580" customFormat="1"/>
    <row r="661" s="580" customFormat="1"/>
    <row r="662" s="580" customFormat="1"/>
    <row r="663" s="580" customFormat="1"/>
    <row r="664" s="580" customFormat="1"/>
    <row r="665" s="580" customFormat="1"/>
    <row r="666" s="580" customFormat="1"/>
    <row r="667" s="580" customFormat="1"/>
    <row r="668" s="580" customFormat="1"/>
    <row r="669" s="580" customFormat="1"/>
    <row r="670" s="580" customFormat="1"/>
    <row r="671" s="580" customFormat="1"/>
    <row r="672" s="580" customFormat="1"/>
    <row r="673" s="580" customFormat="1"/>
    <row r="674" s="580" customFormat="1"/>
    <row r="675" s="580" customFormat="1"/>
    <row r="676" s="580" customFormat="1"/>
    <row r="677" s="580" customFormat="1"/>
    <row r="678" s="580" customFormat="1"/>
    <row r="679" s="580" customFormat="1"/>
    <row r="680" s="580" customFormat="1"/>
    <row r="681" s="580" customFormat="1"/>
    <row r="682" s="580" customFormat="1"/>
    <row r="683" s="580" customFormat="1"/>
    <row r="684" s="580" customFormat="1"/>
    <row r="685" s="580" customFormat="1"/>
    <row r="686" s="580" customFormat="1"/>
    <row r="687" s="580" customFormat="1"/>
    <row r="688" s="580" customFormat="1"/>
    <row r="689" s="580" customFormat="1"/>
    <row r="690" s="580" customFormat="1"/>
    <row r="691" s="580" customFormat="1"/>
    <row r="692" s="580" customFormat="1"/>
    <row r="693" s="580" customFormat="1"/>
    <row r="694" s="580" customFormat="1"/>
    <row r="695" s="580" customFormat="1"/>
    <row r="696" s="580" customFormat="1"/>
    <row r="697" s="580" customFormat="1"/>
    <row r="698" s="580" customFormat="1"/>
    <row r="699" s="580" customFormat="1"/>
    <row r="700" s="580" customFormat="1"/>
    <row r="701" s="580" customFormat="1"/>
    <row r="702" s="580" customFormat="1"/>
    <row r="703" s="580" customFormat="1"/>
    <row r="704" s="580" customFormat="1"/>
    <row r="705" s="580" customFormat="1"/>
    <row r="706" s="580" customFormat="1"/>
    <row r="707" s="580" customFormat="1"/>
    <row r="708" s="580" customFormat="1"/>
    <row r="709" s="580" customFormat="1"/>
    <row r="710" s="580" customFormat="1"/>
    <row r="711" s="580" customFormat="1"/>
    <row r="712" s="580" customFormat="1"/>
    <row r="713" s="580" customFormat="1"/>
    <row r="714" s="580" customFormat="1"/>
    <row r="715" s="580" customFormat="1"/>
    <row r="716" s="580" customFormat="1"/>
    <row r="717" s="580" customFormat="1"/>
    <row r="718" s="580" customFormat="1"/>
    <row r="719" s="580" customFormat="1"/>
    <row r="720" s="580" customFormat="1"/>
    <row r="721" s="580" customFormat="1"/>
    <row r="722" s="580" customFormat="1"/>
    <row r="723" s="580" customFormat="1"/>
    <row r="724" s="580" customFormat="1"/>
    <row r="725" s="580" customFormat="1"/>
    <row r="726" s="580" customFormat="1"/>
    <row r="727" s="580" customFormat="1"/>
    <row r="728" s="580" customFormat="1"/>
    <row r="729" s="580" customFormat="1"/>
    <row r="730" s="580" customFormat="1"/>
    <row r="731" s="580" customFormat="1"/>
    <row r="732" s="580" customFormat="1"/>
    <row r="733" s="580" customFormat="1"/>
    <row r="734" s="580" customFormat="1"/>
    <row r="735" s="580" customFormat="1"/>
    <row r="736" s="580" customFormat="1"/>
    <row r="737" s="580" customFormat="1"/>
    <row r="738" s="580" customFormat="1"/>
    <row r="739" s="580" customFormat="1"/>
    <row r="740" s="580" customFormat="1"/>
    <row r="741" s="580" customFormat="1"/>
    <row r="742" s="580" customFormat="1"/>
    <row r="743" s="580" customFormat="1"/>
    <row r="744" s="580" customFormat="1"/>
    <row r="745" s="580" customFormat="1"/>
    <row r="746" s="580" customFormat="1"/>
    <row r="747" s="580" customFormat="1"/>
    <row r="748" s="580" customFormat="1"/>
    <row r="749" s="580" customFormat="1"/>
    <row r="750" s="580" customFormat="1"/>
    <row r="751" s="580" customFormat="1"/>
    <row r="752" s="580" customFormat="1"/>
    <row r="753" s="580" customFormat="1"/>
    <row r="754" s="580" customFormat="1"/>
    <row r="755" s="580" customFormat="1"/>
    <row r="756" s="580" customFormat="1"/>
    <row r="757" s="580" customFormat="1"/>
    <row r="758" s="580" customFormat="1"/>
    <row r="759" s="580" customFormat="1"/>
    <row r="760" s="580" customFormat="1"/>
    <row r="761" s="580" customFormat="1"/>
    <row r="762" s="580" customFormat="1"/>
    <row r="763" s="580" customFormat="1"/>
    <row r="764" s="580" customFormat="1"/>
    <row r="765" s="580" customFormat="1"/>
    <row r="766" s="580" customFormat="1"/>
    <row r="767" s="580" customFormat="1"/>
    <row r="768" s="580" customFormat="1"/>
    <row r="769" s="580" customFormat="1"/>
    <row r="770" s="580" customFormat="1"/>
    <row r="771" s="580" customFormat="1"/>
    <row r="772" s="580" customFormat="1"/>
    <row r="773" s="580" customFormat="1"/>
    <row r="774" s="580" customFormat="1"/>
    <row r="775" s="580" customFormat="1"/>
    <row r="776" s="580" customFormat="1"/>
    <row r="777" s="580" customFormat="1"/>
    <row r="778" s="580" customFormat="1"/>
    <row r="779" s="580" customFormat="1"/>
    <row r="780" s="580" customFormat="1"/>
    <row r="781" s="580" customFormat="1"/>
    <row r="782" s="580" customFormat="1"/>
    <row r="783" s="580" customFormat="1"/>
    <row r="784" s="580" customFormat="1"/>
    <row r="785" s="580" customFormat="1"/>
    <row r="786" s="580" customFormat="1"/>
    <row r="787" s="580" customFormat="1"/>
    <row r="788" s="580" customFormat="1"/>
    <row r="789" s="580" customFormat="1"/>
    <row r="790" s="580" customFormat="1"/>
    <row r="791" s="580" customFormat="1"/>
    <row r="792" s="580" customFormat="1"/>
    <row r="793" s="580" customFormat="1"/>
    <row r="794" s="580" customFormat="1"/>
    <row r="795" s="580" customFormat="1"/>
    <row r="796" s="580" customFormat="1"/>
    <row r="797" s="580" customFormat="1"/>
    <row r="798" s="580" customFormat="1"/>
    <row r="799" s="580" customFormat="1"/>
    <row r="800" s="580" customFormat="1"/>
    <row r="801" s="580" customFormat="1"/>
    <row r="802" s="580" customFormat="1"/>
    <row r="803" s="580" customFormat="1"/>
    <row r="804" s="580" customFormat="1"/>
    <row r="805" s="580" customFormat="1"/>
    <row r="806" s="580" customFormat="1"/>
    <row r="807" s="580" customFormat="1"/>
    <row r="808" s="580" customFormat="1"/>
    <row r="809" s="580" customFormat="1"/>
    <row r="810" s="580" customFormat="1"/>
    <row r="811" s="580" customFormat="1"/>
    <row r="812" s="580" customFormat="1"/>
    <row r="813" s="580" customFormat="1"/>
    <row r="814" s="580" customFormat="1"/>
    <row r="815" s="580" customFormat="1"/>
    <row r="816" s="580" customFormat="1"/>
    <row r="817" s="580" customFormat="1"/>
    <row r="818" s="580" customFormat="1"/>
    <row r="819" s="580" customFormat="1"/>
    <row r="820" s="580" customFormat="1"/>
    <row r="821" s="580" customFormat="1"/>
    <row r="822" s="580" customFormat="1"/>
    <row r="823" s="580" customFormat="1"/>
    <row r="824" s="580" customFormat="1"/>
    <row r="825" s="580" customFormat="1"/>
    <row r="826" s="580" customFormat="1"/>
    <row r="827" s="580" customFormat="1"/>
    <row r="828" s="580" customFormat="1"/>
    <row r="829" s="580" customFormat="1"/>
    <row r="830" s="580" customFormat="1"/>
    <row r="831" s="580" customFormat="1"/>
    <row r="832" s="580" customFormat="1"/>
    <row r="833" s="580" customFormat="1"/>
    <row r="834" s="580" customFormat="1"/>
    <row r="835" s="580" customFormat="1"/>
    <row r="836" s="580" customFormat="1"/>
    <row r="837" s="580" customFormat="1"/>
    <row r="838" s="580" customFormat="1"/>
    <row r="839" s="580" customFormat="1"/>
    <row r="840" s="580" customFormat="1"/>
    <row r="841" s="580" customFormat="1"/>
    <row r="842" s="580" customFormat="1"/>
    <row r="843" s="580" customFormat="1"/>
    <row r="844" s="580" customFormat="1"/>
    <row r="845" s="580" customFormat="1"/>
    <row r="846" s="580" customFormat="1"/>
    <row r="847" s="580" customFormat="1"/>
    <row r="848" s="580" customFormat="1"/>
    <row r="849" s="580" customFormat="1"/>
    <row r="850" s="580" customFormat="1"/>
    <row r="851" s="580" customFormat="1"/>
    <row r="852" s="580" customFormat="1"/>
    <row r="853" s="580" customFormat="1"/>
    <row r="854" s="580" customFormat="1"/>
    <row r="855" s="580" customFormat="1"/>
    <row r="856" s="580" customFormat="1"/>
    <row r="857" s="580" customFormat="1"/>
    <row r="858" s="580" customFormat="1"/>
    <row r="859" s="580" customFormat="1"/>
    <row r="860" s="580" customFormat="1"/>
    <row r="861" s="580" customFormat="1"/>
    <row r="862" s="580" customFormat="1"/>
    <row r="863" s="580" customFormat="1"/>
    <row r="864" s="580" customFormat="1"/>
    <row r="865" s="580" customFormat="1"/>
    <row r="866" s="580" customFormat="1"/>
    <row r="867" s="580" customFormat="1"/>
    <row r="868" s="580" customFormat="1"/>
    <row r="869" s="580" customFormat="1"/>
    <row r="870" s="580" customFormat="1"/>
    <row r="871" s="580" customFormat="1"/>
    <row r="872" s="580" customFormat="1"/>
    <row r="873" s="580" customFormat="1"/>
    <row r="874" s="580" customFormat="1"/>
    <row r="875" s="580" customFormat="1"/>
    <row r="876" s="580" customFormat="1"/>
    <row r="877" s="580" customFormat="1"/>
    <row r="878" s="580" customFormat="1"/>
    <row r="879" s="580" customFormat="1"/>
    <row r="880" s="580" customFormat="1"/>
    <row r="881" s="580" customFormat="1"/>
    <row r="882" s="580" customFormat="1"/>
    <row r="883" s="580" customFormat="1"/>
    <row r="884" s="580" customFormat="1"/>
    <row r="885" s="580" customFormat="1"/>
    <row r="886" s="580" customFormat="1"/>
    <row r="887" s="580" customFormat="1"/>
    <row r="888" s="580" customFormat="1"/>
    <row r="889" s="580" customFormat="1"/>
    <row r="890" s="580" customFormat="1"/>
    <row r="891" s="580" customFormat="1"/>
    <row r="892" s="580" customFormat="1"/>
    <row r="893" s="580" customFormat="1"/>
    <row r="894" s="580" customFormat="1"/>
    <row r="895" s="580" customFormat="1"/>
    <row r="896" s="580" customFormat="1"/>
    <row r="897" s="580" customFormat="1"/>
  </sheetData>
  <sheetProtection selectLockedCells="1" selectUnlockedCells="1"/>
  <mergeCells count="1">
    <mergeCell ref="AS8:AS9"/>
  </mergeCells>
  <phoneticPr fontId="9" type="noConversion"/>
  <dataValidations count="1">
    <dataValidation type="list" allowBlank="1" showInputMessage="1" showErrorMessage="1" sqref="AY2:AY394" xr:uid="{00000000-0002-0000-2700-000000000000}">
      <formula1>INDIRECT($AW$2:$AW$394)</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4225" r:id="rId4" name="Q_FCU_STD">
          <controlPr defaultSize="0" disabled="1" autoLine="0" r:id="rId5">
            <anchor moveWithCells="1">
              <from>
                <xdr:col>44</xdr:col>
                <xdr:colOff>295275</xdr:colOff>
                <xdr:row>4</xdr:row>
                <xdr:rowOff>190500</xdr:rowOff>
              </from>
              <to>
                <xdr:col>44</xdr:col>
                <xdr:colOff>2933700</xdr:colOff>
                <xdr:row>5</xdr:row>
                <xdr:rowOff>247650</xdr:rowOff>
              </to>
            </anchor>
          </controlPr>
        </control>
      </mc:Choice>
      <mc:Fallback>
        <control shapeId="94225" r:id="rId4" name="Q_FCU_STD"/>
      </mc:Fallback>
    </mc:AlternateContent>
    <mc:AlternateContent xmlns:mc="http://schemas.openxmlformats.org/markup-compatibility/2006">
      <mc:Choice Requires="x14">
        <control shapeId="94224" r:id="rId6" name="Q_FCU_D_SKIN_125_7">
          <controlPr defaultSize="0" disabled="1" autoLine="0" r:id="rId7">
            <anchor moveWithCells="1">
              <from>
                <xdr:col>44</xdr:col>
                <xdr:colOff>104775</xdr:colOff>
                <xdr:row>21</xdr:row>
                <xdr:rowOff>66675</xdr:rowOff>
              </from>
              <to>
                <xdr:col>44</xdr:col>
                <xdr:colOff>2371725</xdr:colOff>
                <xdr:row>22</xdr:row>
                <xdr:rowOff>123825</xdr:rowOff>
              </to>
            </anchor>
          </controlPr>
        </control>
      </mc:Choice>
      <mc:Fallback>
        <control shapeId="94224" r:id="rId6" name="Q_FCU_D_SKIN_125_7"/>
      </mc:Fallback>
    </mc:AlternateContent>
    <mc:AlternateContent xmlns:mc="http://schemas.openxmlformats.org/markup-compatibility/2006">
      <mc:Choice Requires="x14">
        <control shapeId="94223" r:id="rId8" name="Q_FCU_S_SKIN_7mm">
          <controlPr defaultSize="0" disabled="1" autoLine="0" r:id="rId9">
            <anchor moveWithCells="1">
              <from>
                <xdr:col>44</xdr:col>
                <xdr:colOff>95250</xdr:colOff>
                <xdr:row>20</xdr:row>
                <xdr:rowOff>57150</xdr:rowOff>
              </from>
              <to>
                <xdr:col>44</xdr:col>
                <xdr:colOff>2362200</xdr:colOff>
                <xdr:row>21</xdr:row>
                <xdr:rowOff>114300</xdr:rowOff>
              </to>
            </anchor>
          </controlPr>
        </control>
      </mc:Choice>
      <mc:Fallback>
        <control shapeId="94223" r:id="rId8" name="Q_FCU_S_SKIN_7mm"/>
      </mc:Fallback>
    </mc:AlternateContent>
    <mc:AlternateContent xmlns:mc="http://schemas.openxmlformats.org/markup-compatibility/2006">
      <mc:Choice Requires="x14">
        <control shapeId="94222" r:id="rId10" name="Q_FCU_S_SKIN_1mm">
          <controlPr defaultSize="0" disabled="1" autoLine="0" r:id="rId11">
            <anchor moveWithCells="1">
              <from>
                <xdr:col>44</xdr:col>
                <xdr:colOff>85725</xdr:colOff>
                <xdr:row>19</xdr:row>
                <xdr:rowOff>9525</xdr:rowOff>
              </from>
              <to>
                <xdr:col>44</xdr:col>
                <xdr:colOff>2352675</xdr:colOff>
                <xdr:row>20</xdr:row>
                <xdr:rowOff>66675</xdr:rowOff>
              </to>
            </anchor>
          </controlPr>
        </control>
      </mc:Choice>
      <mc:Fallback>
        <control shapeId="94222" r:id="rId10" name="Q_FCU_S_SKIN_1mm"/>
      </mc:Fallback>
    </mc:AlternateContent>
    <mc:AlternateContent xmlns:mc="http://schemas.openxmlformats.org/markup-compatibility/2006">
      <mc:Choice Requires="x14">
        <control shapeId="94221" r:id="rId12" name="Q_FCU_EC_MOTOR">
          <controlPr defaultSize="0" disabled="1" autoLine="0" r:id="rId13">
            <anchor moveWithCells="1">
              <from>
                <xdr:col>44</xdr:col>
                <xdr:colOff>123825</xdr:colOff>
                <xdr:row>23</xdr:row>
                <xdr:rowOff>47625</xdr:rowOff>
              </from>
              <to>
                <xdr:col>44</xdr:col>
                <xdr:colOff>2390775</xdr:colOff>
                <xdr:row>24</xdr:row>
                <xdr:rowOff>104775</xdr:rowOff>
              </to>
            </anchor>
          </controlPr>
        </control>
      </mc:Choice>
      <mc:Fallback>
        <control shapeId="94221" r:id="rId12" name="Q_FCU_EC_MOTOR"/>
      </mc:Fallback>
    </mc:AlternateContent>
    <mc:AlternateContent xmlns:mc="http://schemas.openxmlformats.org/markup-compatibility/2006">
      <mc:Choice Requires="x14">
        <control shapeId="94220" r:id="rId14" name="Q_FCU_SS_Drain_304">
          <controlPr defaultSize="0" disabled="1" autoLine="0" r:id="rId15">
            <anchor moveWithCells="1">
              <from>
                <xdr:col>44</xdr:col>
                <xdr:colOff>76200</xdr:colOff>
                <xdr:row>17</xdr:row>
                <xdr:rowOff>38100</xdr:rowOff>
              </from>
              <to>
                <xdr:col>44</xdr:col>
                <xdr:colOff>2343150</xdr:colOff>
                <xdr:row>18</xdr:row>
                <xdr:rowOff>95250</xdr:rowOff>
              </to>
            </anchor>
          </controlPr>
        </control>
      </mc:Choice>
      <mc:Fallback>
        <control shapeId="94220" r:id="rId14" name="Q_FCU_SS_Drain_304"/>
      </mc:Fallback>
    </mc:AlternateContent>
    <mc:AlternateContent xmlns:mc="http://schemas.openxmlformats.org/markup-compatibility/2006">
      <mc:Choice Requires="x14">
        <control shapeId="94219" r:id="rId16" name="Q_FCU_SS_Drain_316">
          <controlPr defaultSize="0" disabled="1" autoLine="0" r:id="rId17">
            <anchor moveWithCells="1">
              <from>
                <xdr:col>44</xdr:col>
                <xdr:colOff>85725</xdr:colOff>
                <xdr:row>16</xdr:row>
                <xdr:rowOff>9525</xdr:rowOff>
              </from>
              <to>
                <xdr:col>44</xdr:col>
                <xdr:colOff>2352675</xdr:colOff>
                <xdr:row>17</xdr:row>
                <xdr:rowOff>66675</xdr:rowOff>
              </to>
            </anchor>
          </controlPr>
        </control>
      </mc:Choice>
      <mc:Fallback>
        <control shapeId="94219" r:id="rId16" name="Q_FCU_SS_Drain_316"/>
      </mc:Fallback>
    </mc:AlternateContent>
    <mc:AlternateContent xmlns:mc="http://schemas.openxmlformats.org/markup-compatibility/2006">
      <mc:Choice Requires="x14">
        <control shapeId="94218" r:id="rId18" name="Q_FCU_ADP_SS316">
          <controlPr defaultSize="0" disabled="1" autoLine="0" r:id="rId19">
            <anchor moveWithCells="1">
              <from>
                <xdr:col>44</xdr:col>
                <xdr:colOff>66675</xdr:colOff>
                <xdr:row>14</xdr:row>
                <xdr:rowOff>47625</xdr:rowOff>
              </from>
              <to>
                <xdr:col>44</xdr:col>
                <xdr:colOff>2333625</xdr:colOff>
                <xdr:row>15</xdr:row>
                <xdr:rowOff>104775</xdr:rowOff>
              </to>
            </anchor>
          </controlPr>
        </control>
      </mc:Choice>
      <mc:Fallback>
        <control shapeId="94218" r:id="rId18" name="Q_FCU_ADP_SS316"/>
      </mc:Fallback>
    </mc:AlternateContent>
    <mc:AlternateContent xmlns:mc="http://schemas.openxmlformats.org/markup-compatibility/2006">
      <mc:Choice Requires="x14">
        <control shapeId="94217" r:id="rId20" name="Q_FCU_ADP_SS304">
          <controlPr defaultSize="0" disabled="1" autoLine="0" r:id="rId21">
            <anchor moveWithCells="1">
              <from>
                <xdr:col>44</xdr:col>
                <xdr:colOff>76200</xdr:colOff>
                <xdr:row>13</xdr:row>
                <xdr:rowOff>47625</xdr:rowOff>
              </from>
              <to>
                <xdr:col>44</xdr:col>
                <xdr:colOff>2343150</xdr:colOff>
                <xdr:row>14</xdr:row>
                <xdr:rowOff>104775</xdr:rowOff>
              </to>
            </anchor>
          </controlPr>
        </control>
      </mc:Choice>
      <mc:Fallback>
        <control shapeId="94217" r:id="rId20" name="Q_FCU_ADP_SS304"/>
      </mc:Fallback>
    </mc:AlternateContent>
    <mc:AlternateContent xmlns:mc="http://schemas.openxmlformats.org/markup-compatibility/2006">
      <mc:Choice Requires="x14">
        <control shapeId="94216" r:id="rId22" name="Q_FCU_ADP_GI">
          <controlPr defaultSize="0" disabled="1" autoLine="0" r:id="rId23">
            <anchor moveWithCells="1">
              <from>
                <xdr:col>44</xdr:col>
                <xdr:colOff>95250</xdr:colOff>
                <xdr:row>12</xdr:row>
                <xdr:rowOff>19050</xdr:rowOff>
              </from>
              <to>
                <xdr:col>44</xdr:col>
                <xdr:colOff>2143125</xdr:colOff>
                <xdr:row>13</xdr:row>
                <xdr:rowOff>66675</xdr:rowOff>
              </to>
            </anchor>
          </controlPr>
        </control>
      </mc:Choice>
      <mc:Fallback>
        <control shapeId="94216" r:id="rId22" name="Q_FCU_ADP_GI"/>
      </mc:Fallback>
    </mc:AlternateContent>
    <mc:AlternateContent xmlns:mc="http://schemas.openxmlformats.org/markup-compatibility/2006">
      <mc:Choice Requires="x14">
        <control shapeId="94215" r:id="rId24" name="Q_FCU_MTSS">
          <controlPr defaultSize="0" disabled="1" autoLine="0" r:id="rId25">
            <anchor moveWithCells="1">
              <from>
                <xdr:col>44</xdr:col>
                <xdr:colOff>104775</xdr:colOff>
                <xdr:row>10</xdr:row>
                <xdr:rowOff>66675</xdr:rowOff>
              </from>
              <to>
                <xdr:col>44</xdr:col>
                <xdr:colOff>2466975</xdr:colOff>
                <xdr:row>11</xdr:row>
                <xdr:rowOff>123825</xdr:rowOff>
              </to>
            </anchor>
          </controlPr>
        </control>
      </mc:Choice>
      <mc:Fallback>
        <control shapeId="94215" r:id="rId24" name="Q_FCU_MTSS"/>
      </mc:Fallback>
    </mc:AlternateContent>
    <mc:AlternateContent xmlns:mc="http://schemas.openxmlformats.org/markup-compatibility/2006">
      <mc:Choice Requires="x14">
        <control shapeId="94214" r:id="rId26" name="Q_FCU_DT">
          <controlPr defaultSize="0" disabled="1" autoLine="0" r:id="rId27">
            <anchor moveWithCells="1">
              <from>
                <xdr:col>44</xdr:col>
                <xdr:colOff>104775</xdr:colOff>
                <xdr:row>9</xdr:row>
                <xdr:rowOff>47625</xdr:rowOff>
              </from>
              <to>
                <xdr:col>44</xdr:col>
                <xdr:colOff>2743200</xdr:colOff>
                <xdr:row>10</xdr:row>
                <xdr:rowOff>104775</xdr:rowOff>
              </to>
            </anchor>
          </controlPr>
        </control>
      </mc:Choice>
      <mc:Fallback>
        <control shapeId="94214" r:id="rId26" name="Q_FCU_DT"/>
      </mc:Fallback>
    </mc:AlternateContent>
    <mc:AlternateContent xmlns:mc="http://schemas.openxmlformats.org/markup-compatibility/2006">
      <mc:Choice Requires="x14">
        <control shapeId="94213" r:id="rId28" name="Q_FCU_PRICE_High">
          <controlPr defaultSize="0" autoLine="0" r:id="rId29">
            <anchor moveWithCells="1">
              <from>
                <xdr:col>44</xdr:col>
                <xdr:colOff>304800</xdr:colOff>
                <xdr:row>3</xdr:row>
                <xdr:rowOff>0</xdr:rowOff>
              </from>
              <to>
                <xdr:col>44</xdr:col>
                <xdr:colOff>1562100</xdr:colOff>
                <xdr:row>3</xdr:row>
                <xdr:rowOff>247650</xdr:rowOff>
              </to>
            </anchor>
          </controlPr>
        </control>
      </mc:Choice>
      <mc:Fallback>
        <control shapeId="94213" r:id="rId28" name="Q_FCU_PRICE_High"/>
      </mc:Fallback>
    </mc:AlternateContent>
    <mc:AlternateContent xmlns:mc="http://schemas.openxmlformats.org/markup-compatibility/2006">
      <mc:Choice Requires="x14">
        <control shapeId="94212" r:id="rId30" name="Q_FCU_PIRCE_MED">
          <controlPr defaultSize="0" autoLine="0" r:id="rId31">
            <anchor moveWithCells="1">
              <from>
                <xdr:col>44</xdr:col>
                <xdr:colOff>295275</xdr:colOff>
                <xdr:row>2</xdr:row>
                <xdr:rowOff>0</xdr:rowOff>
              </from>
              <to>
                <xdr:col>44</xdr:col>
                <xdr:colOff>1552575</xdr:colOff>
                <xdr:row>2</xdr:row>
                <xdr:rowOff>247650</xdr:rowOff>
              </to>
            </anchor>
          </controlPr>
        </control>
      </mc:Choice>
      <mc:Fallback>
        <control shapeId="94212" r:id="rId30" name="Q_FCU_PIRCE_MED"/>
      </mc:Fallback>
    </mc:AlternateContent>
    <mc:AlternateContent xmlns:mc="http://schemas.openxmlformats.org/markup-compatibility/2006">
      <mc:Choice Requires="x14">
        <control shapeId="94211" r:id="rId32" name="Q_FCU_Price_Low">
          <controlPr defaultSize="0" autoLine="0" r:id="rId33">
            <anchor moveWithCells="1">
              <from>
                <xdr:col>44</xdr:col>
                <xdr:colOff>295275</xdr:colOff>
                <xdr:row>1</xdr:row>
                <xdr:rowOff>9525</xdr:rowOff>
              </from>
              <to>
                <xdr:col>44</xdr:col>
                <xdr:colOff>1552575</xdr:colOff>
                <xdr:row>1</xdr:row>
                <xdr:rowOff>257175</xdr:rowOff>
              </to>
            </anchor>
          </controlPr>
        </control>
      </mc:Choice>
      <mc:Fallback>
        <control shapeId="94211" r:id="rId32" name="Q_FCU_Price_Low"/>
      </mc:Fallback>
    </mc:AlternateContent>
    <mc:AlternateContent xmlns:mc="http://schemas.openxmlformats.org/markup-compatibility/2006">
      <mc:Choice Requires="x14">
        <control shapeId="94210" r:id="rId34" name="DC_Exit_Large_DATA">
          <controlPr defaultSize="0" disabled="1" autoLine="0" r:id="rId35">
            <anchor moveWithCells="1">
              <from>
                <xdr:col>44</xdr:col>
                <xdr:colOff>76200</xdr:colOff>
                <xdr:row>25</xdr:row>
                <xdr:rowOff>114300</xdr:rowOff>
              </from>
              <to>
                <xdr:col>44</xdr:col>
                <xdr:colOff>1314450</xdr:colOff>
                <xdr:row>28</xdr:row>
                <xdr:rowOff>19050</xdr:rowOff>
              </to>
            </anchor>
          </controlPr>
        </control>
      </mc:Choice>
      <mc:Fallback>
        <control shapeId="94210" r:id="rId34" name="DC_Exit_Large_DATA"/>
      </mc:Fallback>
    </mc:AlternateContent>
    <mc:AlternateContent xmlns:mc="http://schemas.openxmlformats.org/markup-compatibility/2006">
      <mc:Choice Requires="x14">
        <control shapeId="94209" r:id="rId36" name="DC_DATA_Printing">
          <controlPr defaultSize="0" autoLine="0" r:id="rId37">
            <anchor moveWithCells="1">
              <from>
                <xdr:col>45</xdr:col>
                <xdr:colOff>276225</xdr:colOff>
                <xdr:row>0</xdr:row>
                <xdr:rowOff>152400</xdr:rowOff>
              </from>
              <to>
                <xdr:col>45</xdr:col>
                <xdr:colOff>1495425</xdr:colOff>
                <xdr:row>2</xdr:row>
                <xdr:rowOff>57150</xdr:rowOff>
              </to>
            </anchor>
          </controlPr>
        </control>
      </mc:Choice>
      <mc:Fallback>
        <control shapeId="94209" r:id="rId36" name="DC_DATA_Printing"/>
      </mc:Fallback>
    </mc:AlternateContent>
  </controls>
  <tableParts count="2">
    <tablePart r:id="rId38"/>
    <tablePart r:id="rId39"/>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1000000}">
          <x14:formula1>
            <xm:f>Naming!$H$47:$H$54</xm:f>
          </x14:formula1>
          <xm:sqref>AW2:AW394</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C1_PPH_DATA_Base"/>
  <dimension ref="A1:HC308"/>
  <sheetViews>
    <sheetView topLeftCell="A46" zoomScale="55" zoomScaleNormal="55" workbookViewId="0">
      <selection activeCell="DT35" sqref="DT35"/>
    </sheetView>
  </sheetViews>
  <sheetFormatPr defaultRowHeight="16.5"/>
  <cols>
    <col min="1" max="1" width="18.85546875" style="176" bestFit="1" customWidth="1"/>
    <col min="2" max="2" width="33.85546875" customWidth="1"/>
    <col min="3" max="3" width="31.5703125" style="176" bestFit="1" customWidth="1"/>
    <col min="4" max="5" width="26.140625" style="176" bestFit="1" customWidth="1"/>
    <col min="6" max="6" width="19" style="176" customWidth="1"/>
    <col min="7" max="7" width="17" style="176" customWidth="1"/>
    <col min="8" max="8" width="16.7109375" style="176" bestFit="1" customWidth="1"/>
    <col min="9" max="9" width="17" style="176" customWidth="1"/>
    <col min="10" max="10" width="29.85546875" style="176" customWidth="1"/>
    <col min="11" max="11" width="22" style="176" bestFit="1" customWidth="1"/>
    <col min="12" max="12" width="22" style="176" customWidth="1"/>
    <col min="13" max="13" width="19.85546875" bestFit="1" customWidth="1"/>
    <col min="14" max="14" width="18" style="176" bestFit="1" customWidth="1"/>
    <col min="15" max="15" width="18.5703125" style="176" customWidth="1"/>
    <col min="16" max="16" width="19.7109375" style="176" customWidth="1"/>
    <col min="17" max="17" width="21.7109375" style="176" customWidth="1"/>
    <col min="18" max="18" width="19.42578125" style="176" customWidth="1"/>
    <col min="19" max="19" width="19.85546875" style="176" customWidth="1"/>
    <col min="20" max="20" width="18.85546875" style="176" customWidth="1"/>
    <col min="21" max="21" width="22.42578125" style="176" bestFit="1" customWidth="1"/>
    <col min="22" max="22" width="20.85546875" style="176" bestFit="1" customWidth="1"/>
    <col min="23" max="23" width="16.42578125" style="176" customWidth="1"/>
    <col min="24" max="24" width="15.5703125" style="176" customWidth="1"/>
    <col min="25" max="25" width="19.85546875" style="176" customWidth="1"/>
    <col min="26" max="26" width="32.85546875" style="176" bestFit="1" customWidth="1"/>
    <col min="27" max="27" width="23.5703125" style="176" customWidth="1"/>
    <col min="28" max="28" width="26.85546875" bestFit="1" customWidth="1"/>
    <col min="29" max="29" width="24.140625" style="176" customWidth="1"/>
    <col min="30" max="30" width="22.42578125" style="176" customWidth="1"/>
    <col min="31" max="31" width="18.85546875" style="176" customWidth="1"/>
    <col min="32" max="32" width="32.85546875" style="176" customWidth="1"/>
    <col min="33" max="33" width="19.140625" style="176" customWidth="1"/>
    <col min="34" max="34" width="29.85546875" style="176" bestFit="1" customWidth="1"/>
    <col min="35" max="35" width="19" style="176" customWidth="1"/>
    <col min="36" max="36" width="21.7109375" style="176" customWidth="1"/>
    <col min="37" max="37" width="23.42578125" style="176" customWidth="1"/>
    <col min="38" max="41" width="25.140625" style="176" customWidth="1"/>
    <col min="42" max="42" width="33.7109375" style="176" bestFit="1" customWidth="1"/>
    <col min="43" max="43" width="27.28515625" style="176" customWidth="1"/>
    <col min="44" max="44" width="19.28515625" style="176" customWidth="1"/>
    <col min="45" max="45" width="22" style="176" customWidth="1"/>
    <col min="46" max="46" width="19.28515625" style="176" customWidth="1"/>
    <col min="47" max="47" width="13.85546875" style="176" customWidth="1"/>
    <col min="48" max="48" width="17.140625" style="176" customWidth="1"/>
    <col min="49" max="49" width="17.42578125" style="176" bestFit="1" customWidth="1"/>
    <col min="50" max="50" width="13.7109375" style="176" customWidth="1"/>
    <col min="51" max="51" width="22.5703125" style="176" customWidth="1"/>
    <col min="52" max="52" width="15.85546875" style="176" customWidth="1"/>
    <col min="53" max="53" width="21.5703125" style="176" customWidth="1"/>
    <col min="54" max="54" width="15.85546875" style="176" customWidth="1"/>
    <col min="55" max="55" width="23.85546875" style="176" bestFit="1" customWidth="1"/>
    <col min="56" max="56" width="29.42578125" style="176" bestFit="1" customWidth="1"/>
    <col min="57" max="57" width="21.42578125" style="176" customWidth="1"/>
    <col min="58" max="58" width="24.42578125" style="176" bestFit="1" customWidth="1"/>
    <col min="59" max="59" width="31.140625" style="176" bestFit="1" customWidth="1"/>
    <col min="60" max="60" width="31.140625" style="176" customWidth="1"/>
    <col min="61" max="61" width="18.85546875" bestFit="1" customWidth="1"/>
    <col min="62" max="62" width="28.140625" style="176" bestFit="1" customWidth="1"/>
    <col min="63" max="63" width="23.85546875" style="176" bestFit="1" customWidth="1"/>
    <col min="64" max="64" width="29.85546875" style="176" customWidth="1"/>
    <col min="65" max="65" width="22.140625" style="176" customWidth="1"/>
    <col min="66" max="66" width="29.28515625" style="176" customWidth="1"/>
    <col min="67" max="67" width="28.85546875" style="176" bestFit="1" customWidth="1"/>
    <col min="68" max="68" width="27.85546875" style="176" bestFit="1" customWidth="1"/>
    <col min="69" max="76" width="27.85546875" style="176" customWidth="1"/>
    <col min="77" max="77" width="23.42578125" style="176" customWidth="1"/>
    <col min="78" max="80" width="30.140625" style="176" customWidth="1"/>
    <col min="81" max="81" width="17.5703125" bestFit="1" customWidth="1"/>
    <col min="82" max="82" width="22.42578125" style="176" customWidth="1"/>
    <col min="83" max="84" width="16.5703125" bestFit="1" customWidth="1"/>
    <col min="85" max="87" width="24.85546875" style="176" customWidth="1"/>
    <col min="88" max="88" width="23.7109375" style="176" bestFit="1" customWidth="1"/>
    <col min="89" max="89" width="24.7109375" style="176" bestFit="1" customWidth="1"/>
    <col min="90" max="90" width="17.7109375" style="176" bestFit="1" customWidth="1"/>
    <col min="91" max="92" width="23.140625" style="176" customWidth="1"/>
    <col min="93" max="93" width="35.85546875" style="176" customWidth="1"/>
    <col min="94" max="94" width="22.140625" style="176" customWidth="1"/>
    <col min="95" max="95" width="22.28515625" style="176" customWidth="1"/>
    <col min="96" max="96" width="23.42578125" customWidth="1"/>
    <col min="97" max="97" width="20.7109375" customWidth="1"/>
    <col min="98" max="98" width="22" bestFit="1" customWidth="1"/>
    <col min="99" max="99" width="27" style="176" customWidth="1"/>
    <col min="100" max="100" width="22.140625" customWidth="1"/>
    <col min="101" max="101" width="23.28515625" style="176" customWidth="1"/>
    <col min="102" max="102" width="19.28515625" style="176" bestFit="1" customWidth="1"/>
    <col min="103" max="103" width="29.85546875" style="176" customWidth="1"/>
    <col min="104" max="104" width="24.42578125" customWidth="1"/>
    <col min="105" max="105" width="29.42578125" style="176" bestFit="1" customWidth="1"/>
    <col min="106" max="106" width="22.85546875" style="176" customWidth="1"/>
    <col min="107" max="107" width="27.28515625" style="176" bestFit="1" customWidth="1"/>
    <col min="108" max="108" width="27.28515625" style="176" customWidth="1"/>
    <col min="109" max="109" width="19.28515625" style="176" bestFit="1" customWidth="1"/>
    <col min="110" max="110" width="22" bestFit="1" customWidth="1"/>
    <col min="111" max="111" width="19.140625" customWidth="1"/>
    <col min="112" max="112" width="21.140625" customWidth="1"/>
    <col min="113" max="113" width="25.85546875" customWidth="1"/>
    <col min="114" max="114" width="18.42578125" customWidth="1"/>
    <col min="115" max="115" width="24" bestFit="1" customWidth="1"/>
    <col min="116" max="116" width="20.5703125" style="176" bestFit="1" customWidth="1"/>
    <col min="117" max="117" width="20.7109375" bestFit="1" customWidth="1"/>
    <col min="118" max="118" width="19.5703125" style="176" bestFit="1" customWidth="1"/>
    <col min="119" max="119" width="19.5703125" style="176" customWidth="1"/>
    <col min="120" max="120" width="20.140625" bestFit="1" customWidth="1"/>
    <col min="121" max="121" width="20.140625" customWidth="1"/>
    <col min="122" max="122" width="19.140625" bestFit="1" customWidth="1"/>
    <col min="123" max="123" width="19.140625" customWidth="1"/>
    <col min="124" max="124" width="22.85546875" customWidth="1"/>
    <col min="125" max="126" width="22.28515625" customWidth="1"/>
    <col min="127" max="127" width="20.85546875" style="176" bestFit="1" customWidth="1"/>
    <col min="128" max="128" width="20.85546875" style="176" customWidth="1"/>
    <col min="129" max="129" width="21.7109375" customWidth="1"/>
    <col min="130" max="130" width="20.42578125" bestFit="1" customWidth="1"/>
    <col min="131" max="131" width="21" customWidth="1"/>
    <col min="132" max="132" width="18.42578125" style="176" bestFit="1" customWidth="1"/>
    <col min="133" max="133" width="17.7109375" style="176" bestFit="1" customWidth="1"/>
    <col min="134" max="134" width="16.7109375" customWidth="1"/>
    <col min="135" max="135" width="31" customWidth="1"/>
    <col min="136" max="136" width="34.42578125" customWidth="1"/>
    <col min="137" max="137" width="16.7109375" customWidth="1"/>
    <col min="138" max="151" width="19.5703125" customWidth="1"/>
    <col min="152" max="152" width="24.85546875" bestFit="1" customWidth="1"/>
    <col min="153" max="153" width="23.42578125" style="176" customWidth="1"/>
    <col min="154" max="154" width="19.42578125" bestFit="1" customWidth="1"/>
    <col min="155" max="155" width="20.28515625" style="176" bestFit="1" customWidth="1"/>
    <col min="156" max="156" width="16.28515625" bestFit="1" customWidth="1"/>
    <col min="157" max="157" width="23.140625" customWidth="1"/>
    <col min="158" max="158" width="23.42578125" style="176" bestFit="1" customWidth="1"/>
    <col min="159" max="160" width="23.42578125" style="176" customWidth="1"/>
    <col min="161" max="161" width="23.140625" style="176" customWidth="1"/>
    <col min="162" max="162" width="24" style="176" customWidth="1"/>
    <col min="163" max="163" width="22" customWidth="1"/>
    <col min="164" max="164" width="26.85546875" bestFit="1" customWidth="1"/>
    <col min="165" max="165" width="25.140625" style="176" bestFit="1" customWidth="1"/>
    <col min="166" max="166" width="19.5703125" bestFit="1" customWidth="1"/>
    <col min="167" max="168" width="19.5703125" customWidth="1"/>
    <col min="169" max="175" width="21.42578125" customWidth="1"/>
    <col min="176" max="176" width="17" bestFit="1" customWidth="1"/>
    <col min="177" max="177" width="23.5703125" bestFit="1" customWidth="1"/>
    <col min="178" max="178" width="17.5703125" bestFit="1" customWidth="1"/>
    <col min="179" max="179" width="23.5703125" bestFit="1" customWidth="1"/>
    <col min="180" max="180" width="24" bestFit="1" customWidth="1"/>
    <col min="181" max="181" width="23.5703125" customWidth="1"/>
    <col min="182" max="182" width="26.7109375" style="176" bestFit="1" customWidth="1"/>
    <col min="183" max="183" width="28.5703125" customWidth="1"/>
    <col min="188" max="188" width="17.42578125" style="176" bestFit="1" customWidth="1"/>
    <col min="189" max="189" width="19.28515625" customWidth="1"/>
    <col min="190" max="190" width="24.42578125" style="176" bestFit="1" customWidth="1"/>
    <col min="191" max="191" width="24.28515625" bestFit="1" customWidth="1"/>
    <col min="192" max="192" width="17.42578125" style="176" bestFit="1" customWidth="1"/>
    <col min="196" max="196" width="19.140625" bestFit="1" customWidth="1"/>
    <col min="197" max="197" width="31.5703125" bestFit="1" customWidth="1"/>
    <col min="199" max="199" width="23.5703125" bestFit="1" customWidth="1"/>
    <col min="200" max="200" width="22.140625" style="176" bestFit="1" customWidth="1"/>
    <col min="201" max="201" width="25.42578125" style="176" bestFit="1" customWidth="1"/>
    <col min="202" max="202" width="33.28515625" style="176" bestFit="1" customWidth="1"/>
    <col min="203" max="203" width="12.85546875" style="176" bestFit="1" customWidth="1"/>
    <col min="204" max="204" width="17.140625" style="176" bestFit="1" customWidth="1"/>
    <col min="207" max="207" width="17.7109375" style="176" bestFit="1" customWidth="1"/>
    <col min="208" max="208" width="23.7109375" style="176" bestFit="1" customWidth="1"/>
    <col min="209" max="209" width="24.7109375" style="176" bestFit="1" customWidth="1"/>
    <col min="210" max="210" width="26.5703125" style="176" bestFit="1" customWidth="1"/>
    <col min="211" max="211" width="14.85546875" customWidth="1"/>
    <col min="212" max="212" width="22.42578125" style="176" bestFit="1" customWidth="1"/>
    <col min="213" max="213" width="16.7109375" style="176" bestFit="1" customWidth="1"/>
    <col min="214" max="214" width="19.5703125" style="176" bestFit="1" customWidth="1"/>
    <col min="215" max="215" width="17.42578125" style="176" bestFit="1" customWidth="1"/>
    <col min="216" max="216" width="17.7109375" style="176" bestFit="1" customWidth="1"/>
    <col min="217" max="217" width="26.5703125" style="176" bestFit="1" customWidth="1"/>
    <col min="218" max="218" width="23.7109375" style="176" bestFit="1" customWidth="1"/>
    <col min="219" max="219" width="27.85546875" style="176" bestFit="1" customWidth="1"/>
    <col min="220" max="220" width="26.5703125" style="176" bestFit="1" customWidth="1"/>
    <col min="221" max="221" width="21.28515625" style="176" bestFit="1" customWidth="1"/>
    <col min="222" max="222" width="19.7109375" style="176" bestFit="1" customWidth="1"/>
    <col min="223" max="223" width="21.28515625" style="176" bestFit="1" customWidth="1"/>
    <col min="224" max="224" width="17.42578125" style="176" bestFit="1" customWidth="1"/>
    <col min="225" max="225" width="17.7109375" style="176" bestFit="1" customWidth="1"/>
    <col min="226" max="226" width="20.85546875" style="176" bestFit="1" customWidth="1"/>
    <col min="227" max="227" width="20.5703125" style="176" bestFit="1" customWidth="1"/>
    <col min="228" max="228" width="17.42578125" style="176" bestFit="1" customWidth="1"/>
    <col min="229" max="229" width="17.7109375" style="176" bestFit="1" customWidth="1"/>
    <col min="230" max="230" width="17.42578125" style="176" bestFit="1" customWidth="1"/>
    <col min="231" max="231" width="17.7109375" style="176" bestFit="1" customWidth="1"/>
    <col min="232" max="232" width="19.28515625" style="176" bestFit="1" customWidth="1"/>
    <col min="233" max="235" width="17.7109375" style="176" bestFit="1" customWidth="1"/>
    <col min="236" max="236" width="17.42578125" style="176" bestFit="1" customWidth="1"/>
    <col min="237" max="237" width="34.85546875" style="176" bestFit="1" customWidth="1"/>
    <col min="238" max="238" width="25.7109375" style="176" bestFit="1" customWidth="1"/>
    <col min="239" max="239" width="24.7109375" style="176" bestFit="1" customWidth="1"/>
    <col min="240" max="240" width="27" style="176" bestFit="1" customWidth="1"/>
    <col min="241" max="241" width="23.28515625" style="176" bestFit="1" customWidth="1"/>
    <col min="242" max="243" width="32.28515625" style="176" bestFit="1" customWidth="1"/>
    <col min="244" max="244" width="23.5703125" style="176" bestFit="1" customWidth="1"/>
    <col min="245" max="245" width="24.28515625" style="176" bestFit="1" customWidth="1"/>
    <col min="246" max="247" width="25.5703125" style="176" bestFit="1" customWidth="1"/>
    <col min="248" max="248" width="23.7109375" style="176" bestFit="1" customWidth="1"/>
    <col min="249" max="249" width="18.28515625" style="176" bestFit="1" customWidth="1"/>
    <col min="250" max="250" width="31" style="176" bestFit="1" customWidth="1"/>
    <col min="251" max="251" width="21.42578125" style="176" bestFit="1" customWidth="1"/>
    <col min="252" max="252" width="23.28515625" style="176" bestFit="1" customWidth="1"/>
    <col min="253" max="253" width="24.28515625" style="176" bestFit="1" customWidth="1"/>
    <col min="254" max="254" width="29.42578125" style="176" bestFit="1" customWidth="1"/>
    <col min="255" max="255" width="31" style="176" bestFit="1" customWidth="1"/>
    <col min="256" max="256" width="24.5703125" style="176" bestFit="1" customWidth="1"/>
    <col min="257" max="257" width="26.42578125" style="176" bestFit="1" customWidth="1"/>
    <col min="258" max="258" width="28" style="176" bestFit="1" customWidth="1"/>
    <col min="259" max="259" width="25.28515625" style="176" bestFit="1" customWidth="1"/>
    <col min="260" max="260" width="21.42578125" style="176" bestFit="1" customWidth="1"/>
    <col min="261" max="261" width="26.85546875" style="176" bestFit="1" customWidth="1"/>
    <col min="262" max="262" width="16.28515625" style="176" customWidth="1"/>
    <col min="263" max="263" width="20.42578125" style="176" bestFit="1" customWidth="1"/>
    <col min="264" max="264" width="14.140625" style="176" bestFit="1" customWidth="1"/>
    <col min="265" max="265" width="22.28515625" style="176" bestFit="1" customWidth="1"/>
    <col min="266" max="266" width="22.42578125" style="176" bestFit="1" customWidth="1"/>
    <col min="267" max="267" width="23.5703125" style="176" bestFit="1" customWidth="1"/>
    <col min="268" max="268" width="25.28515625" style="176" bestFit="1" customWidth="1"/>
    <col min="269" max="269" width="24" style="176" bestFit="1" customWidth="1"/>
    <col min="270" max="270" width="25.140625" style="176" bestFit="1" customWidth="1"/>
    <col min="271" max="271" width="36" style="176" bestFit="1" customWidth="1"/>
    <col min="272" max="272" width="35.42578125" style="176" bestFit="1" customWidth="1"/>
    <col min="273" max="273" width="38.85546875" style="176" bestFit="1" customWidth="1"/>
    <col min="274" max="274" width="26.5703125" style="176" bestFit="1" customWidth="1"/>
    <col min="275" max="275" width="31.28515625" style="176" bestFit="1" customWidth="1"/>
    <col min="276" max="276" width="42.28515625" style="176" bestFit="1" customWidth="1"/>
    <col min="277" max="277" width="39.42578125" style="176" bestFit="1" customWidth="1"/>
    <col min="278" max="278" width="40.42578125" style="176" bestFit="1" customWidth="1"/>
    <col min="279" max="279" width="38.5703125" style="176" bestFit="1" customWidth="1"/>
    <col min="280" max="280" width="9.140625" style="176"/>
    <col min="281" max="281" width="27.7109375" style="176" bestFit="1" customWidth="1"/>
    <col min="282" max="282" width="28.7109375" style="176" bestFit="1" customWidth="1"/>
    <col min="283" max="283" width="24.28515625" style="176" bestFit="1" customWidth="1"/>
    <col min="284" max="284" width="21.42578125" style="176" bestFit="1" customWidth="1"/>
    <col min="285" max="285" width="24.5703125" style="176" bestFit="1" customWidth="1"/>
    <col min="286" max="286" width="40.7109375" style="176" bestFit="1" customWidth="1"/>
    <col min="287" max="287" width="41" style="176" bestFit="1" customWidth="1"/>
    <col min="288" max="288" width="42.140625" style="176" bestFit="1" customWidth="1"/>
    <col min="289" max="289" width="37.140625" style="176" bestFit="1" customWidth="1"/>
    <col min="290" max="290" width="28.7109375" style="176" bestFit="1" customWidth="1"/>
    <col min="291" max="291" width="18.28515625" style="176" bestFit="1" customWidth="1"/>
    <col min="292" max="292" width="21" style="176" bestFit="1" customWidth="1"/>
    <col min="293" max="293" width="20.42578125" style="176" bestFit="1" customWidth="1"/>
    <col min="294" max="294" width="14.42578125" style="176" bestFit="1" customWidth="1"/>
    <col min="295" max="295" width="15.140625" style="176" bestFit="1" customWidth="1"/>
    <col min="296" max="296" width="16.42578125" style="176" bestFit="1" customWidth="1"/>
    <col min="297" max="297" width="20.42578125" style="176" bestFit="1" customWidth="1"/>
    <col min="298" max="298" width="26" style="176" bestFit="1" customWidth="1"/>
    <col min="299" max="299" width="22.28515625" style="176" bestFit="1" customWidth="1"/>
    <col min="300" max="301" width="14.140625" style="176" bestFit="1" customWidth="1"/>
    <col min="302" max="302" width="19" style="176" bestFit="1" customWidth="1"/>
    <col min="303" max="303" width="12.42578125" style="176" customWidth="1"/>
    <col min="304" max="304" width="19.42578125" style="176" bestFit="1" customWidth="1"/>
    <col min="305" max="306" width="30.7109375" style="176" bestFit="1" customWidth="1"/>
    <col min="307" max="308" width="16.5703125" style="176" bestFit="1" customWidth="1"/>
    <col min="309" max="309" width="17.42578125" style="176" customWidth="1"/>
    <col min="310" max="310" width="19.5703125" style="176" bestFit="1" customWidth="1"/>
    <col min="311" max="311" width="38.42578125" style="176" bestFit="1" customWidth="1"/>
    <col min="312" max="312" width="20.140625" style="176" bestFit="1" customWidth="1"/>
    <col min="313" max="313" width="9.140625" style="176"/>
    <col min="314" max="314" width="15.7109375" style="176" bestFit="1" customWidth="1"/>
    <col min="315" max="315" width="9.140625" style="176"/>
    <col min="316" max="325" width="9.28515625" style="176" bestFit="1" customWidth="1"/>
    <col min="326" max="326" width="9.140625" style="176"/>
    <col min="327" max="329" width="9.28515625" style="176" bestFit="1" customWidth="1"/>
    <col min="330" max="331" width="9.140625" style="176"/>
    <col min="332" max="334" width="9.28515625" style="176" bestFit="1" customWidth="1"/>
    <col min="335" max="16384" width="9.140625" style="176"/>
  </cols>
  <sheetData>
    <row r="1" spans="1:211" ht="70.5" customHeight="1">
      <c r="B1" s="176"/>
      <c r="G1" s="852"/>
      <c r="H1" s="850" t="s">
        <v>2399</v>
      </c>
      <c r="I1" s="850"/>
      <c r="J1" s="850"/>
      <c r="K1" s="850"/>
      <c r="L1" s="850"/>
      <c r="M1" s="850"/>
      <c r="N1" s="850"/>
      <c r="O1" s="850"/>
      <c r="P1" s="850"/>
      <c r="Q1" s="850"/>
      <c r="R1" s="850"/>
      <c r="S1" s="850"/>
      <c r="T1" s="850"/>
      <c r="U1" s="850"/>
      <c r="V1" s="850"/>
      <c r="W1" s="850"/>
      <c r="X1" s="850"/>
      <c r="Y1" s="841"/>
      <c r="Z1" s="2578" t="s">
        <v>27</v>
      </c>
      <c r="AA1" s="2579"/>
      <c r="AB1" s="2580"/>
      <c r="AC1" s="838"/>
      <c r="AD1" s="837" t="s">
        <v>1765</v>
      </c>
      <c r="AE1" s="833"/>
      <c r="AF1" s="833"/>
      <c r="AG1" s="833"/>
      <c r="AH1" s="833"/>
      <c r="AI1" s="833"/>
      <c r="AJ1" s="833"/>
      <c r="AK1" s="833"/>
      <c r="AL1" s="833"/>
      <c r="AM1" s="833"/>
      <c r="AN1" s="833"/>
      <c r="AO1" s="833"/>
      <c r="AP1" s="833"/>
      <c r="AQ1" s="833"/>
      <c r="AR1" s="833"/>
      <c r="AS1" s="833"/>
      <c r="AT1" s="833"/>
      <c r="AU1" s="833"/>
      <c r="AV1" s="833"/>
      <c r="AW1" s="833"/>
      <c r="AX1" s="833"/>
      <c r="AY1" s="833"/>
      <c r="AZ1" s="833"/>
      <c r="BA1" s="833"/>
      <c r="BB1" s="833"/>
      <c r="BC1" s="833"/>
      <c r="BD1" s="833"/>
      <c r="BE1" s="833"/>
      <c r="BF1" s="833"/>
      <c r="BG1" s="833"/>
      <c r="BH1" s="833"/>
      <c r="BI1" s="833"/>
      <c r="BJ1" s="833"/>
      <c r="BK1" s="833"/>
      <c r="BL1" s="833"/>
      <c r="BM1" s="833"/>
      <c r="BN1" s="833"/>
      <c r="BO1" s="833"/>
      <c r="BP1" s="833"/>
      <c r="BQ1" s="833"/>
      <c r="BR1" s="833"/>
      <c r="BS1" s="833"/>
      <c r="BT1" s="833"/>
      <c r="BU1" s="833"/>
      <c r="BV1" s="833"/>
      <c r="BW1" s="833"/>
      <c r="BX1" s="833"/>
      <c r="BY1" s="833"/>
      <c r="BZ1" s="833"/>
      <c r="CA1" s="833"/>
      <c r="CB1" s="833"/>
      <c r="CC1" s="833"/>
      <c r="CD1" s="833"/>
      <c r="CE1" s="833"/>
      <c r="CF1" s="844"/>
      <c r="CG1" s="831"/>
      <c r="CH1" s="831"/>
      <c r="CI1" s="831" t="s">
        <v>2237</v>
      </c>
      <c r="CJ1" s="831"/>
      <c r="CK1" s="831"/>
      <c r="CL1" s="831"/>
      <c r="CM1" s="831"/>
      <c r="CN1" s="831"/>
      <c r="CO1" s="831"/>
      <c r="CP1" s="831"/>
      <c r="CQ1" s="831"/>
      <c r="CR1" s="831"/>
      <c r="CS1" s="831"/>
      <c r="CT1" s="831"/>
      <c r="CU1" s="831"/>
      <c r="CV1" s="845"/>
      <c r="CW1" s="845"/>
      <c r="CX1" s="841"/>
      <c r="CY1" s="846" t="s">
        <v>2246</v>
      </c>
      <c r="CZ1" s="836"/>
      <c r="DA1" s="836"/>
      <c r="DB1" s="836"/>
      <c r="DC1" s="836"/>
      <c r="DD1" s="836"/>
      <c r="DE1" s="836"/>
      <c r="DF1" s="836"/>
      <c r="DG1" s="836"/>
      <c r="DH1" s="836"/>
      <c r="DI1" s="836"/>
      <c r="DJ1" s="836"/>
      <c r="DK1" s="836"/>
      <c r="DL1" s="836"/>
      <c r="DM1" s="836"/>
      <c r="DN1" s="836"/>
      <c r="DO1" s="836"/>
      <c r="DP1" s="836"/>
      <c r="DQ1" s="836"/>
      <c r="DR1" s="836"/>
      <c r="DS1" s="836"/>
      <c r="DT1" s="836"/>
      <c r="DU1" s="836"/>
      <c r="DV1" s="836"/>
      <c r="DW1" s="836"/>
      <c r="DX1" s="836"/>
      <c r="DY1" s="836"/>
      <c r="DZ1" s="836"/>
      <c r="EA1" s="836"/>
      <c r="EB1" s="836"/>
      <c r="EC1" s="836"/>
      <c r="ED1" s="836"/>
      <c r="EE1" s="836"/>
      <c r="EF1" s="836"/>
      <c r="EG1" s="836"/>
      <c r="EH1" s="836"/>
      <c r="EI1" s="836"/>
      <c r="EJ1" s="836"/>
      <c r="EK1" s="836"/>
      <c r="EL1" s="836"/>
      <c r="EM1" s="836"/>
      <c r="EN1" s="836"/>
      <c r="EO1" s="836"/>
      <c r="EP1" s="836"/>
      <c r="EQ1" s="836"/>
      <c r="ER1" s="836"/>
      <c r="ES1" s="836"/>
      <c r="ET1" s="836"/>
      <c r="EU1" s="836"/>
      <c r="EV1" s="836"/>
      <c r="EW1" s="848"/>
      <c r="EX1" s="849" t="s">
        <v>2255</v>
      </c>
      <c r="EY1" s="849"/>
      <c r="EZ1" s="849"/>
      <c r="FA1" s="849"/>
      <c r="FB1" s="849"/>
      <c r="FC1" s="849"/>
      <c r="FD1" s="849"/>
      <c r="FE1" s="849"/>
      <c r="FF1" s="849"/>
      <c r="FG1" s="849"/>
      <c r="FH1" s="849"/>
      <c r="FI1" s="849"/>
      <c r="FJ1" s="849"/>
      <c r="FK1" s="849"/>
      <c r="FL1" s="849"/>
      <c r="FM1" s="849"/>
      <c r="FN1" s="849"/>
      <c r="FO1" s="849"/>
      <c r="FP1" s="849"/>
      <c r="FQ1" s="849"/>
      <c r="FR1" s="849"/>
      <c r="FS1" s="849"/>
      <c r="FT1" s="176"/>
      <c r="FU1" s="176"/>
      <c r="FV1" s="176"/>
      <c r="FW1" s="176"/>
      <c r="FX1" s="176"/>
      <c r="FY1" s="176"/>
      <c r="GA1" s="176"/>
      <c r="GB1" s="176"/>
      <c r="GC1" s="176"/>
      <c r="GD1" s="176"/>
      <c r="GE1" s="176"/>
      <c r="GG1" s="176"/>
      <c r="GI1" s="176"/>
      <c r="GK1" s="176"/>
      <c r="GL1" s="176"/>
      <c r="GM1" s="176"/>
      <c r="GN1" s="176"/>
      <c r="GO1" s="176"/>
      <c r="GP1" s="176"/>
      <c r="GQ1" s="176"/>
      <c r="GW1" s="176"/>
      <c r="GX1" s="176"/>
      <c r="HC1" s="176"/>
    </row>
    <row r="2" spans="1:211" ht="28.5" customHeight="1">
      <c r="B2" s="176"/>
      <c r="G2" s="853"/>
      <c r="M2" s="176"/>
      <c r="Y2" s="842"/>
      <c r="Z2" s="2578"/>
      <c r="AA2" s="2579"/>
      <c r="AB2" s="2580"/>
      <c r="AC2" s="839"/>
      <c r="AD2" s="2577" t="s">
        <v>677</v>
      </c>
      <c r="AE2" s="2581"/>
      <c r="AF2" s="2581"/>
      <c r="AG2" s="2581"/>
      <c r="AH2" s="2581"/>
      <c r="AI2" s="2581"/>
      <c r="AJ2" s="2581"/>
      <c r="AK2" s="2581"/>
      <c r="AL2" s="830" t="s">
        <v>2228</v>
      </c>
      <c r="AM2" s="830" t="s">
        <v>69</v>
      </c>
      <c r="AN2" s="830"/>
      <c r="AO2" s="830"/>
      <c r="AP2" s="2581" t="s">
        <v>6</v>
      </c>
      <c r="AQ2" s="2581"/>
      <c r="AR2" s="2581"/>
      <c r="AS2" s="2581"/>
      <c r="AT2" s="2581"/>
      <c r="AU2" s="2581"/>
      <c r="AV2" s="2581"/>
      <c r="AW2" s="2581"/>
      <c r="AX2" s="2581"/>
      <c r="AY2" s="2575" t="s">
        <v>2220</v>
      </c>
      <c r="AZ2" s="2577"/>
      <c r="BA2" s="2575" t="s">
        <v>2574</v>
      </c>
      <c r="BB2" s="2576"/>
      <c r="BC2" s="2577"/>
      <c r="BD2" s="2581" t="s">
        <v>2213</v>
      </c>
      <c r="BE2" s="2581"/>
      <c r="BF2" s="2581"/>
      <c r="BG2" s="2581"/>
      <c r="BH2" s="994"/>
      <c r="BI2" s="2575" t="s">
        <v>2212</v>
      </c>
      <c r="BJ2" s="2576"/>
      <c r="BK2" s="2576"/>
      <c r="BL2" s="2577"/>
      <c r="BM2" s="2575" t="s">
        <v>2411</v>
      </c>
      <c r="BN2" s="2576"/>
      <c r="BO2" s="2576"/>
      <c r="BP2" s="2577"/>
      <c r="BQ2" s="2575" t="s">
        <v>2412</v>
      </c>
      <c r="BR2" s="2576"/>
      <c r="BS2" s="2576"/>
      <c r="BT2" s="2577"/>
      <c r="BU2" s="2575" t="s">
        <v>2417</v>
      </c>
      <c r="BV2" s="2576"/>
      <c r="BW2" s="2576"/>
      <c r="BX2" s="2577"/>
      <c r="BY2" s="2581" t="s">
        <v>2219</v>
      </c>
      <c r="BZ2" s="2581"/>
      <c r="CA2" s="2575" t="s">
        <v>2712</v>
      </c>
      <c r="CB2" s="2577"/>
      <c r="CC2" s="2575" t="s">
        <v>2221</v>
      </c>
      <c r="CD2" s="2576"/>
      <c r="CE2" s="2577"/>
      <c r="CF2" s="844"/>
      <c r="CR2" s="176"/>
      <c r="CS2" s="176"/>
      <c r="CT2" s="176"/>
      <c r="CV2" s="176"/>
      <c r="CX2" s="842"/>
      <c r="CZ2" s="176"/>
      <c r="DF2" s="176"/>
      <c r="DG2" s="176"/>
      <c r="DH2" s="176"/>
      <c r="DI2" s="176"/>
      <c r="DJ2" s="176"/>
      <c r="DK2" s="176"/>
      <c r="DM2" s="176"/>
      <c r="DP2" s="176"/>
      <c r="DQ2" s="176"/>
      <c r="DR2" s="176"/>
      <c r="DS2" s="176"/>
      <c r="DT2" s="176"/>
      <c r="DU2" s="176"/>
      <c r="DV2" s="176"/>
      <c r="DY2" s="176"/>
      <c r="DZ2" s="176"/>
      <c r="EA2" s="176"/>
      <c r="ED2" s="176"/>
      <c r="EE2" s="176"/>
      <c r="EF2" s="176"/>
      <c r="EG2" s="176"/>
      <c r="EH2" s="176"/>
      <c r="EI2" s="176"/>
      <c r="EJ2" s="176"/>
      <c r="EK2" s="176"/>
      <c r="EL2" s="176"/>
      <c r="EM2" s="176"/>
      <c r="EN2" s="176"/>
      <c r="EO2" s="176"/>
      <c r="EP2" s="176"/>
      <c r="EQ2" s="176"/>
      <c r="ER2" s="176"/>
      <c r="ES2" s="176"/>
      <c r="ET2" s="176"/>
      <c r="EU2" s="176"/>
      <c r="EV2" s="176"/>
      <c r="EW2" s="848"/>
      <c r="EX2" s="176"/>
      <c r="EZ2" s="176"/>
      <c r="FA2" s="176"/>
      <c r="FG2" s="176"/>
      <c r="FH2" s="176"/>
      <c r="FJ2" s="176"/>
      <c r="FK2" s="176"/>
      <c r="FL2" s="176"/>
      <c r="FM2" s="176"/>
      <c r="FN2" s="176"/>
      <c r="FO2" s="176"/>
      <c r="FP2" s="176"/>
      <c r="FQ2" s="176"/>
      <c r="FR2" s="176"/>
      <c r="FS2" s="176"/>
      <c r="FT2" s="176"/>
      <c r="FU2" s="176"/>
      <c r="FV2" s="176"/>
      <c r="FW2" s="176"/>
      <c r="FX2" s="176"/>
      <c r="FY2" s="176"/>
      <c r="GA2" s="176"/>
      <c r="GB2" s="176"/>
      <c r="GC2" s="176"/>
      <c r="GD2" s="176"/>
      <c r="GE2" s="176"/>
      <c r="GG2" s="176"/>
      <c r="GI2" s="176"/>
      <c r="GK2" s="176"/>
      <c r="GL2" s="176"/>
      <c r="GM2" s="176"/>
      <c r="GN2" s="176"/>
      <c r="GO2" s="176"/>
      <c r="GP2" s="176"/>
      <c r="GQ2" s="176"/>
      <c r="GW2" s="176"/>
      <c r="GX2" s="176"/>
      <c r="HC2" s="176"/>
    </row>
    <row r="3" spans="1:211" ht="28.5" customHeight="1">
      <c r="B3" s="176"/>
      <c r="G3" s="853"/>
      <c r="M3" s="176"/>
      <c r="Y3" s="842"/>
      <c r="AB3" s="176"/>
      <c r="AC3" s="839"/>
      <c r="BI3" s="176"/>
      <c r="CC3" s="176"/>
      <c r="CE3" s="176"/>
      <c r="CF3" s="844"/>
      <c r="CR3" s="176"/>
      <c r="CS3" s="176"/>
      <c r="CT3" s="176"/>
      <c r="CV3" s="176"/>
      <c r="CX3" s="842"/>
      <c r="CZ3" s="176"/>
      <c r="DF3" s="176"/>
      <c r="DG3" s="176"/>
      <c r="DH3" s="176"/>
      <c r="DI3" s="176"/>
      <c r="DJ3" s="176"/>
      <c r="DK3" s="176"/>
      <c r="DM3" s="176"/>
      <c r="DP3" s="176"/>
      <c r="DQ3" s="176"/>
      <c r="DR3" s="176"/>
      <c r="DS3" s="176"/>
      <c r="DT3" s="176"/>
      <c r="DU3" s="176"/>
      <c r="DV3" s="176"/>
      <c r="DY3" s="176"/>
      <c r="DZ3" s="176"/>
      <c r="EA3" s="176"/>
      <c r="ED3" s="176"/>
      <c r="EE3" s="176"/>
      <c r="EF3" s="176"/>
      <c r="EG3" s="176"/>
      <c r="EH3" s="176"/>
      <c r="EI3" s="176"/>
      <c r="EJ3" s="176"/>
      <c r="EK3" s="176"/>
      <c r="EL3" s="176"/>
      <c r="EM3" s="176"/>
      <c r="EN3" s="176"/>
      <c r="EO3" s="176"/>
      <c r="EP3" s="176"/>
      <c r="EQ3" s="176"/>
      <c r="ER3" s="176"/>
      <c r="ES3" s="176"/>
      <c r="ET3" s="176"/>
      <c r="EU3" s="176"/>
      <c r="EV3" s="176"/>
      <c r="EW3" s="848"/>
      <c r="EX3" s="176"/>
      <c r="EZ3" s="176"/>
      <c r="FA3" s="176"/>
      <c r="FG3" s="176"/>
      <c r="FH3" s="176"/>
      <c r="FJ3" s="176"/>
      <c r="FK3" s="176"/>
      <c r="FL3" s="176"/>
      <c r="FM3" s="176"/>
      <c r="FN3" s="176"/>
      <c r="FO3" s="176"/>
      <c r="FP3" s="176"/>
      <c r="FQ3" s="176"/>
      <c r="FR3" s="176"/>
      <c r="FS3" s="176"/>
      <c r="FT3" s="176"/>
      <c r="FU3" s="176"/>
      <c r="FV3" s="176"/>
      <c r="FW3" s="176"/>
      <c r="FX3" s="176"/>
      <c r="FY3" s="176"/>
      <c r="GA3" s="176"/>
      <c r="GB3" s="176"/>
      <c r="GC3" s="176"/>
      <c r="GD3" s="176"/>
      <c r="GE3" s="176"/>
      <c r="GG3" s="176"/>
      <c r="GI3" s="176"/>
      <c r="GK3" s="176"/>
      <c r="GL3" s="176"/>
      <c r="GM3" s="176"/>
      <c r="GN3" s="176"/>
      <c r="GO3" s="176"/>
      <c r="GP3" s="176"/>
      <c r="GQ3" s="176"/>
      <c r="GW3" s="176"/>
      <c r="GX3" s="176"/>
      <c r="HC3" s="176"/>
    </row>
    <row r="4" spans="1:211" ht="17.25" thickBot="1">
      <c r="B4" s="176"/>
      <c r="G4" s="854"/>
      <c r="K4" s="887" t="s">
        <v>2474</v>
      </c>
      <c r="M4" s="176"/>
      <c r="Y4" s="843"/>
      <c r="AB4" s="176"/>
      <c r="AC4" s="840"/>
      <c r="BI4" s="176"/>
      <c r="CC4" s="176"/>
      <c r="CE4" s="176"/>
      <c r="CF4" s="844"/>
      <c r="CR4" s="176"/>
      <c r="CS4" s="176"/>
      <c r="CT4" s="176"/>
      <c r="CV4" s="176"/>
      <c r="CX4" s="842"/>
      <c r="CZ4" s="176"/>
      <c r="DF4" s="176"/>
      <c r="DG4" s="176"/>
      <c r="DH4" s="176"/>
      <c r="DI4" s="176"/>
      <c r="DJ4" s="176"/>
      <c r="DK4" s="176"/>
      <c r="DM4" s="176"/>
      <c r="DP4" s="176"/>
      <c r="DQ4" s="176"/>
      <c r="DR4" s="176"/>
      <c r="DS4" s="176"/>
      <c r="DT4" s="176"/>
      <c r="DU4" s="176"/>
      <c r="DV4" s="176"/>
      <c r="DY4" s="176"/>
      <c r="DZ4" s="176"/>
      <c r="EA4" s="176"/>
      <c r="ED4" s="176"/>
      <c r="EE4" s="176"/>
      <c r="EF4" s="176"/>
      <c r="EG4" s="176"/>
      <c r="EH4" s="176"/>
      <c r="EI4" s="176"/>
      <c r="EJ4" s="176"/>
      <c r="EK4" s="176"/>
      <c r="EL4" s="176"/>
      <c r="EM4" s="176"/>
      <c r="EN4" s="176"/>
      <c r="EO4" s="176"/>
      <c r="EP4" s="176"/>
      <c r="EQ4" s="176"/>
      <c r="ER4" s="176"/>
      <c r="ES4" s="176"/>
      <c r="ET4" s="176"/>
      <c r="EU4" s="176"/>
      <c r="EV4" s="176"/>
      <c r="EW4" s="848"/>
      <c r="EX4" s="176"/>
      <c r="EZ4" s="176"/>
      <c r="FA4" s="176"/>
      <c r="FG4" s="176"/>
      <c r="FH4" s="176"/>
      <c r="FJ4" s="176"/>
      <c r="FK4" s="176"/>
      <c r="FL4" s="176"/>
      <c r="FM4" s="176"/>
      <c r="FN4" s="176"/>
      <c r="FO4" s="176"/>
      <c r="FP4" s="176"/>
      <c r="FQ4" s="176"/>
      <c r="FR4" s="176"/>
      <c r="FS4" s="176"/>
      <c r="FT4" s="176"/>
      <c r="FU4" s="176"/>
      <c r="FV4" s="176"/>
      <c r="FW4" s="176"/>
      <c r="FX4" s="176"/>
      <c r="FY4" s="176"/>
      <c r="GA4" s="176"/>
      <c r="GB4" s="176"/>
      <c r="GC4" s="176"/>
      <c r="GD4" s="176"/>
      <c r="GE4" s="176"/>
      <c r="GG4" s="176"/>
      <c r="GI4" s="176"/>
      <c r="GK4" s="176"/>
      <c r="GL4" s="176"/>
      <c r="GM4" s="176"/>
      <c r="GN4" s="176"/>
      <c r="GO4" s="176"/>
      <c r="GP4" s="176"/>
      <c r="GQ4" s="176"/>
      <c r="GW4" s="176"/>
      <c r="GX4" s="176"/>
      <c r="HC4" s="176"/>
    </row>
    <row r="5" spans="1:211">
      <c r="A5" s="863" t="s">
        <v>2391</v>
      </c>
      <c r="B5" s="863" t="s">
        <v>2392</v>
      </c>
      <c r="C5" s="863" t="s">
        <v>2393</v>
      </c>
      <c r="D5" s="863" t="s">
        <v>2394</v>
      </c>
      <c r="E5" s="863" t="s">
        <v>2395</v>
      </c>
      <c r="F5" s="863" t="s">
        <v>2396</v>
      </c>
      <c r="G5" s="864" t="s">
        <v>2179</v>
      </c>
      <c r="H5" s="864" t="s">
        <v>2374</v>
      </c>
      <c r="I5" s="864" t="s">
        <v>2375</v>
      </c>
      <c r="J5" s="864" t="s">
        <v>2376</v>
      </c>
      <c r="K5" s="864" t="s">
        <v>2377</v>
      </c>
      <c r="L5" s="864" t="s">
        <v>2378</v>
      </c>
      <c r="M5" s="864" t="s">
        <v>2379</v>
      </c>
      <c r="N5" s="864" t="s">
        <v>2380</v>
      </c>
      <c r="O5" s="864" t="s">
        <v>2381</v>
      </c>
      <c r="P5" s="864" t="s">
        <v>2382</v>
      </c>
      <c r="Q5" s="864" t="s">
        <v>2383</v>
      </c>
      <c r="R5" s="864" t="s">
        <v>2384</v>
      </c>
      <c r="S5" s="864" t="s">
        <v>2385</v>
      </c>
      <c r="T5" s="864" t="s">
        <v>2386</v>
      </c>
      <c r="U5" s="864" t="s">
        <v>2387</v>
      </c>
      <c r="V5" s="864" t="s">
        <v>2388</v>
      </c>
      <c r="W5" s="864" t="s">
        <v>2389</v>
      </c>
      <c r="X5" s="864" t="s">
        <v>2390</v>
      </c>
      <c r="Y5" s="865" t="s">
        <v>2247</v>
      </c>
      <c r="Z5" s="865" t="s">
        <v>2308</v>
      </c>
      <c r="AA5" s="865" t="s">
        <v>2309</v>
      </c>
      <c r="AB5" s="865" t="s">
        <v>2310</v>
      </c>
      <c r="AC5" s="866" t="s">
        <v>2186</v>
      </c>
      <c r="AD5" s="866" t="s">
        <v>2311</v>
      </c>
      <c r="AE5" s="866" t="s">
        <v>2312</v>
      </c>
      <c r="AF5" s="866" t="s">
        <v>2313</v>
      </c>
      <c r="AG5" s="866" t="s">
        <v>2314</v>
      </c>
      <c r="AH5" s="866" t="s">
        <v>2315</v>
      </c>
      <c r="AI5" s="866" t="s">
        <v>2316</v>
      </c>
      <c r="AJ5" s="866" t="s">
        <v>2317</v>
      </c>
      <c r="AK5" s="866" t="s">
        <v>2318</v>
      </c>
      <c r="AL5" s="866" t="s">
        <v>2319</v>
      </c>
      <c r="AM5" s="866" t="s">
        <v>2320</v>
      </c>
      <c r="AN5" s="866" t="s">
        <v>2705</v>
      </c>
      <c r="AO5" s="866" t="s">
        <v>2706</v>
      </c>
      <c r="AP5" s="866" t="s">
        <v>2321</v>
      </c>
      <c r="AQ5" s="866" t="s">
        <v>2322</v>
      </c>
      <c r="AR5" s="866" t="s">
        <v>2323</v>
      </c>
      <c r="AS5" s="866" t="s">
        <v>2324</v>
      </c>
      <c r="AT5" s="866" t="s">
        <v>2325</v>
      </c>
      <c r="AU5" s="866" t="s">
        <v>2326</v>
      </c>
      <c r="AV5" s="866" t="s">
        <v>2327</v>
      </c>
      <c r="AW5" s="866" t="s">
        <v>2328</v>
      </c>
      <c r="AX5" s="866" t="s">
        <v>2329</v>
      </c>
      <c r="AY5" s="866" t="s">
        <v>2330</v>
      </c>
      <c r="AZ5" s="866" t="s">
        <v>2331</v>
      </c>
      <c r="BA5" s="866" t="s">
        <v>2332</v>
      </c>
      <c r="BB5" s="866" t="s">
        <v>2333</v>
      </c>
      <c r="BC5" s="866" t="s">
        <v>2334</v>
      </c>
      <c r="BD5" s="866" t="s">
        <v>2335</v>
      </c>
      <c r="BE5" s="866" t="s">
        <v>2336</v>
      </c>
      <c r="BF5" s="866" t="s">
        <v>2337</v>
      </c>
      <c r="BG5" s="866" t="s">
        <v>2338</v>
      </c>
      <c r="BH5" s="866" t="s">
        <v>2339</v>
      </c>
      <c r="BI5" s="866" t="s">
        <v>2340</v>
      </c>
      <c r="BJ5" s="866" t="s">
        <v>2341</v>
      </c>
      <c r="BK5" s="866" t="s">
        <v>2342</v>
      </c>
      <c r="BL5" s="866" t="s">
        <v>2343</v>
      </c>
      <c r="BM5" s="866" t="s">
        <v>2344</v>
      </c>
      <c r="BN5" s="866" t="s">
        <v>2345</v>
      </c>
      <c r="BO5" s="866" t="s">
        <v>2346</v>
      </c>
      <c r="BP5" s="866" t="s">
        <v>2347</v>
      </c>
      <c r="BQ5" s="866" t="s">
        <v>2348</v>
      </c>
      <c r="BR5" s="866" t="s">
        <v>2349</v>
      </c>
      <c r="BS5" s="866" t="s">
        <v>2403</v>
      </c>
      <c r="BT5" s="866" t="s">
        <v>2404</v>
      </c>
      <c r="BU5" s="866" t="s">
        <v>2405</v>
      </c>
      <c r="BV5" s="866" t="s">
        <v>2406</v>
      </c>
      <c r="BW5" s="866" t="s">
        <v>2407</v>
      </c>
      <c r="BX5" s="866" t="s">
        <v>2408</v>
      </c>
      <c r="BY5" s="866" t="s">
        <v>2409</v>
      </c>
      <c r="BZ5" s="866" t="s">
        <v>2410</v>
      </c>
      <c r="CA5" s="866" t="s">
        <v>2708</v>
      </c>
      <c r="CB5" s="866" t="s">
        <v>2709</v>
      </c>
      <c r="CC5" s="866" t="s">
        <v>2576</v>
      </c>
      <c r="CD5" s="866" t="s">
        <v>2577</v>
      </c>
      <c r="CE5" s="866" t="s">
        <v>2579</v>
      </c>
      <c r="CF5" s="867" t="s">
        <v>2251</v>
      </c>
      <c r="CG5" s="867" t="s">
        <v>2600</v>
      </c>
      <c r="CH5" s="867" t="s">
        <v>2599</v>
      </c>
      <c r="CI5" s="867" t="s">
        <v>2350</v>
      </c>
      <c r="CJ5" s="867" t="s">
        <v>2252</v>
      </c>
      <c r="CK5" s="867" t="s">
        <v>2351</v>
      </c>
      <c r="CL5" s="867" t="s">
        <v>2352</v>
      </c>
      <c r="CM5" s="867" t="s">
        <v>2353</v>
      </c>
      <c r="CN5" s="867" t="s">
        <v>2354</v>
      </c>
      <c r="CO5" s="867" t="s">
        <v>2355</v>
      </c>
      <c r="CP5" s="867" t="s">
        <v>2356</v>
      </c>
      <c r="CQ5" s="867" t="s">
        <v>2357</v>
      </c>
      <c r="CR5" s="867" t="s">
        <v>2358</v>
      </c>
      <c r="CS5" s="867" t="s">
        <v>2359</v>
      </c>
      <c r="CT5" s="867" t="s">
        <v>2360</v>
      </c>
      <c r="CU5" s="867" t="s">
        <v>2361</v>
      </c>
      <c r="CV5" s="867" t="s">
        <v>2362</v>
      </c>
      <c r="CW5" s="867" t="s">
        <v>2363</v>
      </c>
      <c r="CX5" s="842" t="s">
        <v>2253</v>
      </c>
      <c r="CY5" s="842" t="s">
        <v>2280</v>
      </c>
      <c r="CZ5" s="842" t="s">
        <v>2281</v>
      </c>
      <c r="DA5" s="842" t="s">
        <v>2282</v>
      </c>
      <c r="DB5" s="842" t="s">
        <v>2283</v>
      </c>
      <c r="DC5" s="842" t="s">
        <v>2284</v>
      </c>
      <c r="DD5" s="842" t="s">
        <v>2285</v>
      </c>
      <c r="DE5" s="842" t="s">
        <v>2286</v>
      </c>
      <c r="DF5" s="842" t="s">
        <v>2287</v>
      </c>
      <c r="DG5" s="842" t="s">
        <v>2288</v>
      </c>
      <c r="DH5" s="842" t="s">
        <v>2289</v>
      </c>
      <c r="DI5" s="842" t="s">
        <v>2290</v>
      </c>
      <c r="DJ5" s="842" t="s">
        <v>2291</v>
      </c>
      <c r="DK5" s="842" t="s">
        <v>2292</v>
      </c>
      <c r="DL5" s="842" t="s">
        <v>2293</v>
      </c>
      <c r="DM5" s="842" t="s">
        <v>2294</v>
      </c>
      <c r="DN5" s="842" t="s">
        <v>2295</v>
      </c>
      <c r="DO5" s="842" t="s">
        <v>2715</v>
      </c>
      <c r="DP5" s="842" t="s">
        <v>2296</v>
      </c>
      <c r="DQ5" s="842" t="s">
        <v>2583</v>
      </c>
      <c r="DR5" s="842" t="s">
        <v>2297</v>
      </c>
      <c r="DS5" s="842" t="s">
        <v>2713</v>
      </c>
      <c r="DT5" s="842" t="s">
        <v>2298</v>
      </c>
      <c r="DU5" s="842" t="s">
        <v>2299</v>
      </c>
      <c r="DV5" s="842" t="s">
        <v>2621</v>
      </c>
      <c r="DW5" s="842" t="s">
        <v>2300</v>
      </c>
      <c r="DX5" s="842" t="s">
        <v>2624</v>
      </c>
      <c r="DY5" s="842" t="s">
        <v>2301</v>
      </c>
      <c r="DZ5" s="842" t="s">
        <v>2302</v>
      </c>
      <c r="EA5" s="842" t="s">
        <v>2303</v>
      </c>
      <c r="EB5" s="842" t="s">
        <v>2304</v>
      </c>
      <c r="EC5" s="842" t="s">
        <v>2305</v>
      </c>
      <c r="ED5" s="842" t="s">
        <v>2306</v>
      </c>
      <c r="EE5" s="842" t="s">
        <v>2307</v>
      </c>
      <c r="EF5" s="842" t="s">
        <v>2443</v>
      </c>
      <c r="EG5" s="842" t="s">
        <v>2444</v>
      </c>
      <c r="EH5" s="842" t="s">
        <v>2445</v>
      </c>
      <c r="EI5" s="842" t="s">
        <v>2446</v>
      </c>
      <c r="EJ5" s="842" t="s">
        <v>2447</v>
      </c>
      <c r="EK5" s="842" t="s">
        <v>2448</v>
      </c>
      <c r="EL5" s="842" t="s">
        <v>2449</v>
      </c>
      <c r="EM5" s="842" t="s">
        <v>2455</v>
      </c>
      <c r="EN5" s="842" t="s">
        <v>2456</v>
      </c>
      <c r="EO5" s="842" t="s">
        <v>2457</v>
      </c>
      <c r="EP5" s="842" t="s">
        <v>2717</v>
      </c>
      <c r="EQ5" s="842" t="s">
        <v>2458</v>
      </c>
      <c r="ER5" s="842" t="s">
        <v>2460</v>
      </c>
      <c r="ES5" s="842" t="s">
        <v>2461</v>
      </c>
      <c r="ET5" s="842" t="s">
        <v>2464</v>
      </c>
      <c r="EU5" s="842" t="s">
        <v>2465</v>
      </c>
      <c r="EV5" s="842" t="s">
        <v>2581</v>
      </c>
      <c r="EW5" s="868" t="s">
        <v>2254</v>
      </c>
      <c r="EX5" s="868" t="s">
        <v>2266</v>
      </c>
      <c r="EY5" s="868" t="s">
        <v>2267</v>
      </c>
      <c r="EZ5" s="868" t="s">
        <v>2268</v>
      </c>
      <c r="FA5" s="868" t="s">
        <v>2269</v>
      </c>
      <c r="FB5" s="868" t="s">
        <v>2270</v>
      </c>
      <c r="FC5" s="868" t="s">
        <v>2271</v>
      </c>
      <c r="FD5" s="868" t="s">
        <v>2272</v>
      </c>
      <c r="FE5" s="868" t="s">
        <v>2273</v>
      </c>
      <c r="FF5" s="868" t="s">
        <v>2274</v>
      </c>
      <c r="FG5" s="868" t="s">
        <v>2275</v>
      </c>
      <c r="FH5" s="868" t="s">
        <v>2276</v>
      </c>
      <c r="FI5" s="868" t="s">
        <v>2277</v>
      </c>
      <c r="FJ5" s="868" t="s">
        <v>2278</v>
      </c>
      <c r="FK5" s="868" t="s">
        <v>2279</v>
      </c>
      <c r="FL5" s="868" t="s">
        <v>2434</v>
      </c>
      <c r="FM5" s="868" t="s">
        <v>2435</v>
      </c>
      <c r="FN5" s="868" t="s">
        <v>2469</v>
      </c>
      <c r="FO5" s="868" t="s">
        <v>2468</v>
      </c>
      <c r="FP5" s="868" t="s">
        <v>2473</v>
      </c>
      <c r="FQ5" s="868" t="s">
        <v>2591</v>
      </c>
      <c r="FR5" s="868" t="s">
        <v>2592</v>
      </c>
      <c r="FS5" s="868" t="s">
        <v>2593</v>
      </c>
      <c r="FT5" s="848" t="s">
        <v>2265</v>
      </c>
      <c r="FU5" s="176"/>
      <c r="FV5" s="176"/>
      <c r="FW5" s="176"/>
      <c r="FX5" s="176"/>
      <c r="FY5" s="176"/>
      <c r="GA5" s="176"/>
      <c r="GB5" s="176"/>
      <c r="GC5" s="176"/>
      <c r="GD5" s="176"/>
      <c r="GE5" s="176"/>
      <c r="GG5" s="176"/>
      <c r="GI5" s="176"/>
      <c r="GK5" s="176"/>
      <c r="GL5" s="176"/>
      <c r="GM5" s="176"/>
      <c r="GN5" s="176"/>
      <c r="GO5" s="176"/>
      <c r="GP5" s="176"/>
      <c r="GQ5" s="176"/>
      <c r="GW5" s="176"/>
      <c r="GX5" s="176"/>
      <c r="HC5" s="176"/>
    </row>
    <row r="6" spans="1:211" ht="69" customHeight="1">
      <c r="A6" s="855" t="s">
        <v>0</v>
      </c>
      <c r="B6" s="856" t="s">
        <v>2180</v>
      </c>
      <c r="C6" s="856" t="s">
        <v>2181</v>
      </c>
      <c r="D6" s="856" t="s">
        <v>2185</v>
      </c>
      <c r="E6" s="856" t="s">
        <v>2182</v>
      </c>
      <c r="F6" s="856" t="s">
        <v>2184</v>
      </c>
      <c r="G6" s="851" t="s">
        <v>2399</v>
      </c>
      <c r="H6" s="851" t="s">
        <v>1342</v>
      </c>
      <c r="I6" s="851" t="s">
        <v>2368</v>
      </c>
      <c r="J6" s="851" t="s">
        <v>2369</v>
      </c>
      <c r="K6" s="851" t="s">
        <v>1109</v>
      </c>
      <c r="L6" s="851" t="s">
        <v>2475</v>
      </c>
      <c r="M6" s="851" t="s">
        <v>2373</v>
      </c>
      <c r="N6" s="851" t="s">
        <v>2183</v>
      </c>
      <c r="O6" s="851" t="s">
        <v>2372</v>
      </c>
      <c r="P6" s="851" t="s">
        <v>2371</v>
      </c>
      <c r="Q6" s="851" t="s">
        <v>2370</v>
      </c>
      <c r="R6" s="851" t="s">
        <v>2364</v>
      </c>
      <c r="S6" s="851" t="s">
        <v>2365</v>
      </c>
      <c r="T6" s="851" t="s">
        <v>2366</v>
      </c>
      <c r="U6" s="851" t="s">
        <v>2367</v>
      </c>
      <c r="V6" s="851" t="s">
        <v>1496</v>
      </c>
      <c r="W6" s="851" t="s">
        <v>1497</v>
      </c>
      <c r="X6" s="851" t="s">
        <v>1522</v>
      </c>
      <c r="Y6" s="835" t="s">
        <v>27</v>
      </c>
      <c r="Z6" s="835" t="s">
        <v>2532</v>
      </c>
      <c r="AA6" s="835" t="s">
        <v>2193</v>
      </c>
      <c r="AB6" s="835" t="s">
        <v>2194</v>
      </c>
      <c r="AC6" s="834" t="s">
        <v>1285</v>
      </c>
      <c r="AD6" s="834" t="s">
        <v>2207</v>
      </c>
      <c r="AE6" s="834" t="s">
        <v>2222</v>
      </c>
      <c r="AF6" s="834" t="s">
        <v>2227</v>
      </c>
      <c r="AG6" s="834" t="s">
        <v>2226</v>
      </c>
      <c r="AH6" s="834" t="s">
        <v>2206</v>
      </c>
      <c r="AI6" s="834" t="s">
        <v>2223</v>
      </c>
      <c r="AJ6" s="834" t="s">
        <v>2224</v>
      </c>
      <c r="AK6" s="834" t="s">
        <v>2225</v>
      </c>
      <c r="AL6" s="834" t="s">
        <v>2595</v>
      </c>
      <c r="AM6" s="834" t="s">
        <v>2703</v>
      </c>
      <c r="AN6" s="834" t="s">
        <v>2704</v>
      </c>
      <c r="AO6" s="834" t="s">
        <v>2707</v>
      </c>
      <c r="AP6" s="834" t="s">
        <v>1493</v>
      </c>
      <c r="AQ6" s="834" t="s">
        <v>2190</v>
      </c>
      <c r="AR6" s="834" t="s">
        <v>1790</v>
      </c>
      <c r="AS6" s="834" t="s">
        <v>1491</v>
      </c>
      <c r="AT6" s="834" t="s">
        <v>2189</v>
      </c>
      <c r="AU6" s="834" t="s">
        <v>2188</v>
      </c>
      <c r="AV6" s="834" t="s">
        <v>2187</v>
      </c>
      <c r="AW6" s="834" t="s">
        <v>1501</v>
      </c>
      <c r="AX6" s="834" t="s">
        <v>1500</v>
      </c>
      <c r="AY6" s="834" t="s">
        <v>1503</v>
      </c>
      <c r="AZ6" s="834" t="s">
        <v>1504</v>
      </c>
      <c r="BA6" s="834" t="s">
        <v>2572</v>
      </c>
      <c r="BB6" s="834" t="s">
        <v>2573</v>
      </c>
      <c r="BC6" s="834" t="s">
        <v>2575</v>
      </c>
      <c r="BD6" s="834" t="s">
        <v>2211</v>
      </c>
      <c r="BE6" s="834" t="s">
        <v>2210</v>
      </c>
      <c r="BF6" s="834" t="s">
        <v>2209</v>
      </c>
      <c r="BG6" s="834" t="s">
        <v>2208</v>
      </c>
      <c r="BH6" s="834" t="s">
        <v>2578</v>
      </c>
      <c r="BI6" s="834" t="s">
        <v>2400</v>
      </c>
      <c r="BJ6" s="834" t="s">
        <v>2216</v>
      </c>
      <c r="BK6" s="834" t="s">
        <v>2217</v>
      </c>
      <c r="BL6" s="834" t="s">
        <v>2218</v>
      </c>
      <c r="BM6" s="834" t="s">
        <v>2191</v>
      </c>
      <c r="BN6" s="834" t="s">
        <v>2192</v>
      </c>
      <c r="BO6" s="834" t="s">
        <v>2401</v>
      </c>
      <c r="BP6" s="834" t="s">
        <v>2402</v>
      </c>
      <c r="BQ6" s="834" t="s">
        <v>2416</v>
      </c>
      <c r="BR6" s="834" t="s">
        <v>2415</v>
      </c>
      <c r="BS6" s="834" t="s">
        <v>2414</v>
      </c>
      <c r="BT6" s="834" t="s">
        <v>2413</v>
      </c>
      <c r="BU6" s="834" t="s">
        <v>2418</v>
      </c>
      <c r="BV6" s="834" t="s">
        <v>2419</v>
      </c>
      <c r="BW6" s="834" t="s">
        <v>2420</v>
      </c>
      <c r="BX6" s="834" t="s">
        <v>2421</v>
      </c>
      <c r="BY6" s="834" t="s">
        <v>2215</v>
      </c>
      <c r="BZ6" s="834" t="s">
        <v>2214</v>
      </c>
      <c r="CA6" s="834" t="s">
        <v>2710</v>
      </c>
      <c r="CB6" s="834" t="s">
        <v>2711</v>
      </c>
      <c r="CC6" s="834" t="s">
        <v>1498</v>
      </c>
      <c r="CD6" s="834" t="s">
        <v>1499</v>
      </c>
      <c r="CE6" s="834" t="s">
        <v>1502</v>
      </c>
      <c r="CF6" s="832" t="s">
        <v>1283</v>
      </c>
      <c r="CG6" s="832" t="s">
        <v>2601</v>
      </c>
      <c r="CH6" s="832" t="s">
        <v>2602</v>
      </c>
      <c r="CI6" s="832" t="s">
        <v>2229</v>
      </c>
      <c r="CJ6" s="832" t="s">
        <v>2230</v>
      </c>
      <c r="CK6" s="832" t="s">
        <v>2231</v>
      </c>
      <c r="CL6" s="832" t="s">
        <v>2232</v>
      </c>
      <c r="CM6" s="832" t="s">
        <v>2422</v>
      </c>
      <c r="CN6" s="832" t="s">
        <v>2233</v>
      </c>
      <c r="CO6" s="832" t="s">
        <v>2234</v>
      </c>
      <c r="CP6" s="832" t="s">
        <v>2235</v>
      </c>
      <c r="CQ6" s="832" t="s">
        <v>1505</v>
      </c>
      <c r="CR6" s="832" t="s">
        <v>2586</v>
      </c>
      <c r="CS6" s="832" t="s">
        <v>2580</v>
      </c>
      <c r="CT6" s="832" t="s">
        <v>2236</v>
      </c>
      <c r="CU6" s="832" t="s">
        <v>1506</v>
      </c>
      <c r="CV6" s="832" t="s">
        <v>1515</v>
      </c>
      <c r="CW6" s="832" t="s">
        <v>2243</v>
      </c>
      <c r="CX6" s="835" t="s">
        <v>1284</v>
      </c>
      <c r="CY6" s="835" t="s">
        <v>2423</v>
      </c>
      <c r="CZ6" s="835" t="s">
        <v>2424</v>
      </c>
      <c r="DA6" s="835" t="s">
        <v>2425</v>
      </c>
      <c r="DB6" s="835" t="s">
        <v>2426</v>
      </c>
      <c r="DC6" s="835" t="s">
        <v>2427</v>
      </c>
      <c r="DD6" s="835" t="s">
        <v>2428</v>
      </c>
      <c r="DE6" s="835" t="s">
        <v>2429</v>
      </c>
      <c r="DF6" s="835" t="s">
        <v>2430</v>
      </c>
      <c r="DG6" s="835" t="s">
        <v>2431</v>
      </c>
      <c r="DH6" s="835" t="s">
        <v>1494</v>
      </c>
      <c r="DI6" s="835" t="s">
        <v>1495</v>
      </c>
      <c r="DJ6" s="835" t="s">
        <v>2240</v>
      </c>
      <c r="DK6" s="835" t="s">
        <v>2239</v>
      </c>
      <c r="DL6" s="835" t="s">
        <v>2238</v>
      </c>
      <c r="DM6" s="835" t="s">
        <v>1516</v>
      </c>
      <c r="DN6" s="835" t="s">
        <v>1517</v>
      </c>
      <c r="DO6" s="835" t="s">
        <v>2716</v>
      </c>
      <c r="DP6" s="835" t="s">
        <v>2241</v>
      </c>
      <c r="DQ6" s="835" t="s">
        <v>2629</v>
      </c>
      <c r="DR6" s="835" t="s">
        <v>2584</v>
      </c>
      <c r="DS6" s="835" t="s">
        <v>2714</v>
      </c>
      <c r="DT6" s="835" t="s">
        <v>2585</v>
      </c>
      <c r="DU6" s="835" t="s">
        <v>2623</v>
      </c>
      <c r="DV6" s="835" t="s">
        <v>2622</v>
      </c>
      <c r="DW6" s="835" t="s">
        <v>2242</v>
      </c>
      <c r="DX6" s="835" t="s">
        <v>2625</v>
      </c>
      <c r="DY6" s="835" t="s">
        <v>2436</v>
      </c>
      <c r="DZ6" s="835" t="s">
        <v>1521</v>
      </c>
      <c r="EA6" s="835" t="s">
        <v>2245</v>
      </c>
      <c r="EB6" s="835" t="s">
        <v>1520</v>
      </c>
      <c r="EC6" s="835" t="s">
        <v>1518</v>
      </c>
      <c r="ED6" s="835" t="s">
        <v>1519</v>
      </c>
      <c r="EE6" s="835" t="s">
        <v>2462</v>
      </c>
      <c r="EF6" s="835" t="s">
        <v>2463</v>
      </c>
      <c r="EG6" s="835" t="s">
        <v>2437</v>
      </c>
      <c r="EH6" s="835" t="s">
        <v>2438</v>
      </c>
      <c r="EI6" s="835" t="s">
        <v>2439</v>
      </c>
      <c r="EJ6" s="835" t="s">
        <v>2453</v>
      </c>
      <c r="EK6" s="835" t="s">
        <v>2440</v>
      </c>
      <c r="EL6" s="835" t="s">
        <v>1388</v>
      </c>
      <c r="EM6" s="835" t="s">
        <v>2441</v>
      </c>
      <c r="EN6" s="835" t="s">
        <v>2442</v>
      </c>
      <c r="EO6" s="835" t="s">
        <v>2454</v>
      </c>
      <c r="EP6" s="835" t="s">
        <v>2718</v>
      </c>
      <c r="EQ6" s="835" t="s">
        <v>2451</v>
      </c>
      <c r="ER6" s="835" t="s">
        <v>2452</v>
      </c>
      <c r="ES6" s="835" t="s">
        <v>2459</v>
      </c>
      <c r="ET6" s="835" t="s">
        <v>1757</v>
      </c>
      <c r="EU6" s="835" t="s">
        <v>2244</v>
      </c>
      <c r="EV6" s="835" t="s">
        <v>2582</v>
      </c>
      <c r="EW6" s="847" t="s">
        <v>2466</v>
      </c>
      <c r="EX6" s="847" t="s">
        <v>2257</v>
      </c>
      <c r="EY6" s="847" t="s">
        <v>2256</v>
      </c>
      <c r="EZ6" s="847" t="s">
        <v>2260</v>
      </c>
      <c r="FA6" s="847" t="s">
        <v>2259</v>
      </c>
      <c r="FB6" s="847" t="s">
        <v>2258</v>
      </c>
      <c r="FC6" s="847" t="s">
        <v>2432</v>
      </c>
      <c r="FD6" s="847" t="s">
        <v>2433</v>
      </c>
      <c r="FE6" s="847" t="s">
        <v>2594</v>
      </c>
      <c r="FF6" s="847" t="s">
        <v>2261</v>
      </c>
      <c r="FG6" s="847" t="s">
        <v>2262</v>
      </c>
      <c r="FH6" s="847" t="s">
        <v>2263</v>
      </c>
      <c r="FI6" s="847" t="s">
        <v>2264</v>
      </c>
      <c r="FJ6" s="847" t="s">
        <v>2450</v>
      </c>
      <c r="FK6" s="847" t="s">
        <v>2467</v>
      </c>
      <c r="FL6" s="869" t="s">
        <v>2471</v>
      </c>
      <c r="FM6" s="869" t="s">
        <v>2472</v>
      </c>
      <c r="FN6" s="869" t="s">
        <v>2587</v>
      </c>
      <c r="FO6" s="869" t="s">
        <v>2588</v>
      </c>
      <c r="FP6" s="869" t="s">
        <v>2589</v>
      </c>
      <c r="FQ6" s="869" t="s">
        <v>2590</v>
      </c>
      <c r="FR6" s="869" t="s">
        <v>1758</v>
      </c>
      <c r="FS6" s="869" t="s">
        <v>2470</v>
      </c>
      <c r="FT6" s="176"/>
      <c r="FU6" s="176"/>
      <c r="FV6" s="176"/>
      <c r="FW6" s="176"/>
      <c r="FX6" s="176"/>
      <c r="FY6" s="176"/>
      <c r="GA6" s="176"/>
      <c r="GB6" s="176"/>
      <c r="GC6" s="176"/>
      <c r="GD6" s="176"/>
      <c r="GE6" s="176"/>
      <c r="GG6" s="176"/>
      <c r="GI6" s="176"/>
      <c r="GK6" s="176"/>
      <c r="GL6" s="176"/>
      <c r="GM6" s="176"/>
      <c r="GN6" s="176"/>
      <c r="GO6" s="176"/>
      <c r="GP6" s="176"/>
      <c r="GQ6" s="176"/>
      <c r="GW6" s="176"/>
      <c r="GX6" s="176"/>
      <c r="HC6" s="176"/>
    </row>
    <row r="7" spans="1:211">
      <c r="A7" s="780" t="s">
        <v>438</v>
      </c>
      <c r="B7" s="781" t="s">
        <v>1524</v>
      </c>
      <c r="C7" s="781" t="s">
        <v>511</v>
      </c>
      <c r="D7" s="870">
        <v>0</v>
      </c>
      <c r="E7" s="870">
        <v>0</v>
      </c>
      <c r="F7" s="870">
        <v>0</v>
      </c>
      <c r="G7" s="851">
        <v>0</v>
      </c>
      <c r="H7" s="870" t="s">
        <v>2248</v>
      </c>
      <c r="I7" s="781" t="s">
        <v>744</v>
      </c>
      <c r="J7" s="781" t="s">
        <v>1523</v>
      </c>
      <c r="K7" s="781">
        <v>1</v>
      </c>
      <c r="L7" s="781" t="s">
        <v>568</v>
      </c>
      <c r="M7" s="781">
        <v>1</v>
      </c>
      <c r="N7" s="300">
        <v>2</v>
      </c>
      <c r="O7" s="781">
        <v>10.5</v>
      </c>
      <c r="P7" s="781">
        <v>4.5999999999999996</v>
      </c>
      <c r="Q7" s="781">
        <v>1</v>
      </c>
      <c r="R7" s="781">
        <v>3</v>
      </c>
      <c r="S7" s="781">
        <v>1</v>
      </c>
      <c r="T7" s="781"/>
      <c r="U7" s="781"/>
      <c r="V7" s="781">
        <v>117</v>
      </c>
      <c r="W7" s="781">
        <v>210</v>
      </c>
      <c r="X7" s="870" t="s">
        <v>408</v>
      </c>
      <c r="Y7" s="835">
        <v>0</v>
      </c>
      <c r="Z7" s="782" t="s">
        <v>1433</v>
      </c>
      <c r="AA7" s="782">
        <v>2882</v>
      </c>
      <c r="AB7" s="870"/>
      <c r="AC7" s="834">
        <v>0</v>
      </c>
      <c r="AD7" s="781">
        <v>91.454802259887018</v>
      </c>
      <c r="AE7" s="870">
        <v>78.389830508474589</v>
      </c>
      <c r="AF7" s="870">
        <v>91.454802259887018</v>
      </c>
      <c r="AG7" s="870">
        <v>109.74576271186442</v>
      </c>
      <c r="AH7" s="781">
        <v>109.74576271186442</v>
      </c>
      <c r="AI7" s="870">
        <v>94.067796610169495</v>
      </c>
      <c r="AJ7" s="870">
        <v>109.74576271186442</v>
      </c>
      <c r="AK7" s="870">
        <v>131.69491525423729</v>
      </c>
      <c r="AL7" s="870">
        <f>PPH_Data_Base28[[#This Row],[PPH Unit Basic Price With Cu Tube]]*0.05</f>
        <v>144.1</v>
      </c>
      <c r="AM7" s="781">
        <v>36.048922139216955</v>
      </c>
      <c r="AN7" s="781">
        <v>186.07164943633472</v>
      </c>
      <c r="AO7" s="781">
        <v>351.67541743467274</v>
      </c>
      <c r="AP7" s="781">
        <v>162</v>
      </c>
      <c r="AQ7" s="781">
        <v>170.10000000000002</v>
      </c>
      <c r="AR7" s="781">
        <f>0.5*242</f>
        <v>121</v>
      </c>
      <c r="AS7" s="781">
        <v>211.77090956440676</v>
      </c>
      <c r="AT7" s="781">
        <v>1317.6470146250847</v>
      </c>
      <c r="AU7" s="781">
        <v>15.257885593220337</v>
      </c>
      <c r="AV7" s="781">
        <v>176.7467855655085</v>
      </c>
      <c r="AW7" s="870">
        <v>757.5200000000001</v>
      </c>
      <c r="AX7" s="870">
        <v>266</v>
      </c>
      <c r="AY7" s="870">
        <v>471.83084218220341</v>
      </c>
      <c r="AZ7" s="870">
        <v>166.63076967823093</v>
      </c>
      <c r="BA7" s="870">
        <f>8.5*30</f>
        <v>255</v>
      </c>
      <c r="BB7" s="870">
        <f>PPH_Data_Base28[[#This Row],[PPH Unit Basic Price With Cu Tube]]*0.1</f>
        <v>288.2</v>
      </c>
      <c r="BC7" s="870">
        <v>29.795168564590451</v>
      </c>
      <c r="BD7" s="870">
        <v>99.317228548634844</v>
      </c>
      <c r="BE7" s="870">
        <v>33.105742849544946</v>
      </c>
      <c r="BF7" s="870">
        <v>33.105742849544946</v>
      </c>
      <c r="BG7" s="870">
        <v>33.105742849544946</v>
      </c>
      <c r="BH7" s="870">
        <f>PPH_Data_Base28[[#This Row],[PPH Unit Basic Price With Cu Tube]]*0.075</f>
        <v>216.15</v>
      </c>
      <c r="BI7" s="870">
        <v>99.317228548634844</v>
      </c>
      <c r="BJ7" s="870">
        <v>33.105742849544946</v>
      </c>
      <c r="BK7" s="870">
        <v>33.105742849544946</v>
      </c>
      <c r="BL7" s="870">
        <v>33.105742849544946</v>
      </c>
      <c r="BM7" s="781">
        <f>PPH_Data_Base28[[#This Row],[Total Condenser Coil Area]]*Naming!$M$62*4</f>
        <v>940.8</v>
      </c>
      <c r="BN7" s="781">
        <f>PPH_Data_Base28[[#This Row],[Total Evaporator  Coil Area]]*Naming!$M$62*4</f>
        <v>412.15999999999997</v>
      </c>
      <c r="BO7" s="781">
        <f>PPH_Data_Base28[[#This Row],[Total Condenser Coil Area]]*Naming!$D$61*4</f>
        <v>14.280000000000001</v>
      </c>
      <c r="BP7" s="781">
        <f>PPH_Data_Base28[[#This Row],[Total Evaporator  Coil Area]]*Naming!$D$61*6</f>
        <v>9.3840000000000003</v>
      </c>
      <c r="BQ7" s="781">
        <f>$G$195*PPH_Data_Base28[[#This Row],[Total Evaporator  Coil Area]]</f>
        <v>20.7</v>
      </c>
      <c r="BR7" s="781">
        <f>$G$199*PPH_Data_Base28[[#This Row],[Total Evaporator  Coil Area]]</f>
        <v>31.279999999999998</v>
      </c>
      <c r="BS7" s="781">
        <f>$E$185*PPH_Data_Base28[[#This Row],[Total Evaporator  Coil Area]]</f>
        <v>92</v>
      </c>
      <c r="BT7" s="781">
        <f>$E$188*PPH_Data_Base28[[#This Row],[Total Evaporator  Coil Area]]</f>
        <v>128.79999999999998</v>
      </c>
      <c r="BU7" s="781">
        <f>$G$195*PPH_Data_Base28[[#This Row],[Total Condenser Coil Area]]</f>
        <v>47.25</v>
      </c>
      <c r="BV7" s="781">
        <f>$G$199*PPH_Data_Base28[[#This Row],[Total Condenser Coil Area]]</f>
        <v>71.399999999999991</v>
      </c>
      <c r="BW7" s="781">
        <f>$E$185*PPH_Data_Base28[[#This Row],[Total Condenser Coil Area]]</f>
        <v>210</v>
      </c>
      <c r="BX7" s="781">
        <f>$E$188*PPH_Data_Base28[[#This Row],[Total Condenser Coil Area]]</f>
        <v>294</v>
      </c>
      <c r="BY7" s="781">
        <v>112.70920592379548</v>
      </c>
      <c r="BZ7" s="870">
        <v>69.774174172853108</v>
      </c>
      <c r="CA7" s="870">
        <v>85.618635398580523</v>
      </c>
      <c r="CB7" s="870">
        <v>56.626081612817792</v>
      </c>
      <c r="CC7" s="870">
        <v>74.152542372881356</v>
      </c>
      <c r="CD7" s="870">
        <f>2*36.0169491525424</f>
        <v>72.033898305084804</v>
      </c>
      <c r="CE7" s="870">
        <v>20</v>
      </c>
      <c r="CF7" s="832">
        <v>0</v>
      </c>
      <c r="CG7" s="870">
        <f>PPH_Data_Base28[[#This Row],[PPH Unit Basic Price With Cu Tube]]*0.25</f>
        <v>720.5</v>
      </c>
      <c r="CH7" s="870">
        <f>PPH_Data_Base28[[#This Row],[DSP Unit Basic Price With Cu Tube]]*0.35</f>
        <v>0</v>
      </c>
      <c r="CI7" s="781">
        <v>89.190356144067806</v>
      </c>
      <c r="CJ7" s="781">
        <v>129.77347881355934</v>
      </c>
      <c r="CK7" s="781">
        <v>18.596238771186442</v>
      </c>
      <c r="CL7" s="781">
        <v>96.045197740112997</v>
      </c>
      <c r="CM7" s="870">
        <v>14.40677966101695</v>
      </c>
      <c r="CN7" s="781">
        <v>36.016949152542374</v>
      </c>
      <c r="CO7" s="870">
        <v>123.86332203389833</v>
      </c>
      <c r="CP7" s="781">
        <v>39.340260663841804</v>
      </c>
      <c r="CQ7" s="870">
        <v>59.412063418079093</v>
      </c>
      <c r="CR7" s="781">
        <v>248.96402542372883</v>
      </c>
      <c r="CS7" s="870">
        <v>211.12825762711864</v>
      </c>
      <c r="CT7" s="781">
        <v>432.55649717514126</v>
      </c>
      <c r="CU7" s="870">
        <v>92.15585593220338</v>
      </c>
      <c r="CV7" s="870">
        <v>248.58757062146893</v>
      </c>
      <c r="CW7" s="870">
        <f>400*1.35*PPH_Data_Base28[[#This Row],[No. of Unit  Compressors]]</f>
        <v>540</v>
      </c>
      <c r="CX7" s="835">
        <v>0</v>
      </c>
      <c r="CY7" s="871">
        <f>47*PPH_Data_Base28[[#This Row],[No. of Unit  Compressors]]*1.35</f>
        <v>63.45</v>
      </c>
      <c r="CZ7" s="871">
        <f>30*1.35*PPH_Data_Base28[[#This Row],[NO Condenser Fans]]</f>
        <v>81</v>
      </c>
      <c r="DA7" s="781">
        <f>INDEX($B$136:$F$154,MATCH(PPH_Data_Base28[[#This Row],[STD Supply Fan Motor]],$B$136:$B$154,0),5)*PPH_Data_Base28[[#This Row],[Fan QTY]]</f>
        <v>38.073067937853111</v>
      </c>
      <c r="DB7" s="871">
        <f>47*1.35*PPH_Data_Base28[[#This Row],[No. of Unit  Compressors]]</f>
        <v>63.45</v>
      </c>
      <c r="DC7" s="871">
        <f>28*PPH_Data_Base28[[#This Row],[NO Condenser Fans]]</f>
        <v>56</v>
      </c>
      <c r="DD7" s="781">
        <f>INDEX($B$136:$F$154,MATCH(PPH_Data_Base28[[#This Row],[STD Supply Fan Motor]],$B$136:$B$154,0),3)*PPH_Data_Base28[[#This Row],[Fan QTY]]</f>
        <v>24.627741525423726</v>
      </c>
      <c r="DE7" s="870">
        <f>INDEX($B$114:$C$131,MATCH(PPH_Data_Base28[[#This Row],[Compressor 1 HP]],$B$114:$B$131,0),2)*PPH_Data_Base28[[#This Row],[Compressor 1 QTY]]+IFERROR(INDEX($B$114:$C$131,MATCH(PPH_Data_Base28[[#This Row],[Compressor 2 HP]],$B$114:$B$131,0),2)*PPH_Data_Base28[[#This Row],[Compressor 2 QTY]],0)</f>
        <v>36</v>
      </c>
      <c r="DF7" s="870">
        <f>38*PPH_Data_Base28[[#This Row],[NO Condenser Fans]]</f>
        <v>76</v>
      </c>
      <c r="DG7" s="870">
        <f>INDEX($B$136:$F$154,MATCH(PPH_Data_Base28[[#This Row],[STD Supply Fan Motor]],$B$136:$B$154,0),5)*PPH_Data_Base28[[#This Row],[Fan QTY]]</f>
        <v>38.073067937853111</v>
      </c>
      <c r="DH7" s="781">
        <v>58.262711864406782</v>
      </c>
      <c r="DI7" s="781">
        <v>58.262711864406782</v>
      </c>
      <c r="DJ7" s="870">
        <f>INDEX($F$114:$G$124,MATCH(PPH_Data_Base28[[#This Row],[Compressor 1 HP]],$F$114:$F$124,0),2)</f>
        <v>2300</v>
      </c>
      <c r="DK7" s="870">
        <f>INDEX($F$114:$G$124,MATCH(PPH_Data_Base28[[#This Row],[Compressor 1 HP]],$F$114:$F$124,0),2)*PPH_Data_Base28[[#This Row],[Compressor 1 QTY]]+IFERROR(INDEX($F$114:$G$124,MATCH(PPH_Data_Base28[[#This Row],[Compressor 2 HP]],$F$114:$F$124,0),2)*PPH_Data_Base28[[#This Row],[Compressor 2 QTY]],0)</f>
        <v>2300</v>
      </c>
      <c r="DL7" s="870">
        <v>887</v>
      </c>
      <c r="DM7" s="870">
        <v>564.9717514124294</v>
      </c>
      <c r="DN7" s="870">
        <v>213.62952090395484</v>
      </c>
      <c r="DO7" s="870">
        <v>2713.4650319209045</v>
      </c>
      <c r="DP7" s="870">
        <v>173.0225988700565</v>
      </c>
      <c r="DQ7" s="781">
        <f>PPH_Data_Base28[[#This Row],[NEMA 4X For Electrical Panel]]</f>
        <v>173.0225988700565</v>
      </c>
      <c r="DR7" s="870">
        <v>173.0225988700565</v>
      </c>
      <c r="DS7" s="870">
        <v>96.045197740112997</v>
      </c>
      <c r="DT7" s="870">
        <f>PPH_Data_Base28[[#This Row],[NO Condenser Fans]]*350</f>
        <v>700</v>
      </c>
      <c r="DU7" s="870">
        <v>238.27442754237299</v>
      </c>
      <c r="DV7" s="870">
        <f>150*PPH_Data_Base28[[#This Row],[NO Condenser Fans]]</f>
        <v>300</v>
      </c>
      <c r="DW7" s="781">
        <v>757.4152542372882</v>
      </c>
      <c r="DX7" s="781">
        <v>250</v>
      </c>
      <c r="DY7" s="870">
        <v>700</v>
      </c>
      <c r="DZ7" s="870">
        <v>0</v>
      </c>
      <c r="EA7" s="870">
        <v>540</v>
      </c>
      <c r="EB7" s="870">
        <v>4.186805084745763</v>
      </c>
      <c r="EC7" s="870">
        <v>23.305084745762713</v>
      </c>
      <c r="ED7" s="870">
        <v>58.361196822033918</v>
      </c>
      <c r="EE7" s="870">
        <v>350</v>
      </c>
      <c r="EF7" s="870">
        <v>350</v>
      </c>
      <c r="EG7" s="870">
        <v>286</v>
      </c>
      <c r="EH7" s="870">
        <v>375</v>
      </c>
      <c r="EI7" s="870">
        <v>138</v>
      </c>
      <c r="EJ7" s="870">
        <v>81</v>
      </c>
      <c r="EK7" s="870">
        <v>33.75</v>
      </c>
      <c r="EL7" s="870">
        <v>67.5</v>
      </c>
      <c r="EM7" s="870">
        <v>337.5</v>
      </c>
      <c r="EN7" s="870">
        <v>67</v>
      </c>
      <c r="EO7" s="870">
        <v>371</v>
      </c>
      <c r="EP7" s="870">
        <v>385.53092711864412</v>
      </c>
      <c r="EQ7" s="870">
        <v>26</v>
      </c>
      <c r="ER7" s="870">
        <v>324</v>
      </c>
      <c r="ES7" s="870">
        <v>22</v>
      </c>
      <c r="ET7" s="870">
        <v>65</v>
      </c>
      <c r="EU7" s="870">
        <v>203</v>
      </c>
      <c r="EV7" s="870">
        <v>250</v>
      </c>
      <c r="EW7" s="847">
        <v>0</v>
      </c>
      <c r="EX7" s="781">
        <v>46.384451977401142</v>
      </c>
      <c r="EY7" s="781">
        <v>333.11975593220342</v>
      </c>
      <c r="EZ7" s="870">
        <v>19.209039548022599</v>
      </c>
      <c r="FA7" s="870">
        <v>40</v>
      </c>
      <c r="FB7" s="870">
        <v>40</v>
      </c>
      <c r="FC7" s="870">
        <v>22.775173728813563</v>
      </c>
      <c r="FD7" s="870">
        <v>22.775173728813563</v>
      </c>
      <c r="FE7" s="870">
        <v>19.774011299435031</v>
      </c>
      <c r="FF7" s="870">
        <v>26.129943502824862</v>
      </c>
      <c r="FG7" s="870" t="s">
        <v>1525</v>
      </c>
      <c r="FH7" s="870">
        <v>88.758614203392113</v>
      </c>
      <c r="FI7" s="870">
        <v>53.738911328623757</v>
      </c>
      <c r="FJ7" s="870">
        <v>26</v>
      </c>
      <c r="FK7" s="870">
        <f>PPH_Data_Base28[[#This Row],[Differential Pressure Switch]]*2</f>
        <v>52</v>
      </c>
      <c r="FL7" s="870">
        <v>42</v>
      </c>
      <c r="FM7" s="872">
        <f>PPH_Data_Base28[[#This Row],[STD PETRA DIAL DIFF.PRESS.GAUGE NOT DWYER]]*2</f>
        <v>84</v>
      </c>
      <c r="FN7" s="872">
        <v>75</v>
      </c>
      <c r="FO7" s="872">
        <f>PPH_Data_Base28[[#This Row],[Replaceble Filter Drier ]]</f>
        <v>96.045197740112997</v>
      </c>
      <c r="FP7" s="872">
        <f>PPH_Data_Base28[[#This Row],[2" Pre-Filter]]*2</f>
        <v>30.515771186440674</v>
      </c>
      <c r="FQ7" s="872">
        <f>PPH_Data_Base28[[#This Row],[Bag Filter EU-8]]</f>
        <v>176.7467855655085</v>
      </c>
      <c r="FR7" s="872">
        <v>500</v>
      </c>
      <c r="FS7" s="872">
        <v>30</v>
      </c>
      <c r="FT7" s="176"/>
      <c r="FU7" s="176"/>
      <c r="FV7" s="176"/>
      <c r="FW7" s="176"/>
      <c r="FX7" s="176"/>
      <c r="FY7" s="176"/>
      <c r="GA7" s="176"/>
      <c r="GB7" s="176"/>
      <c r="GC7" s="176"/>
      <c r="GD7" s="176"/>
      <c r="GE7" s="176"/>
      <c r="GG7" s="176"/>
      <c r="GI7" s="176"/>
      <c r="GK7" s="176"/>
      <c r="GL7" s="176"/>
      <c r="GM7" s="176"/>
      <c r="GN7" s="176"/>
      <c r="GO7" s="176"/>
      <c r="GP7" s="176"/>
      <c r="GQ7" s="176"/>
      <c r="GW7" s="176"/>
      <c r="GX7" s="176"/>
      <c r="HC7" s="176"/>
    </row>
    <row r="8" spans="1:211">
      <c r="A8" s="780" t="s">
        <v>439</v>
      </c>
      <c r="B8" s="781" t="s">
        <v>1526</v>
      </c>
      <c r="C8" s="781" t="s">
        <v>512</v>
      </c>
      <c r="D8" s="870">
        <v>0</v>
      </c>
      <c r="E8" s="870">
        <v>0</v>
      </c>
      <c r="F8" s="870">
        <v>0</v>
      </c>
      <c r="G8" s="851">
        <v>0</v>
      </c>
      <c r="H8" s="870" t="s">
        <v>2248</v>
      </c>
      <c r="I8" s="781" t="s">
        <v>744</v>
      </c>
      <c r="J8" s="781" t="s">
        <v>1523</v>
      </c>
      <c r="K8" s="781">
        <v>1</v>
      </c>
      <c r="L8" s="781" t="s">
        <v>568</v>
      </c>
      <c r="M8" s="781">
        <v>1</v>
      </c>
      <c r="N8" s="300">
        <v>2</v>
      </c>
      <c r="O8" s="781">
        <v>10.5</v>
      </c>
      <c r="P8" s="781">
        <v>4.5999999999999996</v>
      </c>
      <c r="Q8" s="781">
        <v>1</v>
      </c>
      <c r="R8" s="781">
        <v>4</v>
      </c>
      <c r="S8" s="781">
        <v>1</v>
      </c>
      <c r="T8" s="781"/>
      <c r="U8" s="781"/>
      <c r="V8" s="781">
        <v>117</v>
      </c>
      <c r="W8" s="781">
        <v>210</v>
      </c>
      <c r="X8" s="870"/>
      <c r="Y8" s="835">
        <v>0</v>
      </c>
      <c r="Z8" s="782" t="s">
        <v>1433</v>
      </c>
      <c r="AA8" s="782">
        <v>3195</v>
      </c>
      <c r="AB8" s="870"/>
      <c r="AC8" s="834">
        <v>0</v>
      </c>
      <c r="AD8" s="781">
        <v>91.454802259887018</v>
      </c>
      <c r="AE8" s="870">
        <v>78.389830508474589</v>
      </c>
      <c r="AF8" s="870">
        <v>91.454802259887018</v>
      </c>
      <c r="AG8" s="870">
        <v>109.74576271186442</v>
      </c>
      <c r="AH8" s="781">
        <v>109.74576271186442</v>
      </c>
      <c r="AI8" s="870">
        <v>94.067796610169495</v>
      </c>
      <c r="AJ8" s="870">
        <v>109.74576271186442</v>
      </c>
      <c r="AK8" s="870">
        <v>131.69491525423729</v>
      </c>
      <c r="AL8" s="870">
        <f>PPH_Data_Base28[[#This Row],[PPH Unit Basic Price With Cu Tube]]*0.05</f>
        <v>159.75</v>
      </c>
      <c r="AM8" s="781">
        <v>36.048922139216955</v>
      </c>
      <c r="AN8" s="781">
        <v>186.07164943633472</v>
      </c>
      <c r="AO8" s="781">
        <v>351.67541743467274</v>
      </c>
      <c r="AP8" s="781">
        <v>162</v>
      </c>
      <c r="AQ8" s="781">
        <v>170.10000000000002</v>
      </c>
      <c r="AR8" s="781">
        <f>0.5*242</f>
        <v>121</v>
      </c>
      <c r="AS8" s="781">
        <v>211.77090956440676</v>
      </c>
      <c r="AT8" s="781">
        <v>1317.6470146250847</v>
      </c>
      <c r="AU8" s="781">
        <v>15.257885593220337</v>
      </c>
      <c r="AV8" s="781">
        <v>176.7467855655085</v>
      </c>
      <c r="AW8" s="870">
        <v>757.5200000000001</v>
      </c>
      <c r="AX8" s="870">
        <v>266</v>
      </c>
      <c r="AY8" s="870">
        <v>471.83084218220341</v>
      </c>
      <c r="AZ8" s="870">
        <v>166.63076967823093</v>
      </c>
      <c r="BA8" s="870">
        <f t="shared" ref="BA8:BA11" si="0">8.5*30</f>
        <v>255</v>
      </c>
      <c r="BB8" s="870">
        <f>PPH_Data_Base28[[#This Row],[PPH Unit Basic Price With Cu Tube]]*0.1</f>
        <v>319.5</v>
      </c>
      <c r="BC8" s="870">
        <v>31.249579999492195</v>
      </c>
      <c r="BD8" s="870">
        <v>104.16526666497398</v>
      </c>
      <c r="BE8" s="870">
        <v>34.721755554991326</v>
      </c>
      <c r="BF8" s="870">
        <v>34.721755554991326</v>
      </c>
      <c r="BG8" s="870">
        <v>34.721755554991326</v>
      </c>
      <c r="BH8" s="870">
        <f>PPH_Data_Base28[[#This Row],[PPH Unit Basic Price With Cu Tube]]*0.075</f>
        <v>239.625</v>
      </c>
      <c r="BI8" s="870">
        <v>104.16526666497398</v>
      </c>
      <c r="BJ8" s="870">
        <v>34.721755554991326</v>
      </c>
      <c r="BK8" s="870">
        <v>34.721755554991326</v>
      </c>
      <c r="BL8" s="870">
        <v>34.721755554991326</v>
      </c>
      <c r="BM8" s="781">
        <f>PPH_Data_Base28[[#This Row],[Total Condenser Coil Area]]*Naming!$M$62*4</f>
        <v>940.8</v>
      </c>
      <c r="BN8" s="781">
        <f>PPH_Data_Base28[[#This Row],[Total Evaporator  Coil Area]]*Naming!$M$62*4</f>
        <v>412.15999999999997</v>
      </c>
      <c r="BO8" s="781">
        <f>PPH_Data_Base28[[#This Row],[Total Condenser Coil Area]]*Naming!$D$61*4</f>
        <v>14.280000000000001</v>
      </c>
      <c r="BP8" s="781">
        <f>PPH_Data_Base28[[#This Row],[Total Evaporator  Coil Area]]*Naming!$D$61*6</f>
        <v>9.3840000000000003</v>
      </c>
      <c r="BQ8" s="781">
        <f>$G$195*PPH_Data_Base28[[#This Row],[Total Evaporator  Coil Area]]</f>
        <v>20.7</v>
      </c>
      <c r="BR8" s="781">
        <f>$G$199*PPH_Data_Base28[[#This Row],[Total Evaporator  Coil Area]]</f>
        <v>31.279999999999998</v>
      </c>
      <c r="BS8" s="781">
        <f>$E$185*PPH_Data_Base28[[#This Row],[Total Evaporator  Coil Area]]</f>
        <v>92</v>
      </c>
      <c r="BT8" s="781">
        <f>$E$188*PPH_Data_Base28[[#This Row],[Total Evaporator  Coil Area]]</f>
        <v>128.79999999999998</v>
      </c>
      <c r="BU8" s="781">
        <f>$G$195*PPH_Data_Base28[[#This Row],[Total Condenser Coil Area]]</f>
        <v>47.25</v>
      </c>
      <c r="BV8" s="781">
        <f>$G$199*PPH_Data_Base28[[#This Row],[Total Condenser Coil Area]]</f>
        <v>71.399999999999991</v>
      </c>
      <c r="BW8" s="781">
        <f>$E$185*PPH_Data_Base28[[#This Row],[Total Condenser Coil Area]]</f>
        <v>210</v>
      </c>
      <c r="BX8" s="781">
        <f>$E$188*PPH_Data_Base28[[#This Row],[Total Condenser Coil Area]]</f>
        <v>294</v>
      </c>
      <c r="BY8" s="781">
        <v>112.70920592379548</v>
      </c>
      <c r="BZ8" s="870">
        <v>69.774174172853108</v>
      </c>
      <c r="CA8" s="870">
        <v>85.618635398580523</v>
      </c>
      <c r="CB8" s="870">
        <v>56.626081612817792</v>
      </c>
      <c r="CC8" s="870">
        <v>74.152542372881356</v>
      </c>
      <c r="CD8" s="870">
        <f t="shared" ref="CD8:CD17" si="1">2*36.0169491525424</f>
        <v>72.033898305084804</v>
      </c>
      <c r="CE8" s="870">
        <v>20</v>
      </c>
      <c r="CF8" s="832">
        <v>0</v>
      </c>
      <c r="CG8" s="870">
        <f>PPH_Data_Base28[[#This Row],[PPH Unit Basic Price With Cu Tube]]*0.25</f>
        <v>798.75</v>
      </c>
      <c r="CH8" s="870">
        <f>PPH_Data_Base28[[#This Row],[DSP Unit Basic Price With Cu Tube]]*0.35</f>
        <v>0</v>
      </c>
      <c r="CI8" s="781">
        <v>89.190356144067806</v>
      </c>
      <c r="CJ8" s="781">
        <v>129.77347881355934</v>
      </c>
      <c r="CK8" s="781">
        <v>18.596238771186442</v>
      </c>
      <c r="CL8" s="781">
        <v>96.045197740112997</v>
      </c>
      <c r="CM8" s="870">
        <v>14.40677966101695</v>
      </c>
      <c r="CN8" s="781">
        <v>36.016949152542374</v>
      </c>
      <c r="CO8" s="870">
        <v>123.86332203389833</v>
      </c>
      <c r="CP8" s="781">
        <v>55.87069689265536</v>
      </c>
      <c r="CQ8" s="870">
        <v>59.412063418079093</v>
      </c>
      <c r="CR8" s="781">
        <v>248.96402542372883</v>
      </c>
      <c r="CS8" s="870">
        <v>248.08662627118645</v>
      </c>
      <c r="CT8" s="781">
        <v>432.55649717514126</v>
      </c>
      <c r="CU8" s="870">
        <v>92.15585593220338</v>
      </c>
      <c r="CV8" s="870">
        <v>248.58757062146893</v>
      </c>
      <c r="CW8" s="870">
        <f>400*1.35*PPH_Data_Base28[[#This Row],[No. of Unit  Compressors]]</f>
        <v>540</v>
      </c>
      <c r="CX8" s="835">
        <v>0</v>
      </c>
      <c r="CY8" s="871">
        <f>47*PPH_Data_Base28[[#This Row],[No. of Unit  Compressors]]*1.35</f>
        <v>63.45</v>
      </c>
      <c r="CZ8" s="871">
        <f>30*1.35*PPH_Data_Base28[[#This Row],[NO Condenser Fans]]</f>
        <v>81</v>
      </c>
      <c r="DA8" s="781">
        <f>INDEX($B$136:$F$154,MATCH(PPH_Data_Base28[[#This Row],[STD Supply Fan Motor]],$B$136:$B$154,0),5)*PPH_Data_Base28[[#This Row],[Fan QTY]]</f>
        <v>38.073067937853111</v>
      </c>
      <c r="DB8" s="871">
        <f>47*1.35*PPH_Data_Base28[[#This Row],[No. of Unit  Compressors]]</f>
        <v>63.45</v>
      </c>
      <c r="DC8" s="871">
        <f>28*PPH_Data_Base28[[#This Row],[NO Condenser Fans]]</f>
        <v>56</v>
      </c>
      <c r="DD8" s="781">
        <f>INDEX($B$136:$F$154,MATCH(PPH_Data_Base28[[#This Row],[STD Supply Fan Motor]],$B$136:$B$154,0),3)*PPH_Data_Base28[[#This Row],[Fan QTY]]</f>
        <v>24.627741525423726</v>
      </c>
      <c r="DE8" s="870">
        <f>INDEX($B$114:$C$131,MATCH(PPH_Data_Base28[[#This Row],[Compressor 1 HP]],$B$114:$B$131,0),2)*PPH_Data_Base28[[#This Row],[Compressor 1 QTY]]+IFERROR(INDEX($B$114:$C$131,MATCH(PPH_Data_Base28[[#This Row],[Compressor 2 HP]],$B$114:$B$131,0),2)*PPH_Data_Base28[[#This Row],[Compressor 2 QTY]],0)</f>
        <v>25</v>
      </c>
      <c r="DF8" s="870">
        <f>38*PPH_Data_Base28[[#This Row],[NO Condenser Fans]]</f>
        <v>76</v>
      </c>
      <c r="DG8" s="870">
        <f>INDEX($B$136:$F$154,MATCH(PPH_Data_Base28[[#This Row],[STD Supply Fan Motor]],$B$136:$B$154,0),5)*PPH_Data_Base28[[#This Row],[Fan QTY]]</f>
        <v>38.073067937853111</v>
      </c>
      <c r="DH8" s="781">
        <v>58.262711864406782</v>
      </c>
      <c r="DI8" s="781">
        <v>58.262711864406782</v>
      </c>
      <c r="DJ8" s="870">
        <f>INDEX($F$114:$G$124,MATCH(PPH_Data_Base28[[#This Row],[Compressor 1 HP]],$F$114:$F$124,0),2)</f>
        <v>2300</v>
      </c>
      <c r="DK8" s="870">
        <f>INDEX($F$114:$G$124,MATCH(PPH_Data_Base28[[#This Row],[Compressor 1 HP]],$F$114:$F$124,0),2)*PPH_Data_Base28[[#This Row],[Compressor 1 QTY]]+IFERROR(INDEX($F$114:$G$124,MATCH(PPH_Data_Base28[[#This Row],[Compressor 2 HP]],$F$114:$F$124,0),2)*PPH_Data_Base28[[#This Row],[Compressor 2 QTY]],0)</f>
        <v>2300</v>
      </c>
      <c r="DL8" s="870">
        <v>887</v>
      </c>
      <c r="DM8" s="870">
        <v>564.9717514124294</v>
      </c>
      <c r="DN8" s="870">
        <v>213.62952090395484</v>
      </c>
      <c r="DO8" s="870">
        <v>2713.4650319209045</v>
      </c>
      <c r="DP8" s="870">
        <v>173.0225988700565</v>
      </c>
      <c r="DQ8" s="781">
        <f>PPH_Data_Base28[[#This Row],[NEMA 4X For Electrical Panel]]</f>
        <v>173.0225988700565</v>
      </c>
      <c r="DR8" s="870">
        <v>173.0225988700565</v>
      </c>
      <c r="DS8" s="870">
        <v>96.045197740112997</v>
      </c>
      <c r="DT8" s="870">
        <f>PPH_Data_Base28[[#This Row],[NO Condenser Fans]]*350</f>
        <v>700</v>
      </c>
      <c r="DU8" s="870">
        <v>238.27442754237299</v>
      </c>
      <c r="DV8" s="870">
        <f>150*PPH_Data_Base28[[#This Row],[NO Condenser Fans]]</f>
        <v>300</v>
      </c>
      <c r="DW8" s="781">
        <v>757.4152542372882</v>
      </c>
      <c r="DX8" s="781">
        <v>250</v>
      </c>
      <c r="DY8" s="870">
        <v>700</v>
      </c>
      <c r="DZ8" s="870">
        <v>0</v>
      </c>
      <c r="EA8" s="870">
        <v>540</v>
      </c>
      <c r="EB8" s="870">
        <v>4.186805084745763</v>
      </c>
      <c r="EC8" s="870">
        <v>23.305084745762713</v>
      </c>
      <c r="ED8" s="870">
        <v>58.361196822033918</v>
      </c>
      <c r="EE8" s="870">
        <v>350</v>
      </c>
      <c r="EF8" s="870">
        <v>350</v>
      </c>
      <c r="EG8" s="870">
        <v>286</v>
      </c>
      <c r="EH8" s="870">
        <v>375</v>
      </c>
      <c r="EI8" s="870">
        <v>138</v>
      </c>
      <c r="EJ8" s="870">
        <v>81</v>
      </c>
      <c r="EK8" s="870">
        <v>33.75</v>
      </c>
      <c r="EL8" s="870">
        <v>67.5</v>
      </c>
      <c r="EM8" s="870">
        <v>337.5</v>
      </c>
      <c r="EN8" s="870">
        <v>67</v>
      </c>
      <c r="EO8" s="870">
        <v>371</v>
      </c>
      <c r="EP8" s="870">
        <v>385.53092711864412</v>
      </c>
      <c r="EQ8" s="870">
        <v>26</v>
      </c>
      <c r="ER8" s="870">
        <v>324</v>
      </c>
      <c r="ES8" s="870">
        <v>22</v>
      </c>
      <c r="ET8" s="870">
        <v>65</v>
      </c>
      <c r="EU8" s="870">
        <v>203</v>
      </c>
      <c r="EV8" s="870">
        <v>250</v>
      </c>
      <c r="EW8" s="847">
        <v>0</v>
      </c>
      <c r="EX8" s="781">
        <v>46.384451977401142</v>
      </c>
      <c r="EY8" s="781">
        <v>333.11975593220342</v>
      </c>
      <c r="EZ8" s="870">
        <v>19.209039548022599</v>
      </c>
      <c r="FA8" s="870">
        <v>40</v>
      </c>
      <c r="FB8" s="870">
        <v>40</v>
      </c>
      <c r="FC8" s="870">
        <v>22.775173728813563</v>
      </c>
      <c r="FD8" s="870">
        <v>22.775173728813563</v>
      </c>
      <c r="FE8" s="870">
        <v>19.774011299435031</v>
      </c>
      <c r="FF8" s="870">
        <v>26.129943502824862</v>
      </c>
      <c r="FG8" s="870" t="s">
        <v>1525</v>
      </c>
      <c r="FH8" s="870">
        <v>88.758614203392113</v>
      </c>
      <c r="FI8" s="870">
        <v>53.738911328623757</v>
      </c>
      <c r="FJ8" s="870">
        <v>26</v>
      </c>
      <c r="FK8" s="870">
        <f>PPH_Data_Base28[[#This Row],[Differential Pressure Switch]]*2</f>
        <v>52</v>
      </c>
      <c r="FL8" s="870">
        <v>42</v>
      </c>
      <c r="FM8" s="872">
        <f>PPH_Data_Base28[[#This Row],[STD PETRA DIAL DIFF.PRESS.GAUGE NOT DWYER]]*2</f>
        <v>84</v>
      </c>
      <c r="FN8" s="872">
        <v>75</v>
      </c>
      <c r="FO8" s="872">
        <f>PPH_Data_Base28[[#This Row],[Replaceble Filter Drier ]]</f>
        <v>96.045197740112997</v>
      </c>
      <c r="FP8" s="872">
        <f>PPH_Data_Base28[[#This Row],[2" Pre-Filter]]*2</f>
        <v>30.515771186440674</v>
      </c>
      <c r="FQ8" s="872">
        <f>PPH_Data_Base28[[#This Row],[Bag Filter EU-8]]</f>
        <v>176.7467855655085</v>
      </c>
      <c r="FR8" s="872">
        <v>500</v>
      </c>
      <c r="FS8" s="872">
        <v>30</v>
      </c>
      <c r="FT8" s="176"/>
      <c r="FU8" s="176"/>
      <c r="FV8" s="176"/>
      <c r="FW8" s="176"/>
      <c r="FX8" s="176"/>
      <c r="FY8" s="176"/>
      <c r="GA8" s="176"/>
      <c r="GB8" s="176"/>
      <c r="GC8" s="176"/>
      <c r="GD8" s="176"/>
      <c r="GE8" s="176"/>
      <c r="GG8" s="176"/>
      <c r="GI8" s="176"/>
      <c r="GK8" s="176"/>
      <c r="GL8" s="176"/>
      <c r="GM8" s="176"/>
      <c r="GN8" s="176"/>
      <c r="GO8" s="176"/>
      <c r="GP8" s="176"/>
      <c r="GQ8" s="176"/>
      <c r="GW8" s="176"/>
      <c r="GX8" s="176"/>
      <c r="HC8" s="176"/>
    </row>
    <row r="9" spans="1:211">
      <c r="A9" s="780" t="s">
        <v>440</v>
      </c>
      <c r="B9" s="781" t="s">
        <v>1527</v>
      </c>
      <c r="C9" s="781" t="s">
        <v>513</v>
      </c>
      <c r="D9" s="870">
        <v>0</v>
      </c>
      <c r="E9" s="870">
        <v>0</v>
      </c>
      <c r="F9" s="870">
        <v>0</v>
      </c>
      <c r="G9" s="851">
        <v>0</v>
      </c>
      <c r="H9" s="870" t="s">
        <v>2248</v>
      </c>
      <c r="I9" s="781" t="s">
        <v>744</v>
      </c>
      <c r="J9" s="781" t="s">
        <v>1523</v>
      </c>
      <c r="K9" s="781">
        <v>1</v>
      </c>
      <c r="L9" s="781" t="s">
        <v>568</v>
      </c>
      <c r="M9" s="781">
        <v>2</v>
      </c>
      <c r="N9" s="300">
        <v>2</v>
      </c>
      <c r="O9" s="781">
        <v>13.5</v>
      </c>
      <c r="P9" s="781">
        <v>4.5999999999999996</v>
      </c>
      <c r="Q9" s="781">
        <v>1</v>
      </c>
      <c r="R9" s="781">
        <v>5</v>
      </c>
      <c r="S9" s="781">
        <v>1</v>
      </c>
      <c r="T9" s="781"/>
      <c r="U9" s="781"/>
      <c r="V9" s="781">
        <v>117</v>
      </c>
      <c r="W9" s="781">
        <v>210</v>
      </c>
      <c r="X9" s="870" t="s">
        <v>411</v>
      </c>
      <c r="Y9" s="835">
        <v>0</v>
      </c>
      <c r="Z9" s="782" t="s">
        <v>1433</v>
      </c>
      <c r="AA9" s="782">
        <v>3353</v>
      </c>
      <c r="AB9" s="870"/>
      <c r="AC9" s="834">
        <v>0</v>
      </c>
      <c r="AD9" s="781">
        <v>91.454802259887018</v>
      </c>
      <c r="AE9" s="870">
        <v>78.389830508474589</v>
      </c>
      <c r="AF9" s="870">
        <v>91.454802259887018</v>
      </c>
      <c r="AG9" s="870">
        <v>109.74576271186442</v>
      </c>
      <c r="AH9" s="781">
        <v>109.74576271186442</v>
      </c>
      <c r="AI9" s="870">
        <v>94.067796610169495</v>
      </c>
      <c r="AJ9" s="870">
        <v>109.74576271186442</v>
      </c>
      <c r="AK9" s="870">
        <v>131.69491525423729</v>
      </c>
      <c r="AL9" s="870">
        <f>PPH_Data_Base28[[#This Row],[PPH Unit Basic Price With Cu Tube]]*0.05</f>
        <v>167.65</v>
      </c>
      <c r="AM9" s="781">
        <v>46.34861417899323</v>
      </c>
      <c r="AN9" s="781">
        <v>239.23497784671608</v>
      </c>
      <c r="AO9" s="781">
        <v>452.15410813029342</v>
      </c>
      <c r="AP9" s="781">
        <v>162</v>
      </c>
      <c r="AQ9" s="781">
        <v>170.10000000000002</v>
      </c>
      <c r="AR9" s="781">
        <f>0.5*242</f>
        <v>121</v>
      </c>
      <c r="AS9" s="781">
        <v>211.77090956440676</v>
      </c>
      <c r="AT9" s="781">
        <v>1317.6470146250847</v>
      </c>
      <c r="AU9" s="781">
        <v>15.257885593220337</v>
      </c>
      <c r="AV9" s="781">
        <v>176.7467855655085</v>
      </c>
      <c r="AW9" s="870">
        <v>798.32</v>
      </c>
      <c r="AX9" s="870">
        <v>266</v>
      </c>
      <c r="AY9" s="870">
        <v>471.83084218220341</v>
      </c>
      <c r="AZ9" s="870">
        <v>166.63076967823093</v>
      </c>
      <c r="BA9" s="870">
        <f t="shared" si="0"/>
        <v>255</v>
      </c>
      <c r="BB9" s="870">
        <f>PPH_Data_Base28[[#This Row],[PPH Unit Basic Price With Cu Tube]]*0.1</f>
        <v>335.3</v>
      </c>
      <c r="BC9" s="870">
        <v>33.333936663989377</v>
      </c>
      <c r="BD9" s="870">
        <v>111.11312221329793</v>
      </c>
      <c r="BE9" s="870">
        <v>37.037707404432645</v>
      </c>
      <c r="BF9" s="870">
        <v>37.037707404432645</v>
      </c>
      <c r="BG9" s="870">
        <v>37.037707404432645</v>
      </c>
      <c r="BH9" s="870">
        <f>PPH_Data_Base28[[#This Row],[PPH Unit Basic Price With Cu Tube]]*0.075</f>
        <v>251.47499999999999</v>
      </c>
      <c r="BI9" s="870">
        <v>111.11312221329793</v>
      </c>
      <c r="BJ9" s="870">
        <v>37.037707404432645</v>
      </c>
      <c r="BK9" s="870">
        <v>37.037707404432645</v>
      </c>
      <c r="BL9" s="870">
        <v>37.037707404432645</v>
      </c>
      <c r="BM9" s="781">
        <f>PPH_Data_Base28[[#This Row],[Total Condenser Coil Area]]*Naming!$M$62*4</f>
        <v>1209.5999999999999</v>
      </c>
      <c r="BN9" s="781">
        <f>PPH_Data_Base28[[#This Row],[Total Evaporator  Coil Area]]*Naming!$M$62*4</f>
        <v>412.15999999999997</v>
      </c>
      <c r="BO9" s="781">
        <f>PPH_Data_Base28[[#This Row],[Total Condenser Coil Area]]*Naming!$D$61*4</f>
        <v>18.360000000000003</v>
      </c>
      <c r="BP9" s="781">
        <f>PPH_Data_Base28[[#This Row],[Total Evaporator  Coil Area]]*Naming!$D$61*6</f>
        <v>9.3840000000000003</v>
      </c>
      <c r="BQ9" s="781">
        <f>$G$195*PPH_Data_Base28[[#This Row],[Total Evaporator  Coil Area]]</f>
        <v>20.7</v>
      </c>
      <c r="BR9" s="781">
        <f>$G$199*PPH_Data_Base28[[#This Row],[Total Evaporator  Coil Area]]</f>
        <v>31.279999999999998</v>
      </c>
      <c r="BS9" s="781">
        <f>$E$185*PPH_Data_Base28[[#This Row],[Total Evaporator  Coil Area]]</f>
        <v>92</v>
      </c>
      <c r="BT9" s="781">
        <f>$E$188*PPH_Data_Base28[[#This Row],[Total Evaporator  Coil Area]]</f>
        <v>128.79999999999998</v>
      </c>
      <c r="BU9" s="781">
        <f>$G$195*PPH_Data_Base28[[#This Row],[Total Condenser Coil Area]]</f>
        <v>60.75</v>
      </c>
      <c r="BV9" s="781">
        <f>$G$199*PPH_Data_Base28[[#This Row],[Total Condenser Coil Area]]</f>
        <v>91.8</v>
      </c>
      <c r="BW9" s="781">
        <f>$E$185*PPH_Data_Base28[[#This Row],[Total Condenser Coil Area]]</f>
        <v>270</v>
      </c>
      <c r="BX9" s="781">
        <f>$E$188*PPH_Data_Base28[[#This Row],[Total Condenser Coil Area]]</f>
        <v>378</v>
      </c>
      <c r="BY9" s="781">
        <v>112.70920592379548</v>
      </c>
      <c r="BZ9" s="870">
        <v>69.774174172853108</v>
      </c>
      <c r="CA9" s="870">
        <v>114.15818053144068</v>
      </c>
      <c r="CB9" s="870">
        <v>75.501442150423728</v>
      </c>
      <c r="CC9" s="870">
        <v>74.152542372881356</v>
      </c>
      <c r="CD9" s="870">
        <f t="shared" si="1"/>
        <v>72.033898305084804</v>
      </c>
      <c r="CE9" s="870">
        <v>20</v>
      </c>
      <c r="CF9" s="832">
        <v>0</v>
      </c>
      <c r="CG9" s="870">
        <f>PPH_Data_Base28[[#This Row],[PPH Unit Basic Price With Cu Tube]]*0.25</f>
        <v>838.25</v>
      </c>
      <c r="CH9" s="870">
        <f>PPH_Data_Base28[[#This Row],[DSP Unit Basic Price With Cu Tube]]*0.35</f>
        <v>0</v>
      </c>
      <c r="CI9" s="781">
        <v>89.190356144067806</v>
      </c>
      <c r="CJ9" s="781">
        <v>129.77347881355934</v>
      </c>
      <c r="CK9" s="781">
        <v>18.596238771186442</v>
      </c>
      <c r="CL9" s="781">
        <v>96.045197740112997</v>
      </c>
      <c r="CM9" s="870">
        <v>14.40677966101695</v>
      </c>
      <c r="CN9" s="781">
        <v>36.016949152542374</v>
      </c>
      <c r="CO9" s="870">
        <v>123.86332203389833</v>
      </c>
      <c r="CP9" s="781">
        <v>55.87069689265536</v>
      </c>
      <c r="CQ9" s="870">
        <v>59.412063418079093</v>
      </c>
      <c r="CR9" s="781">
        <v>248.96402542372883</v>
      </c>
      <c r="CS9" s="870">
        <v>254.23357542372887</v>
      </c>
      <c r="CT9" s="781">
        <v>432.55649717514126</v>
      </c>
      <c r="CU9" s="870">
        <v>92.15585593220338</v>
      </c>
      <c r="CV9" s="870">
        <v>248.58757062146893</v>
      </c>
      <c r="CW9" s="870">
        <f>400*1.35*PPH_Data_Base28[[#This Row],[No. of Unit  Compressors]]</f>
        <v>540</v>
      </c>
      <c r="CX9" s="835">
        <v>0</v>
      </c>
      <c r="CY9" s="871">
        <f>47*PPH_Data_Base28[[#This Row],[No. of Unit  Compressors]]*1.35</f>
        <v>63.45</v>
      </c>
      <c r="CZ9" s="871">
        <f>30*1.35*PPH_Data_Base28[[#This Row],[NO Condenser Fans]]</f>
        <v>81</v>
      </c>
      <c r="DA9" s="781">
        <f>INDEX($B$136:$F$154,MATCH(PPH_Data_Base28[[#This Row],[STD Supply Fan Motor]],$B$136:$B$154,0),5)*PPH_Data_Base28[[#This Row],[Fan QTY]]</f>
        <v>38.073067937853111</v>
      </c>
      <c r="DB9" s="871">
        <f>47*1.35*PPH_Data_Base28[[#This Row],[No. of Unit  Compressors]]</f>
        <v>63.45</v>
      </c>
      <c r="DC9" s="871">
        <f>28*PPH_Data_Base28[[#This Row],[NO Condenser Fans]]</f>
        <v>56</v>
      </c>
      <c r="DD9" s="781">
        <f>INDEX($B$136:$F$154,MATCH(PPH_Data_Base28[[#This Row],[STD Supply Fan Motor]],$B$136:$B$154,0),3)*PPH_Data_Base28[[#This Row],[Fan QTY]]</f>
        <v>24.627741525423726</v>
      </c>
      <c r="DE9" s="870">
        <f>INDEX($B$114:$C$131,MATCH(PPH_Data_Base28[[#This Row],[Compressor 1 HP]],$B$114:$B$131,0),2)*PPH_Data_Base28[[#This Row],[Compressor 1 QTY]]+IFERROR(INDEX($B$114:$C$131,MATCH(PPH_Data_Base28[[#This Row],[Compressor 2 HP]],$B$114:$B$131,0),2)*PPH_Data_Base28[[#This Row],[Compressor 2 QTY]],0)</f>
        <v>30</v>
      </c>
      <c r="DF9" s="870">
        <f>38*PPH_Data_Base28[[#This Row],[NO Condenser Fans]]</f>
        <v>76</v>
      </c>
      <c r="DG9" s="870">
        <f>INDEX($B$136:$F$154,MATCH(PPH_Data_Base28[[#This Row],[STD Supply Fan Motor]],$B$136:$B$154,0),5)*PPH_Data_Base28[[#This Row],[Fan QTY]]</f>
        <v>38.073067937853111</v>
      </c>
      <c r="DH9" s="781">
        <v>58.262711864406782</v>
      </c>
      <c r="DI9" s="781">
        <v>58.262711864406782</v>
      </c>
      <c r="DJ9" s="870">
        <f>INDEX($F$114:$G$124,MATCH(PPH_Data_Base28[[#This Row],[Compressor 1 HP]],$F$114:$F$124,0),2)</f>
        <v>2400</v>
      </c>
      <c r="DK9" s="870">
        <f>INDEX($F$114:$G$124,MATCH(PPH_Data_Base28[[#This Row],[Compressor 1 HP]],$F$114:$F$124,0),2)*PPH_Data_Base28[[#This Row],[Compressor 1 QTY]]+IFERROR(INDEX($F$114:$G$124,MATCH(PPH_Data_Base28[[#This Row],[Compressor 2 HP]],$F$114:$F$124,0),2)*PPH_Data_Base28[[#This Row],[Compressor 2 QTY]],0)</f>
        <v>2400</v>
      </c>
      <c r="DL9" s="870">
        <v>887</v>
      </c>
      <c r="DM9" s="870">
        <v>564.9717514124294</v>
      </c>
      <c r="DN9" s="870">
        <v>213.62952090395484</v>
      </c>
      <c r="DO9" s="870">
        <v>2713.4650319209045</v>
      </c>
      <c r="DP9" s="870">
        <v>173.0225988700565</v>
      </c>
      <c r="DQ9" s="781">
        <f>PPH_Data_Base28[[#This Row],[NEMA 4X For Electrical Panel]]</f>
        <v>173.0225988700565</v>
      </c>
      <c r="DR9" s="870">
        <v>173.0225988700565</v>
      </c>
      <c r="DS9" s="870">
        <v>108.05084745762713</v>
      </c>
      <c r="DT9" s="870">
        <f>PPH_Data_Base28[[#This Row],[NO Condenser Fans]]*350</f>
        <v>700</v>
      </c>
      <c r="DU9" s="870">
        <v>238.27442754237299</v>
      </c>
      <c r="DV9" s="870">
        <f>150*PPH_Data_Base28[[#This Row],[NO Condenser Fans]]</f>
        <v>300</v>
      </c>
      <c r="DW9" s="781">
        <v>757.4152542372882</v>
      </c>
      <c r="DX9" s="781">
        <v>250</v>
      </c>
      <c r="DY9" s="870">
        <v>700</v>
      </c>
      <c r="DZ9" s="870">
        <v>100</v>
      </c>
      <c r="EA9" s="870">
        <v>540</v>
      </c>
      <c r="EB9" s="870">
        <v>4.186805084745763</v>
      </c>
      <c r="EC9" s="870">
        <v>23.305084745762713</v>
      </c>
      <c r="ED9" s="870">
        <v>58.361196822033918</v>
      </c>
      <c r="EE9" s="870">
        <v>350</v>
      </c>
      <c r="EF9" s="870">
        <v>350</v>
      </c>
      <c r="EG9" s="870">
        <v>286</v>
      </c>
      <c r="EH9" s="870">
        <v>375</v>
      </c>
      <c r="EI9" s="870">
        <v>138</v>
      </c>
      <c r="EJ9" s="870">
        <v>81</v>
      </c>
      <c r="EK9" s="870">
        <v>33.75</v>
      </c>
      <c r="EL9" s="870">
        <v>67.5</v>
      </c>
      <c r="EM9" s="870">
        <v>337.5</v>
      </c>
      <c r="EN9" s="870">
        <v>67</v>
      </c>
      <c r="EO9" s="870">
        <v>371</v>
      </c>
      <c r="EP9" s="870">
        <v>385.53092711864412</v>
      </c>
      <c r="EQ9" s="870">
        <v>26</v>
      </c>
      <c r="ER9" s="870">
        <v>324</v>
      </c>
      <c r="ES9" s="870">
        <v>22</v>
      </c>
      <c r="ET9" s="870">
        <v>65</v>
      </c>
      <c r="EU9" s="870">
        <v>203</v>
      </c>
      <c r="EV9" s="870">
        <v>250</v>
      </c>
      <c r="EW9" s="847">
        <v>0</v>
      </c>
      <c r="EX9" s="781">
        <v>46.384451977401142</v>
      </c>
      <c r="EY9" s="781">
        <v>333.11975593220342</v>
      </c>
      <c r="EZ9" s="870">
        <v>19.209039548022599</v>
      </c>
      <c r="FA9" s="870">
        <v>40</v>
      </c>
      <c r="FB9" s="870">
        <v>40</v>
      </c>
      <c r="FC9" s="870">
        <v>22.775173728813563</v>
      </c>
      <c r="FD9" s="870">
        <v>22.775173728813563</v>
      </c>
      <c r="FE9" s="870">
        <v>19.774011299435031</v>
      </c>
      <c r="FF9" s="870">
        <v>26.129943502824862</v>
      </c>
      <c r="FG9" s="870" t="s">
        <v>1525</v>
      </c>
      <c r="FH9" s="870">
        <v>88.758614203392113</v>
      </c>
      <c r="FI9" s="870">
        <v>53.738911328623757</v>
      </c>
      <c r="FJ9" s="870">
        <v>26</v>
      </c>
      <c r="FK9" s="870">
        <f>PPH_Data_Base28[[#This Row],[Differential Pressure Switch]]*2</f>
        <v>52</v>
      </c>
      <c r="FL9" s="870">
        <v>42</v>
      </c>
      <c r="FM9" s="872">
        <f>PPH_Data_Base28[[#This Row],[STD PETRA DIAL DIFF.PRESS.GAUGE NOT DWYER]]*2</f>
        <v>84</v>
      </c>
      <c r="FN9" s="872">
        <v>75</v>
      </c>
      <c r="FO9" s="872">
        <f>PPH_Data_Base28[[#This Row],[Replaceble Filter Drier ]]</f>
        <v>96.045197740112997</v>
      </c>
      <c r="FP9" s="872">
        <f>PPH_Data_Base28[[#This Row],[2" Pre-Filter]]*2</f>
        <v>30.515771186440674</v>
      </c>
      <c r="FQ9" s="872">
        <f>PPH_Data_Base28[[#This Row],[Bag Filter EU-8]]</f>
        <v>176.7467855655085</v>
      </c>
      <c r="FR9" s="872">
        <v>500</v>
      </c>
      <c r="FS9" s="872">
        <v>30</v>
      </c>
      <c r="FT9" s="176"/>
      <c r="FU9" s="176"/>
      <c r="FV9" s="176"/>
      <c r="FW9" s="176"/>
      <c r="FX9" s="176"/>
      <c r="FY9" s="176"/>
      <c r="GA9" s="176"/>
      <c r="GB9" s="176"/>
      <c r="GC9" s="176"/>
      <c r="GD9" s="176"/>
      <c r="GE9" s="176"/>
      <c r="GG9" s="176"/>
      <c r="GI9" s="176"/>
      <c r="GK9" s="176"/>
      <c r="GL9" s="176"/>
      <c r="GM9" s="176"/>
      <c r="GN9" s="176"/>
      <c r="GO9" s="176"/>
      <c r="GP9" s="176"/>
      <c r="GQ9" s="176"/>
      <c r="GW9" s="176"/>
      <c r="GX9" s="176"/>
      <c r="HC9" s="176"/>
    </row>
    <row r="10" spans="1:211">
      <c r="A10" s="780" t="s">
        <v>441</v>
      </c>
      <c r="B10" s="781" t="s">
        <v>1529</v>
      </c>
      <c r="C10" s="781" t="s">
        <v>514</v>
      </c>
      <c r="D10" s="870" t="s">
        <v>1531</v>
      </c>
      <c r="E10" s="870" t="s">
        <v>1530</v>
      </c>
      <c r="F10" s="870" t="s">
        <v>1532</v>
      </c>
      <c r="G10" s="851">
        <v>0</v>
      </c>
      <c r="H10" s="870" t="s">
        <v>2248</v>
      </c>
      <c r="I10" s="781" t="s">
        <v>1528</v>
      </c>
      <c r="J10" s="781" t="s">
        <v>1523</v>
      </c>
      <c r="K10" s="781">
        <v>1</v>
      </c>
      <c r="L10" s="781" t="s">
        <v>568</v>
      </c>
      <c r="M10" s="781">
        <v>2</v>
      </c>
      <c r="N10" s="300">
        <v>2</v>
      </c>
      <c r="O10" s="781">
        <v>13.5</v>
      </c>
      <c r="P10" s="781">
        <v>4.5999999999999996</v>
      </c>
      <c r="Q10" s="781">
        <v>1</v>
      </c>
      <c r="R10" s="781">
        <v>8</v>
      </c>
      <c r="S10" s="781">
        <v>1</v>
      </c>
      <c r="T10" s="781"/>
      <c r="U10" s="781"/>
      <c r="V10" s="781">
        <v>117</v>
      </c>
      <c r="W10" s="781">
        <v>210</v>
      </c>
      <c r="X10" s="870"/>
      <c r="Y10" s="835">
        <v>0</v>
      </c>
      <c r="Z10" s="782" t="s">
        <v>1433</v>
      </c>
      <c r="AA10" s="782">
        <v>4107</v>
      </c>
      <c r="AB10" s="870">
        <v>2723</v>
      </c>
      <c r="AC10" s="834">
        <v>0</v>
      </c>
      <c r="AD10" s="781">
        <v>91.454802259887018</v>
      </c>
      <c r="AE10" s="870">
        <v>78.389830508474589</v>
      </c>
      <c r="AF10" s="870">
        <v>91.454802259887018</v>
      </c>
      <c r="AG10" s="870">
        <v>109.74576271186442</v>
      </c>
      <c r="AH10" s="781">
        <v>109.74576271186442</v>
      </c>
      <c r="AI10" s="870">
        <v>94.067796610169495</v>
      </c>
      <c r="AJ10" s="870">
        <v>109.74576271186442</v>
      </c>
      <c r="AK10" s="870">
        <v>131.69491525423729</v>
      </c>
      <c r="AL10" s="870">
        <f>PPH_Data_Base28[[#This Row],[PPH Unit Basic Price With Cu Tube]]*0.05</f>
        <v>205.35000000000002</v>
      </c>
      <c r="AM10" s="781">
        <v>46.34861417899323</v>
      </c>
      <c r="AN10" s="781">
        <v>239.23497784671608</v>
      </c>
      <c r="AO10" s="781">
        <v>452.15410813029342</v>
      </c>
      <c r="AP10" s="781">
        <v>202.5</v>
      </c>
      <c r="AQ10" s="781">
        <v>170.10000000000002</v>
      </c>
      <c r="AR10" s="781">
        <f>0.5*242</f>
        <v>121</v>
      </c>
      <c r="AS10" s="781">
        <v>211.77090956440676</v>
      </c>
      <c r="AT10" s="781">
        <v>1317.6470146250847</v>
      </c>
      <c r="AU10" s="781">
        <v>15.257885593220337</v>
      </c>
      <c r="AV10" s="781">
        <v>176.7467855655085</v>
      </c>
      <c r="AW10" s="870">
        <v>798.32</v>
      </c>
      <c r="AX10" s="870">
        <v>266</v>
      </c>
      <c r="AY10" s="870">
        <v>471.83084218220341</v>
      </c>
      <c r="AZ10" s="870">
        <v>166.63076967823093</v>
      </c>
      <c r="BA10" s="870">
        <f t="shared" si="0"/>
        <v>255</v>
      </c>
      <c r="BB10" s="870">
        <f>PPH_Data_Base28[[#This Row],[PPH Unit Basic Price With Cu Tube]]*0.1</f>
        <v>410.70000000000005</v>
      </c>
      <c r="BC10" s="870">
        <v>42.536023545803964</v>
      </c>
      <c r="BD10" s="870">
        <v>141.78674515267988</v>
      </c>
      <c r="BE10" s="870">
        <v>47.262248384226631</v>
      </c>
      <c r="BF10" s="870">
        <v>47.262248384226631</v>
      </c>
      <c r="BG10" s="870">
        <v>47.262248384226631</v>
      </c>
      <c r="BH10" s="870">
        <f>PPH_Data_Base28[[#This Row],[PPH Unit Basic Price With Cu Tube]]*0.075</f>
        <v>308.02499999999998</v>
      </c>
      <c r="BI10" s="870">
        <v>141.78674515267988</v>
      </c>
      <c r="BJ10" s="870">
        <v>47.262248384226631</v>
      </c>
      <c r="BK10" s="870">
        <v>47.262248384226631</v>
      </c>
      <c r="BL10" s="870">
        <v>47.262248384226631</v>
      </c>
      <c r="BM10" s="781">
        <f>PPH_Data_Base28[[#This Row],[Total Condenser Coil Area]]*Naming!$M$62*4</f>
        <v>1209.5999999999999</v>
      </c>
      <c r="BN10" s="781">
        <f>PPH_Data_Base28[[#This Row],[Total Evaporator  Coil Area]]*Naming!$M$62*4</f>
        <v>412.15999999999997</v>
      </c>
      <c r="BO10" s="781">
        <f>PPH_Data_Base28[[#This Row],[Total Condenser Coil Area]]*Naming!$D$61*4</f>
        <v>18.360000000000003</v>
      </c>
      <c r="BP10" s="781">
        <f>PPH_Data_Base28[[#This Row],[Total Evaporator  Coil Area]]*Naming!$D$61*6</f>
        <v>9.3840000000000003</v>
      </c>
      <c r="BQ10" s="781">
        <f>$G$195*PPH_Data_Base28[[#This Row],[Total Evaporator  Coil Area]]</f>
        <v>20.7</v>
      </c>
      <c r="BR10" s="781">
        <f>$G$199*PPH_Data_Base28[[#This Row],[Total Evaporator  Coil Area]]</f>
        <v>31.279999999999998</v>
      </c>
      <c r="BS10" s="781">
        <f>$E$185*PPH_Data_Base28[[#This Row],[Total Evaporator  Coil Area]]</f>
        <v>92</v>
      </c>
      <c r="BT10" s="781">
        <f>$E$188*PPH_Data_Base28[[#This Row],[Total Evaporator  Coil Area]]</f>
        <v>128.79999999999998</v>
      </c>
      <c r="BU10" s="781">
        <f>$G$195*PPH_Data_Base28[[#This Row],[Total Condenser Coil Area]]</f>
        <v>60.75</v>
      </c>
      <c r="BV10" s="781">
        <f>$G$199*PPH_Data_Base28[[#This Row],[Total Condenser Coil Area]]</f>
        <v>91.8</v>
      </c>
      <c r="BW10" s="781">
        <f>$E$185*PPH_Data_Base28[[#This Row],[Total Condenser Coil Area]]</f>
        <v>270</v>
      </c>
      <c r="BX10" s="781">
        <f>$E$188*PPH_Data_Base28[[#This Row],[Total Condenser Coil Area]]</f>
        <v>378</v>
      </c>
      <c r="BY10" s="781">
        <v>112.70920592379548</v>
      </c>
      <c r="BZ10" s="870">
        <v>69.774174172853108</v>
      </c>
      <c r="CA10" s="870">
        <v>114.15818053144068</v>
      </c>
      <c r="CB10" s="870">
        <v>75.501442150423728</v>
      </c>
      <c r="CC10" s="870">
        <v>74.152542372881356</v>
      </c>
      <c r="CD10" s="870">
        <f t="shared" si="1"/>
        <v>72.033898305084804</v>
      </c>
      <c r="CE10" s="870">
        <v>20</v>
      </c>
      <c r="CF10" s="832">
        <v>0</v>
      </c>
      <c r="CG10" s="870">
        <f>PPH_Data_Base28[[#This Row],[PPH Unit Basic Price With Cu Tube]]*0.25</f>
        <v>1026.75</v>
      </c>
      <c r="CH10" s="870">
        <f>PPH_Data_Base28[[#This Row],[DSP Unit Basic Price With Cu Tube]]*0.35</f>
        <v>953.05</v>
      </c>
      <c r="CI10" s="781">
        <v>89.190356144067806</v>
      </c>
      <c r="CJ10" s="781">
        <v>129.77347881355934</v>
      </c>
      <c r="CK10" s="781">
        <v>18.596238771186442</v>
      </c>
      <c r="CL10" s="781">
        <v>96.045197740112997</v>
      </c>
      <c r="CM10" s="870">
        <v>14.40677966101695</v>
      </c>
      <c r="CN10" s="781">
        <v>52.824858757062145</v>
      </c>
      <c r="CO10" s="870">
        <v>0</v>
      </c>
      <c r="CP10" s="781">
        <v>86.306595268361576</v>
      </c>
      <c r="CQ10" s="870">
        <v>80.752048163841806</v>
      </c>
      <c r="CR10" s="781">
        <v>248.96402542372883</v>
      </c>
      <c r="CS10" s="870">
        <v>368.28734576271199</v>
      </c>
      <c r="CT10" s="781">
        <v>432.55649717514126</v>
      </c>
      <c r="CU10" s="870">
        <v>92.15585593220338</v>
      </c>
      <c r="CV10" s="870">
        <v>248.58757062146893</v>
      </c>
      <c r="CW10" s="870">
        <f>400*1.35*PPH_Data_Base28[[#This Row],[No. of Unit  Compressors]]</f>
        <v>540</v>
      </c>
      <c r="CX10" s="835">
        <v>0</v>
      </c>
      <c r="CY10" s="871">
        <f>47*PPH_Data_Base28[[#This Row],[No. of Unit  Compressors]]*1.35</f>
        <v>63.45</v>
      </c>
      <c r="CZ10" s="871">
        <f>30*1.35*PPH_Data_Base28[[#This Row],[NO Condenser Fans]]</f>
        <v>81</v>
      </c>
      <c r="DA10" s="781">
        <f>INDEX($B$136:$F$154,MATCH(PPH_Data_Base28[[#This Row],[STD Supply Fan Motor]],$B$136:$B$154,0),5)*PPH_Data_Base28[[#This Row],[Fan QTY]]</f>
        <v>38.073067937853111</v>
      </c>
      <c r="DB10" s="871">
        <f>47*1.35*PPH_Data_Base28[[#This Row],[No. of Unit  Compressors]]</f>
        <v>63.45</v>
      </c>
      <c r="DC10" s="871">
        <f>28*PPH_Data_Base28[[#This Row],[NO Condenser Fans]]</f>
        <v>56</v>
      </c>
      <c r="DD10" s="781">
        <f>INDEX($B$136:$F$154,MATCH(PPH_Data_Base28[[#This Row],[STD Supply Fan Motor]],$B$136:$B$154,0),3)*PPH_Data_Base28[[#This Row],[Fan QTY]]</f>
        <v>24.627741525423726</v>
      </c>
      <c r="DE10" s="870">
        <f>INDEX($B$114:$C$131,MATCH(PPH_Data_Base28[[#This Row],[Compressor 1 HP]],$B$114:$B$131,0),2)*PPH_Data_Base28[[#This Row],[Compressor 1 QTY]]+IFERROR(INDEX($B$114:$C$131,MATCH(PPH_Data_Base28[[#This Row],[Compressor 2 HP]],$B$114:$B$131,0),2)*PPH_Data_Base28[[#This Row],[Compressor 2 QTY]],0)</f>
        <v>30</v>
      </c>
      <c r="DF10" s="870">
        <f>38*PPH_Data_Base28[[#This Row],[NO Condenser Fans]]</f>
        <v>76</v>
      </c>
      <c r="DG10" s="870">
        <f>INDEX($B$136:$F$154,MATCH(PPH_Data_Base28[[#This Row],[STD Supply Fan Motor]],$B$136:$B$154,0),5)*PPH_Data_Base28[[#This Row],[Fan QTY]]</f>
        <v>38.073067937853111</v>
      </c>
      <c r="DH10" s="781">
        <v>58.262711864406782</v>
      </c>
      <c r="DI10" s="781">
        <v>58.262711864406782</v>
      </c>
      <c r="DJ10" s="870">
        <f>INDEX($F$114:$G$124,MATCH(PPH_Data_Base28[[#This Row],[Compressor 1 HP]],$F$114:$F$124,0),2)</f>
        <v>2500</v>
      </c>
      <c r="DK10" s="870">
        <f>INDEX($F$114:$G$124,MATCH(PPH_Data_Base28[[#This Row],[Compressor 1 HP]],$F$114:$F$124,0),2)*PPH_Data_Base28[[#This Row],[Compressor 1 QTY]]+IFERROR(INDEX($F$114:$G$124,MATCH(PPH_Data_Base28[[#This Row],[Compressor 2 HP]],$F$114:$F$124,0),2)*PPH_Data_Base28[[#This Row],[Compressor 2 QTY]],0)</f>
        <v>2500</v>
      </c>
      <c r="DL10" s="870">
        <v>887</v>
      </c>
      <c r="DM10" s="870">
        <v>564.9717514124294</v>
      </c>
      <c r="DN10" s="870">
        <v>213.62952090395484</v>
      </c>
      <c r="DO10" s="870">
        <v>2713.4650319209045</v>
      </c>
      <c r="DP10" s="870">
        <v>173.0225988700565</v>
      </c>
      <c r="DQ10" s="781">
        <f>PPH_Data_Base28[[#This Row],[NEMA 4X For Electrical Panel]]</f>
        <v>173.0225988700565</v>
      </c>
      <c r="DR10" s="870">
        <v>173.0225988700565</v>
      </c>
      <c r="DS10" s="870">
        <v>108.05084745762713</v>
      </c>
      <c r="DT10" s="870">
        <f>PPH_Data_Base28[[#This Row],[NO Condenser Fans]]*350</f>
        <v>700</v>
      </c>
      <c r="DU10" s="870">
        <v>238.27442754237299</v>
      </c>
      <c r="DV10" s="870">
        <f>150*PPH_Data_Base28[[#This Row],[NO Condenser Fans]]</f>
        <v>300</v>
      </c>
      <c r="DW10" s="781">
        <v>757.4152542372882</v>
      </c>
      <c r="DX10" s="781">
        <v>250</v>
      </c>
      <c r="DY10" s="870">
        <v>700</v>
      </c>
      <c r="DZ10" s="870">
        <v>100</v>
      </c>
      <c r="EA10" s="870">
        <v>540</v>
      </c>
      <c r="EB10" s="870">
        <v>4.186805084745763</v>
      </c>
      <c r="EC10" s="870">
        <v>23.305084745762713</v>
      </c>
      <c r="ED10" s="870">
        <v>58.361196822033918</v>
      </c>
      <c r="EE10" s="870">
        <v>350</v>
      </c>
      <c r="EF10" s="870">
        <v>350</v>
      </c>
      <c r="EG10" s="870">
        <v>286</v>
      </c>
      <c r="EH10" s="870">
        <v>375</v>
      </c>
      <c r="EI10" s="870">
        <v>138</v>
      </c>
      <c r="EJ10" s="870">
        <v>81</v>
      </c>
      <c r="EK10" s="870">
        <v>33.75</v>
      </c>
      <c r="EL10" s="870">
        <v>67.5</v>
      </c>
      <c r="EM10" s="870">
        <v>337.5</v>
      </c>
      <c r="EN10" s="870">
        <v>67</v>
      </c>
      <c r="EO10" s="870">
        <v>371</v>
      </c>
      <c r="EP10" s="870">
        <v>385.53092711864412</v>
      </c>
      <c r="EQ10" s="870">
        <v>26</v>
      </c>
      <c r="ER10" s="870">
        <v>324</v>
      </c>
      <c r="ES10" s="870">
        <v>22</v>
      </c>
      <c r="ET10" s="870">
        <v>65</v>
      </c>
      <c r="EU10" s="870">
        <v>203</v>
      </c>
      <c r="EV10" s="870">
        <v>250</v>
      </c>
      <c r="EW10" s="847">
        <v>0</v>
      </c>
      <c r="EX10" s="781">
        <v>46.384451977401142</v>
      </c>
      <c r="EY10" s="781">
        <v>333.11975593220342</v>
      </c>
      <c r="EZ10" s="870">
        <v>19.209039548022599</v>
      </c>
      <c r="FA10" s="870">
        <v>40</v>
      </c>
      <c r="FB10" s="870">
        <v>40</v>
      </c>
      <c r="FC10" s="870">
        <v>22.775173728813563</v>
      </c>
      <c r="FD10" s="870">
        <v>22.775173728813563</v>
      </c>
      <c r="FE10" s="870">
        <v>19.774011299435031</v>
      </c>
      <c r="FF10" s="870">
        <v>26.129943502824862</v>
      </c>
      <c r="FG10" s="870">
        <v>200</v>
      </c>
      <c r="FH10" s="870">
        <v>88.758614203392113</v>
      </c>
      <c r="FI10" s="870">
        <v>53.738911328623757</v>
      </c>
      <c r="FJ10" s="870">
        <v>26</v>
      </c>
      <c r="FK10" s="870">
        <f>PPH_Data_Base28[[#This Row],[Differential Pressure Switch]]*2</f>
        <v>52</v>
      </c>
      <c r="FL10" s="870">
        <v>42</v>
      </c>
      <c r="FM10" s="872">
        <f>PPH_Data_Base28[[#This Row],[STD PETRA DIAL DIFF.PRESS.GAUGE NOT DWYER]]*2</f>
        <v>84</v>
      </c>
      <c r="FN10" s="872">
        <v>75</v>
      </c>
      <c r="FO10" s="872">
        <f>PPH_Data_Base28[[#This Row],[Replaceble Filter Drier ]]</f>
        <v>96.045197740112997</v>
      </c>
      <c r="FP10" s="872">
        <f>PPH_Data_Base28[[#This Row],[2" Pre-Filter]]*2</f>
        <v>30.515771186440674</v>
      </c>
      <c r="FQ10" s="872">
        <f>PPH_Data_Base28[[#This Row],[Bag Filter EU-8]]</f>
        <v>176.7467855655085</v>
      </c>
      <c r="FR10" s="872">
        <v>500</v>
      </c>
      <c r="FS10" s="872">
        <v>30</v>
      </c>
      <c r="FT10" s="176"/>
      <c r="FU10" s="176"/>
      <c r="FV10" s="176"/>
      <c r="FW10" s="176"/>
      <c r="FX10" s="176"/>
      <c r="FY10" s="176"/>
      <c r="GA10" s="176"/>
      <c r="GB10" s="176"/>
      <c r="GC10" s="176"/>
      <c r="GD10" s="176"/>
      <c r="GE10" s="176"/>
      <c r="GG10" s="176"/>
      <c r="GI10" s="176"/>
      <c r="GK10" s="176"/>
      <c r="GL10" s="176"/>
      <c r="GM10" s="176"/>
      <c r="GN10" s="176"/>
      <c r="GO10" s="176"/>
      <c r="GP10" s="176"/>
      <c r="GQ10" s="176"/>
      <c r="GW10" s="176"/>
      <c r="GX10" s="176"/>
      <c r="HC10" s="176"/>
    </row>
    <row r="11" spans="1:211">
      <c r="A11" s="780" t="s">
        <v>442</v>
      </c>
      <c r="B11" s="781" t="s">
        <v>1533</v>
      </c>
      <c r="C11" s="781" t="s">
        <v>515</v>
      </c>
      <c r="D11" s="870" t="s">
        <v>1535</v>
      </c>
      <c r="E11" s="870" t="s">
        <v>1534</v>
      </c>
      <c r="F11" s="870" t="s">
        <v>1536</v>
      </c>
      <c r="G11" s="851">
        <v>0</v>
      </c>
      <c r="H11" s="870" t="s">
        <v>2248</v>
      </c>
      <c r="I11" s="781" t="s">
        <v>1528</v>
      </c>
      <c r="J11" s="781" t="s">
        <v>1523</v>
      </c>
      <c r="K11" s="781">
        <v>1</v>
      </c>
      <c r="L11" s="781" t="s">
        <v>568</v>
      </c>
      <c r="M11" s="781">
        <v>2</v>
      </c>
      <c r="N11" s="300">
        <v>2</v>
      </c>
      <c r="O11" s="781">
        <v>13.5</v>
      </c>
      <c r="P11" s="781">
        <v>4.5999999999999996</v>
      </c>
      <c r="Q11" s="781">
        <v>2</v>
      </c>
      <c r="R11" s="781">
        <v>4</v>
      </c>
      <c r="S11" s="781">
        <v>1</v>
      </c>
      <c r="T11" s="781">
        <v>3</v>
      </c>
      <c r="U11" s="781">
        <v>1</v>
      </c>
      <c r="V11" s="781">
        <v>117</v>
      </c>
      <c r="W11" s="781">
        <v>210</v>
      </c>
      <c r="X11" s="870" t="s">
        <v>409</v>
      </c>
      <c r="Y11" s="835">
        <v>0</v>
      </c>
      <c r="Z11" s="782" t="s">
        <v>1433</v>
      </c>
      <c r="AA11" s="782">
        <v>4600</v>
      </c>
      <c r="AB11" s="870">
        <f>AB10*1.1</f>
        <v>2995.3</v>
      </c>
      <c r="AC11" s="834">
        <v>0</v>
      </c>
      <c r="AD11" s="781">
        <v>91.454802259887018</v>
      </c>
      <c r="AE11" s="870">
        <v>78.389830508474589</v>
      </c>
      <c r="AF11" s="870">
        <v>91.454802259887018</v>
      </c>
      <c r="AG11" s="870">
        <v>109.74576271186442</v>
      </c>
      <c r="AH11" s="781">
        <v>109.74576271186442</v>
      </c>
      <c r="AI11" s="870">
        <v>94.067796610169495</v>
      </c>
      <c r="AJ11" s="870">
        <v>109.74576271186442</v>
      </c>
      <c r="AK11" s="870">
        <v>131.69491525423729</v>
      </c>
      <c r="AL11" s="870">
        <f>PPH_Data_Base28[[#This Row],[PPH Unit Basic Price With Cu Tube]]*0.05</f>
        <v>230</v>
      </c>
      <c r="AM11" s="781">
        <v>46.34861417899323</v>
      </c>
      <c r="AN11" s="781">
        <v>239.23497784671608</v>
      </c>
      <c r="AO11" s="781">
        <v>452.15410813029342</v>
      </c>
      <c r="AP11" s="781">
        <v>202.5</v>
      </c>
      <c r="AQ11" s="781">
        <v>170.10000000000002</v>
      </c>
      <c r="AR11" s="781">
        <f>0.5*242</f>
        <v>121</v>
      </c>
      <c r="AS11" s="781">
        <v>211.77090956440676</v>
      </c>
      <c r="AT11" s="781">
        <v>1317.6470146250847</v>
      </c>
      <c r="AU11" s="781">
        <v>15.257885593220337</v>
      </c>
      <c r="AV11" s="781">
        <v>176.7467855655085</v>
      </c>
      <c r="AW11" s="870">
        <v>900.32</v>
      </c>
      <c r="AX11" s="870">
        <v>266</v>
      </c>
      <c r="AY11" s="870">
        <v>471.83084218220341</v>
      </c>
      <c r="AZ11" s="870">
        <v>166.63076967823093</v>
      </c>
      <c r="BA11" s="870">
        <f t="shared" si="0"/>
        <v>255</v>
      </c>
      <c r="BB11" s="870">
        <f>PPH_Data_Base28[[#This Row],[PPH Unit Basic Price With Cu Tube]]*0.1</f>
        <v>460</v>
      </c>
      <c r="BC11" s="870">
        <v>49.731323473786247</v>
      </c>
      <c r="BD11" s="870">
        <v>165.77107824595416</v>
      </c>
      <c r="BE11" s="870">
        <v>55.257026081984719</v>
      </c>
      <c r="BF11" s="870">
        <v>55.257026081984719</v>
      </c>
      <c r="BG11" s="870">
        <v>55.257026081984719</v>
      </c>
      <c r="BH11" s="870">
        <f>PPH_Data_Base28[[#This Row],[PPH Unit Basic Price With Cu Tube]]*0.075</f>
        <v>345</v>
      </c>
      <c r="BI11" s="870">
        <v>165.77107824595416</v>
      </c>
      <c r="BJ11" s="870">
        <v>55.257026081984719</v>
      </c>
      <c r="BK11" s="870">
        <v>55.257026081984719</v>
      </c>
      <c r="BL11" s="870">
        <v>55.257026081984719</v>
      </c>
      <c r="BM11" s="781">
        <f>PPH_Data_Base28[[#This Row],[Total Condenser Coil Area]]*Naming!$M$62*4</f>
        <v>1209.5999999999999</v>
      </c>
      <c r="BN11" s="781">
        <f>PPH_Data_Base28[[#This Row],[Total Evaporator  Coil Area]]*Naming!$M$62*4</f>
        <v>412.15999999999997</v>
      </c>
      <c r="BO11" s="781">
        <f>PPH_Data_Base28[[#This Row],[Total Condenser Coil Area]]*Naming!$D$61*4</f>
        <v>18.360000000000003</v>
      </c>
      <c r="BP11" s="781">
        <f>PPH_Data_Base28[[#This Row],[Total Evaporator  Coil Area]]*Naming!$D$61*6</f>
        <v>9.3840000000000003</v>
      </c>
      <c r="BQ11" s="781">
        <f>$G$195*PPH_Data_Base28[[#This Row],[Total Evaporator  Coil Area]]</f>
        <v>20.7</v>
      </c>
      <c r="BR11" s="781">
        <f>$G$199*PPH_Data_Base28[[#This Row],[Total Evaporator  Coil Area]]</f>
        <v>31.279999999999998</v>
      </c>
      <c r="BS11" s="781">
        <f>$E$185*PPH_Data_Base28[[#This Row],[Total Evaporator  Coil Area]]</f>
        <v>92</v>
      </c>
      <c r="BT11" s="781">
        <f>$E$188*PPH_Data_Base28[[#This Row],[Total Evaporator  Coil Area]]</f>
        <v>128.79999999999998</v>
      </c>
      <c r="BU11" s="781">
        <f>$G$195*PPH_Data_Base28[[#This Row],[Total Condenser Coil Area]]</f>
        <v>60.75</v>
      </c>
      <c r="BV11" s="781">
        <f>$G$199*PPH_Data_Base28[[#This Row],[Total Condenser Coil Area]]</f>
        <v>91.8</v>
      </c>
      <c r="BW11" s="781">
        <f>$E$185*PPH_Data_Base28[[#This Row],[Total Condenser Coil Area]]</f>
        <v>270</v>
      </c>
      <c r="BX11" s="781">
        <f>$E$188*PPH_Data_Base28[[#This Row],[Total Condenser Coil Area]]</f>
        <v>378</v>
      </c>
      <c r="BY11" s="781">
        <v>112.70920592379548</v>
      </c>
      <c r="BZ11" s="870">
        <v>69.774174172853108</v>
      </c>
      <c r="CA11" s="870">
        <v>114.15818053144068</v>
      </c>
      <c r="CB11" s="870">
        <v>75.501442150423728</v>
      </c>
      <c r="CC11" s="870">
        <v>74.152542372881356</v>
      </c>
      <c r="CD11" s="870">
        <f t="shared" si="1"/>
        <v>72.033898305084804</v>
      </c>
      <c r="CE11" s="870">
        <v>20</v>
      </c>
      <c r="CF11" s="832">
        <v>0</v>
      </c>
      <c r="CG11" s="870">
        <f>PPH_Data_Base28[[#This Row],[PPH Unit Basic Price With Cu Tube]]*0.25</f>
        <v>1150</v>
      </c>
      <c r="CH11" s="870">
        <f>PPH_Data_Base28[[#This Row],[DSP Unit Basic Price With Cu Tube]]*0.35</f>
        <v>1048.355</v>
      </c>
      <c r="CI11" s="781">
        <v>178.38071228813561</v>
      </c>
      <c r="CJ11" s="781">
        <v>259.54695762711867</v>
      </c>
      <c r="CK11" s="781">
        <v>37.192477542372885</v>
      </c>
      <c r="CL11" s="781">
        <v>192.09039548022599</v>
      </c>
      <c r="CM11" s="870">
        <v>28.8135593220339</v>
      </c>
      <c r="CN11" s="781">
        <v>72.033898305084747</v>
      </c>
      <c r="CO11" s="870">
        <v>247.72664406779666</v>
      </c>
      <c r="CP11" s="781">
        <v>95.210957556497178</v>
      </c>
      <c r="CQ11" s="870">
        <v>118.82412683615819</v>
      </c>
      <c r="CR11" s="781">
        <v>248.96402542372883</v>
      </c>
      <c r="CS11" s="870">
        <v>459.21488389830506</v>
      </c>
      <c r="CT11" s="781">
        <v>865.11299435028252</v>
      </c>
      <c r="CU11" s="870">
        <v>184.31171186440676</v>
      </c>
      <c r="CV11" s="870">
        <v>497.17514124293785</v>
      </c>
      <c r="CW11" s="870">
        <f>400*1.35*PPH_Data_Base28[[#This Row],[No. of Unit  Compressors]]</f>
        <v>1080</v>
      </c>
      <c r="CX11" s="835">
        <v>0</v>
      </c>
      <c r="CY11" s="871">
        <f>47*PPH_Data_Base28[[#This Row],[No. of Unit  Compressors]]*1.35</f>
        <v>126.9</v>
      </c>
      <c r="CZ11" s="871">
        <f>30*1.35*PPH_Data_Base28[[#This Row],[NO Condenser Fans]]</f>
        <v>81</v>
      </c>
      <c r="DA11" s="781">
        <f>INDEX($B$136:$F$154,MATCH(PPH_Data_Base28[[#This Row],[STD Supply Fan Motor]],$B$136:$B$154,0),5)*PPH_Data_Base28[[#This Row],[Fan QTY]]</f>
        <v>38.073067937853111</v>
      </c>
      <c r="DB11" s="871">
        <f>47*1.35*PPH_Data_Base28[[#This Row],[No. of Unit  Compressors]]</f>
        <v>126.9</v>
      </c>
      <c r="DC11" s="871">
        <f>28*PPH_Data_Base28[[#This Row],[NO Condenser Fans]]</f>
        <v>56</v>
      </c>
      <c r="DD11" s="781">
        <f>INDEX($B$136:$F$154,MATCH(PPH_Data_Base28[[#This Row],[STD Supply Fan Motor]],$B$136:$B$154,0),3)*PPH_Data_Base28[[#This Row],[Fan QTY]]</f>
        <v>24.627741525423726</v>
      </c>
      <c r="DE11" s="870">
        <f>INDEX($B$114:$C$131,MATCH(PPH_Data_Base28[[#This Row],[Compressor 1 HP]],$B$114:$B$131,0),2)*PPH_Data_Base28[[#This Row],[Compressor 1 QTY]]+IFERROR(INDEX($B$114:$C$131,MATCH(PPH_Data_Base28[[#This Row],[Compressor 2 HP]],$B$114:$B$131,0),2)*PPH_Data_Base28[[#This Row],[Compressor 2 QTY]],0)</f>
        <v>61</v>
      </c>
      <c r="DF11" s="870">
        <f>38*PPH_Data_Base28[[#This Row],[NO Condenser Fans]]</f>
        <v>76</v>
      </c>
      <c r="DG11" s="870">
        <f>INDEX($B$136:$F$154,MATCH(PPH_Data_Base28[[#This Row],[STD Supply Fan Motor]],$B$136:$B$154,0),5)*PPH_Data_Base28[[#This Row],[Fan QTY]]</f>
        <v>38.073067937853111</v>
      </c>
      <c r="DH11" s="781">
        <v>58.262711864406782</v>
      </c>
      <c r="DI11" s="781">
        <v>58.262711864406782</v>
      </c>
      <c r="DJ11" s="870">
        <f>INDEX($F$114:$G$124,MATCH(PPH_Data_Base28[[#This Row],[Compressor 1 HP]],$F$114:$F$124,0),2)</f>
        <v>2300</v>
      </c>
      <c r="DK11" s="870">
        <f>INDEX($F$114:$G$124,MATCH(PPH_Data_Base28[[#This Row],[Compressor 1 HP]],$F$114:$F$124,0),2)*PPH_Data_Base28[[#This Row],[Compressor 1 QTY]]+IFERROR(INDEX($F$114:$G$124,MATCH(PPH_Data_Base28[[#This Row],[Compressor 2 HP]],$F$114:$F$124,0),2)*PPH_Data_Base28[[#This Row],[Compressor 2 QTY]],0)</f>
        <v>4600</v>
      </c>
      <c r="DL11" s="870">
        <v>887</v>
      </c>
      <c r="DM11" s="870">
        <v>564.9717514124294</v>
      </c>
      <c r="DN11" s="870">
        <v>213.62952090395484</v>
      </c>
      <c r="DO11" s="870">
        <v>2713.4650319209045</v>
      </c>
      <c r="DP11" s="870">
        <v>173.0225988700565</v>
      </c>
      <c r="DQ11" s="870">
        <f>PPH_Data_Base28[[#This Row],[NEMA 4X For Electrical Panel]]</f>
        <v>173.0225988700565</v>
      </c>
      <c r="DR11" s="870">
        <v>173.0225988700565</v>
      </c>
      <c r="DS11" s="870">
        <v>108.05084745762713</v>
      </c>
      <c r="DT11" s="870">
        <f>PPH_Data_Base28[[#This Row],[NO Condenser Fans]]*350</f>
        <v>700</v>
      </c>
      <c r="DU11" s="870">
        <v>238.27442754237299</v>
      </c>
      <c r="DV11" s="870">
        <f>150*PPH_Data_Base28[[#This Row],[NO Condenser Fans]]</f>
        <v>300</v>
      </c>
      <c r="DW11" s="781">
        <v>757.4152542372882</v>
      </c>
      <c r="DX11" s="781">
        <v>250</v>
      </c>
      <c r="DY11" s="870">
        <v>700</v>
      </c>
      <c r="DZ11" s="870">
        <v>100</v>
      </c>
      <c r="EA11" s="870">
        <v>540</v>
      </c>
      <c r="EB11" s="870">
        <v>4.186805084745763</v>
      </c>
      <c r="EC11" s="870">
        <v>23.305084745762713</v>
      </c>
      <c r="ED11" s="870">
        <v>58.361196822033918</v>
      </c>
      <c r="EE11" s="870">
        <v>350</v>
      </c>
      <c r="EF11" s="870">
        <v>350</v>
      </c>
      <c r="EG11" s="870">
        <v>286</v>
      </c>
      <c r="EH11" s="870">
        <v>375</v>
      </c>
      <c r="EI11" s="870">
        <v>138</v>
      </c>
      <c r="EJ11" s="870">
        <v>81</v>
      </c>
      <c r="EK11" s="870">
        <v>33.75</v>
      </c>
      <c r="EL11" s="870">
        <v>67.5</v>
      </c>
      <c r="EM11" s="870">
        <v>337.5</v>
      </c>
      <c r="EN11" s="870">
        <v>67</v>
      </c>
      <c r="EO11" s="870">
        <v>371</v>
      </c>
      <c r="EP11" s="870">
        <v>385.53092711864412</v>
      </c>
      <c r="EQ11" s="870">
        <v>26</v>
      </c>
      <c r="ER11" s="870">
        <v>324</v>
      </c>
      <c r="ES11" s="870">
        <v>22</v>
      </c>
      <c r="ET11" s="870">
        <v>65</v>
      </c>
      <c r="EU11" s="870">
        <v>203</v>
      </c>
      <c r="EV11" s="870">
        <v>250</v>
      </c>
      <c r="EW11" s="847">
        <v>0</v>
      </c>
      <c r="EX11" s="781">
        <v>46.384451977401142</v>
      </c>
      <c r="EY11" s="781">
        <v>333.11975593220342</v>
      </c>
      <c r="EZ11" s="870">
        <v>19.209039548022599</v>
      </c>
      <c r="FA11" s="870">
        <v>40</v>
      </c>
      <c r="FB11" s="870">
        <v>40</v>
      </c>
      <c r="FC11" s="870">
        <v>22.775173728813563</v>
      </c>
      <c r="FD11" s="870">
        <v>22.775173728813563</v>
      </c>
      <c r="FE11" s="870">
        <v>19.774011299435031</v>
      </c>
      <c r="FF11" s="870">
        <v>26.129943502824862</v>
      </c>
      <c r="FG11" s="870">
        <v>200</v>
      </c>
      <c r="FH11" s="870">
        <v>88.758614203392113</v>
      </c>
      <c r="FI11" s="870">
        <v>53.738911328623757</v>
      </c>
      <c r="FJ11" s="870">
        <v>26</v>
      </c>
      <c r="FK11" s="870">
        <f>PPH_Data_Base28[[#This Row],[Differential Pressure Switch]]*2</f>
        <v>52</v>
      </c>
      <c r="FL11" s="870">
        <v>42</v>
      </c>
      <c r="FM11" s="872">
        <f>PPH_Data_Base28[[#This Row],[STD PETRA DIAL DIFF.PRESS.GAUGE NOT DWYER]]*2</f>
        <v>84</v>
      </c>
      <c r="FN11" s="872">
        <v>75</v>
      </c>
      <c r="FO11" s="872">
        <f>PPH_Data_Base28[[#This Row],[Replaceble Filter Drier ]]</f>
        <v>192.09039548022599</v>
      </c>
      <c r="FP11" s="872">
        <f>PPH_Data_Base28[[#This Row],[2" Pre-Filter]]*2</f>
        <v>30.515771186440674</v>
      </c>
      <c r="FQ11" s="872">
        <f>PPH_Data_Base28[[#This Row],[Bag Filter EU-8]]</f>
        <v>176.7467855655085</v>
      </c>
      <c r="FR11" s="872">
        <v>500</v>
      </c>
      <c r="FS11" s="872">
        <v>30</v>
      </c>
      <c r="FT11" s="176"/>
      <c r="FU11" s="176"/>
      <c r="FV11" s="176"/>
      <c r="FW11" s="176"/>
      <c r="FX11" s="176"/>
      <c r="FY11" s="176"/>
      <c r="GA11" s="176"/>
      <c r="GB11" s="176"/>
      <c r="GC11" s="176"/>
      <c r="GD11" s="176"/>
      <c r="GE11" s="176"/>
      <c r="GG11" s="176"/>
      <c r="GI11" s="176"/>
      <c r="GK11" s="176"/>
      <c r="GL11" s="176"/>
      <c r="GM11" s="176"/>
      <c r="GN11" s="176"/>
      <c r="GO11" s="176"/>
      <c r="GP11" s="176"/>
      <c r="GQ11" s="176"/>
      <c r="GW11" s="176"/>
      <c r="GX11" s="176"/>
      <c r="HC11" s="176"/>
    </row>
    <row r="12" spans="1:211">
      <c r="A12" s="780" t="s">
        <v>443</v>
      </c>
      <c r="B12" s="781" t="s">
        <v>1539</v>
      </c>
      <c r="C12" s="781" t="s">
        <v>516</v>
      </c>
      <c r="D12" s="870" t="s">
        <v>1541</v>
      </c>
      <c r="E12" s="870" t="s">
        <v>1540</v>
      </c>
      <c r="F12" s="870" t="s">
        <v>1542</v>
      </c>
      <c r="G12" s="851">
        <v>0</v>
      </c>
      <c r="H12" s="870" t="s">
        <v>2248</v>
      </c>
      <c r="I12" s="781" t="s">
        <v>1537</v>
      </c>
      <c r="J12" s="781" t="s">
        <v>1538</v>
      </c>
      <c r="K12" s="781">
        <v>1</v>
      </c>
      <c r="L12" s="781" t="s">
        <v>568</v>
      </c>
      <c r="M12" s="781">
        <v>2</v>
      </c>
      <c r="N12" s="300">
        <v>2</v>
      </c>
      <c r="O12" s="781">
        <v>18</v>
      </c>
      <c r="P12" s="781">
        <v>9</v>
      </c>
      <c r="Q12" s="781">
        <v>1</v>
      </c>
      <c r="R12" s="781">
        <v>8</v>
      </c>
      <c r="S12" s="781">
        <v>1</v>
      </c>
      <c r="T12" s="781"/>
      <c r="U12" s="781"/>
      <c r="V12" s="781">
        <v>128</v>
      </c>
      <c r="W12" s="781">
        <v>259</v>
      </c>
      <c r="X12" s="870"/>
      <c r="Y12" s="835">
        <v>0</v>
      </c>
      <c r="Z12" s="782">
        <v>4013</v>
      </c>
      <c r="AA12" s="782">
        <v>4751</v>
      </c>
      <c r="AB12" s="870">
        <v>3151</v>
      </c>
      <c r="AC12" s="834">
        <v>0</v>
      </c>
      <c r="AD12" s="781">
        <v>143.71468926553672</v>
      </c>
      <c r="AE12" s="870">
        <v>130.64971751412429</v>
      </c>
      <c r="AF12" s="870">
        <v>130.64971751412429</v>
      </c>
      <c r="AG12" s="870">
        <v>156.77966101694918</v>
      </c>
      <c r="AH12" s="781">
        <v>172.45762711864407</v>
      </c>
      <c r="AI12" s="870">
        <v>156.77966101694918</v>
      </c>
      <c r="AJ12" s="870">
        <v>156.77966101694918</v>
      </c>
      <c r="AK12" s="870">
        <v>188.13559322033899</v>
      </c>
      <c r="AL12" s="870">
        <f>PPH_Data_Base28[[#This Row],[PPH Unit Basic Price With Cu Tube]]*0.05</f>
        <v>237.55</v>
      </c>
      <c r="AM12" s="781">
        <v>61.798152238657636</v>
      </c>
      <c r="AN12" s="781">
        <v>318.97997046228807</v>
      </c>
      <c r="AO12" s="781">
        <v>602.87214417372456</v>
      </c>
      <c r="AP12" s="781">
        <v>202.5</v>
      </c>
      <c r="AQ12" s="781">
        <v>170.10000000000002</v>
      </c>
      <c r="AR12" s="781">
        <f t="shared" ref="AR12:AR21" si="2">0.75*242</f>
        <v>181.5</v>
      </c>
      <c r="AS12" s="781">
        <v>289.67720595559325</v>
      </c>
      <c r="AT12" s="781">
        <v>1442.2970888509831</v>
      </c>
      <c r="AU12" s="781">
        <v>23.72069010495764</v>
      </c>
      <c r="AV12" s="781">
        <v>216.62725959292374</v>
      </c>
      <c r="AW12" s="870">
        <v>900.32</v>
      </c>
      <c r="AX12" s="870">
        <v>266</v>
      </c>
      <c r="AY12" s="870">
        <v>976.27345360169488</v>
      </c>
      <c r="AZ12" s="870">
        <v>339.07655867319914</v>
      </c>
      <c r="BA12" s="870">
        <f>9.5*30</f>
        <v>285</v>
      </c>
      <c r="BB12" s="870">
        <f>PPH_Data_Base28[[#This Row],[PPH Unit Basic Price With Cu Tube]]*0.1</f>
        <v>475.1</v>
      </c>
      <c r="BC12" s="870">
        <v>47.206051587914146</v>
      </c>
      <c r="BD12" s="870">
        <v>157.35350529304716</v>
      </c>
      <c r="BE12" s="870">
        <v>52.451168431015724</v>
      </c>
      <c r="BF12" s="870">
        <v>52.451168431015724</v>
      </c>
      <c r="BG12" s="870">
        <v>52.451168431015724</v>
      </c>
      <c r="BH12" s="870">
        <f>PPH_Data_Base28[[#This Row],[PPH Unit Basic Price With Cu Tube]]*0.075</f>
        <v>356.32499999999999</v>
      </c>
      <c r="BI12" s="870">
        <v>157.35350529304716</v>
      </c>
      <c r="BJ12" s="870">
        <v>52.451168431015724</v>
      </c>
      <c r="BK12" s="870">
        <v>52.451168431015724</v>
      </c>
      <c r="BL12" s="870">
        <v>52.451168431015724</v>
      </c>
      <c r="BM12" s="781">
        <f>PPH_Data_Base28[[#This Row],[Total Condenser Coil Area]]*Naming!$M$62*4</f>
        <v>1612.8</v>
      </c>
      <c r="BN12" s="781">
        <f>PPH_Data_Base28[[#This Row],[Total Evaporator  Coil Area]]*Naming!$M$62*4</f>
        <v>806.4</v>
      </c>
      <c r="BO12" s="781">
        <f>PPH_Data_Base28[[#This Row],[Total Condenser Coil Area]]*Naming!$D$61*4</f>
        <v>24.48</v>
      </c>
      <c r="BP12" s="781">
        <f>PPH_Data_Base28[[#This Row],[Total Evaporator  Coil Area]]*Naming!$D$61*6</f>
        <v>18.36</v>
      </c>
      <c r="BQ12" s="781">
        <f>$G$195*PPH_Data_Base28[[#This Row],[Total Evaporator  Coil Area]]</f>
        <v>40.5</v>
      </c>
      <c r="BR12" s="781">
        <f>$G$199*PPH_Data_Base28[[#This Row],[Total Evaporator  Coil Area]]</f>
        <v>61.199999999999996</v>
      </c>
      <c r="BS12" s="781">
        <f>$E$185*PPH_Data_Base28[[#This Row],[Total Evaporator  Coil Area]]</f>
        <v>180</v>
      </c>
      <c r="BT12" s="781">
        <f>$E$188*PPH_Data_Base28[[#This Row],[Total Evaporator  Coil Area]]</f>
        <v>252</v>
      </c>
      <c r="BU12" s="781">
        <f>$G$195*PPH_Data_Base28[[#This Row],[Total Condenser Coil Area]]</f>
        <v>81</v>
      </c>
      <c r="BV12" s="781">
        <f>$G$199*PPH_Data_Base28[[#This Row],[Total Condenser Coil Area]]</f>
        <v>122.39999999999999</v>
      </c>
      <c r="BW12" s="781">
        <f>$E$185*PPH_Data_Base28[[#This Row],[Total Condenser Coil Area]]</f>
        <v>360</v>
      </c>
      <c r="BX12" s="781">
        <f>$E$188*PPH_Data_Base28[[#This Row],[Total Condenser Coil Area]]</f>
        <v>504</v>
      </c>
      <c r="BY12" s="781">
        <v>164.49451675364747</v>
      </c>
      <c r="BZ12" s="870">
        <v>101.83257852254236</v>
      </c>
      <c r="CA12" s="870">
        <v>121.42279201980509</v>
      </c>
      <c r="CB12" s="870">
        <v>80.306079378177941</v>
      </c>
      <c r="CC12" s="870">
        <v>74.152542372881356</v>
      </c>
      <c r="CD12" s="870">
        <f t="shared" si="1"/>
        <v>72.033898305084804</v>
      </c>
      <c r="CE12" s="870">
        <v>20</v>
      </c>
      <c r="CF12" s="832">
        <v>0</v>
      </c>
      <c r="CG12" s="870">
        <f>PPH_Data_Base28[[#This Row],[PPH Unit Basic Price With Cu Tube]]*0.25</f>
        <v>1187.75</v>
      </c>
      <c r="CH12" s="870">
        <f>PPH_Data_Base28[[#This Row],[DSP Unit Basic Price With Cu Tube]]*0.35</f>
        <v>1102.8499999999999</v>
      </c>
      <c r="CI12" s="781">
        <v>89.190356144067806</v>
      </c>
      <c r="CJ12" s="781">
        <v>129.77347881355934</v>
      </c>
      <c r="CK12" s="781">
        <v>18.596238771186442</v>
      </c>
      <c r="CL12" s="781">
        <v>96.045197740112997</v>
      </c>
      <c r="CM12" s="870">
        <v>14.40677966101695</v>
      </c>
      <c r="CN12" s="781">
        <v>52.824858757062145</v>
      </c>
      <c r="CO12" s="870">
        <v>0</v>
      </c>
      <c r="CP12" s="781">
        <v>86.306595268361576</v>
      </c>
      <c r="CQ12" s="870">
        <v>80.752048163841806</v>
      </c>
      <c r="CR12" s="781">
        <v>248.96402542372883</v>
      </c>
      <c r="CS12" s="870">
        <v>368.28734576271199</v>
      </c>
      <c r="CT12" s="781">
        <v>432.55649717514126</v>
      </c>
      <c r="CU12" s="870">
        <v>92.15585593220338</v>
      </c>
      <c r="CV12" s="870">
        <v>248.58757062146893</v>
      </c>
      <c r="CW12" s="870">
        <f>400*1.35*PPH_Data_Base28[[#This Row],[No. of Unit  Compressors]]</f>
        <v>540</v>
      </c>
      <c r="CX12" s="835">
        <v>0</v>
      </c>
      <c r="CY12" s="871">
        <f>47*PPH_Data_Base28[[#This Row],[No. of Unit  Compressors]]*1.35</f>
        <v>63.45</v>
      </c>
      <c r="CZ12" s="871">
        <f>30*1.35*PPH_Data_Base28[[#This Row],[NO Condenser Fans]]</f>
        <v>81</v>
      </c>
      <c r="DA12" s="781">
        <f>INDEX($B$136:$F$154,MATCH(PPH_Data_Base28[[#This Row],[STD Supply Fan Motor]],$B$136:$B$154,0),5)*PPH_Data_Base28[[#This Row],[Fan QTY]]</f>
        <v>36.69975367231639</v>
      </c>
      <c r="DB12" s="871">
        <f>47*1.35*PPH_Data_Base28[[#This Row],[No. of Unit  Compressors]]</f>
        <v>63.45</v>
      </c>
      <c r="DC12" s="871">
        <f>28*PPH_Data_Base28[[#This Row],[NO Condenser Fans]]</f>
        <v>56</v>
      </c>
      <c r="DD12" s="781">
        <f>INDEX($B$136:$F$154,MATCH(PPH_Data_Base28[[#This Row],[STD Supply Fan Motor]],$B$136:$B$154,0),3)*PPH_Data_Base28[[#This Row],[Fan QTY]]</f>
        <v>24.627741525423726</v>
      </c>
      <c r="DE12" s="870">
        <f>INDEX($B$114:$C$131,MATCH(PPH_Data_Base28[[#This Row],[Compressor 1 HP]],$B$114:$B$131,0),2)*PPH_Data_Base28[[#This Row],[Compressor 1 QTY]]+IFERROR(INDEX($B$114:$C$131,MATCH(PPH_Data_Base28[[#This Row],[Compressor 2 HP]],$B$114:$B$131,0),2)*PPH_Data_Base28[[#This Row],[Compressor 2 QTY]],0)</f>
        <v>30</v>
      </c>
      <c r="DF12" s="870">
        <f>38*PPH_Data_Base28[[#This Row],[NO Condenser Fans]]</f>
        <v>76</v>
      </c>
      <c r="DG12" s="870">
        <f>INDEX($B$136:$F$154,MATCH(PPH_Data_Base28[[#This Row],[STD Supply Fan Motor]],$B$136:$B$154,0),5)*PPH_Data_Base28[[#This Row],[Fan QTY]]</f>
        <v>36.69975367231639</v>
      </c>
      <c r="DH12" s="781">
        <v>58.262711864406782</v>
      </c>
      <c r="DI12" s="781">
        <v>58.262711864406782</v>
      </c>
      <c r="DJ12" s="870">
        <f>INDEX($F$114:$G$124,MATCH(PPH_Data_Base28[[#This Row],[Compressor 1 HP]],$F$114:$F$124,0),2)</f>
        <v>2500</v>
      </c>
      <c r="DK12" s="870">
        <f>INDEX($F$114:$G$124,MATCH(PPH_Data_Base28[[#This Row],[Compressor 1 HP]],$F$114:$F$124,0),2)*PPH_Data_Base28[[#This Row],[Compressor 1 QTY]]+IFERROR(INDEX($F$114:$G$124,MATCH(PPH_Data_Base28[[#This Row],[Compressor 2 HP]],$F$114:$F$124,0),2)*PPH_Data_Base28[[#This Row],[Compressor 2 QTY]],0)</f>
        <v>2500</v>
      </c>
      <c r="DL12" s="870">
        <v>905</v>
      </c>
      <c r="DM12" s="870">
        <v>564.9717514124294</v>
      </c>
      <c r="DN12" s="870">
        <v>213.62952090395484</v>
      </c>
      <c r="DO12" s="870">
        <v>2713.4650319209045</v>
      </c>
      <c r="DP12" s="870">
        <v>173.0225988700565</v>
      </c>
      <c r="DQ12" s="781">
        <f>PPH_Data_Base28[[#This Row],[NEMA 4X For Electrical Panel]]</f>
        <v>173.0225988700565</v>
      </c>
      <c r="DR12" s="870">
        <v>173.0225988700565</v>
      </c>
      <c r="DS12" s="870">
        <v>120.05649717514125</v>
      </c>
      <c r="DT12" s="870">
        <f>PPH_Data_Base28[[#This Row],[NO Condenser Fans]]*350</f>
        <v>700</v>
      </c>
      <c r="DU12" s="870">
        <v>238.27442754237299</v>
      </c>
      <c r="DV12" s="870">
        <f>150*PPH_Data_Base28[[#This Row],[NO Condenser Fans]]</f>
        <v>300</v>
      </c>
      <c r="DW12" s="781">
        <v>757.4152542372882</v>
      </c>
      <c r="DX12" s="781">
        <v>250</v>
      </c>
      <c r="DY12" s="870">
        <v>700</v>
      </c>
      <c r="DZ12" s="870">
        <v>100</v>
      </c>
      <c r="EA12" s="870">
        <v>540</v>
      </c>
      <c r="EB12" s="870">
        <v>4.186805084745763</v>
      </c>
      <c r="EC12" s="870">
        <v>23.305084745762713</v>
      </c>
      <c r="ED12" s="870">
        <v>58.361196822033918</v>
      </c>
      <c r="EE12" s="870">
        <v>350</v>
      </c>
      <c r="EF12" s="870">
        <v>350</v>
      </c>
      <c r="EG12" s="870">
        <v>286</v>
      </c>
      <c r="EH12" s="870">
        <v>375</v>
      </c>
      <c r="EI12" s="870">
        <v>138</v>
      </c>
      <c r="EJ12" s="870">
        <v>81</v>
      </c>
      <c r="EK12" s="870">
        <v>33.75</v>
      </c>
      <c r="EL12" s="870">
        <v>67.5</v>
      </c>
      <c r="EM12" s="870">
        <v>337.5</v>
      </c>
      <c r="EN12" s="870">
        <v>67</v>
      </c>
      <c r="EO12" s="870">
        <v>371</v>
      </c>
      <c r="EP12" s="870">
        <v>385.53092711864412</v>
      </c>
      <c r="EQ12" s="870">
        <v>26</v>
      </c>
      <c r="ER12" s="870">
        <v>324</v>
      </c>
      <c r="ES12" s="870">
        <v>22</v>
      </c>
      <c r="ET12" s="870">
        <v>65</v>
      </c>
      <c r="EU12" s="870">
        <v>203</v>
      </c>
      <c r="EV12" s="870">
        <v>250</v>
      </c>
      <c r="EW12" s="847">
        <v>0</v>
      </c>
      <c r="EX12" s="781">
        <v>46.384451977401142</v>
      </c>
      <c r="EY12" s="781">
        <v>333.11975593220342</v>
      </c>
      <c r="EZ12" s="870">
        <v>19.209039548022599</v>
      </c>
      <c r="FA12" s="870">
        <v>40</v>
      </c>
      <c r="FB12" s="870">
        <v>40</v>
      </c>
      <c r="FC12" s="870">
        <v>22.775173728813563</v>
      </c>
      <c r="FD12" s="870">
        <v>22.775173728813563</v>
      </c>
      <c r="FE12" s="870">
        <v>19.774011299435031</v>
      </c>
      <c r="FF12" s="870">
        <v>26.129943502824862</v>
      </c>
      <c r="FG12" s="870">
        <v>200</v>
      </c>
      <c r="FH12" s="870">
        <v>145.93000229340572</v>
      </c>
      <c r="FI12" s="870">
        <v>88.681403834083682</v>
      </c>
      <c r="FJ12" s="870">
        <v>26</v>
      </c>
      <c r="FK12" s="870">
        <f>PPH_Data_Base28[[#This Row],[Differential Pressure Switch]]*2</f>
        <v>52</v>
      </c>
      <c r="FL12" s="870">
        <v>42</v>
      </c>
      <c r="FM12" s="872">
        <f>PPH_Data_Base28[[#This Row],[STD PETRA DIAL DIFF.PRESS.GAUGE NOT DWYER]]*2</f>
        <v>84</v>
      </c>
      <c r="FN12" s="872">
        <v>75</v>
      </c>
      <c r="FO12" s="872">
        <f>PPH_Data_Base28[[#This Row],[Replaceble Filter Drier ]]</f>
        <v>96.045197740112997</v>
      </c>
      <c r="FP12" s="872">
        <f>PPH_Data_Base28[[#This Row],[2" Pre-Filter]]*2</f>
        <v>47.44138020991528</v>
      </c>
      <c r="FQ12" s="872">
        <f>PPH_Data_Base28[[#This Row],[Bag Filter EU-8]]</f>
        <v>216.62725959292374</v>
      </c>
      <c r="FR12" s="872">
        <v>500</v>
      </c>
      <c r="FS12" s="872">
        <v>30</v>
      </c>
      <c r="FT12" s="176"/>
      <c r="FU12" s="176"/>
      <c r="FV12" s="176"/>
      <c r="FW12" s="176"/>
      <c r="FX12" s="176"/>
      <c r="FY12" s="176"/>
      <c r="GA12" s="176"/>
      <c r="GB12" s="176"/>
      <c r="GC12" s="176"/>
      <c r="GD12" s="176"/>
      <c r="GE12" s="176"/>
      <c r="GG12" s="176"/>
      <c r="GI12" s="176"/>
      <c r="GK12" s="176"/>
      <c r="GL12" s="176"/>
      <c r="GM12" s="176"/>
      <c r="GN12" s="176"/>
      <c r="GO12" s="176"/>
      <c r="GP12" s="176"/>
      <c r="GQ12" s="176"/>
      <c r="GW12" s="176"/>
      <c r="GX12" s="176"/>
      <c r="HC12" s="176"/>
    </row>
    <row r="13" spans="1:211">
      <c r="A13" s="780" t="s">
        <v>444</v>
      </c>
      <c r="B13" s="781" t="s">
        <v>1543</v>
      </c>
      <c r="C13" s="781" t="s">
        <v>517</v>
      </c>
      <c r="D13" s="870" t="s">
        <v>1544</v>
      </c>
      <c r="E13" s="870" t="s">
        <v>1049</v>
      </c>
      <c r="F13" s="870" t="s">
        <v>1545</v>
      </c>
      <c r="G13" s="851">
        <v>0</v>
      </c>
      <c r="H13" s="870" t="s">
        <v>2248</v>
      </c>
      <c r="I13" s="781" t="s">
        <v>1537</v>
      </c>
      <c r="J13" s="781" t="s">
        <v>1538</v>
      </c>
      <c r="K13" s="781">
        <v>1</v>
      </c>
      <c r="L13" s="781" t="s">
        <v>568</v>
      </c>
      <c r="M13" s="781">
        <v>2</v>
      </c>
      <c r="N13" s="300">
        <v>2</v>
      </c>
      <c r="O13" s="781">
        <v>18</v>
      </c>
      <c r="P13" s="781">
        <v>9</v>
      </c>
      <c r="Q13" s="781">
        <v>2</v>
      </c>
      <c r="R13" s="781">
        <v>4</v>
      </c>
      <c r="S13" s="781">
        <v>1</v>
      </c>
      <c r="T13" s="781">
        <v>3</v>
      </c>
      <c r="U13" s="781">
        <v>1</v>
      </c>
      <c r="V13" s="781">
        <v>128</v>
      </c>
      <c r="W13" s="781">
        <v>259</v>
      </c>
      <c r="X13" s="870" t="s">
        <v>410</v>
      </c>
      <c r="Y13" s="835">
        <v>0</v>
      </c>
      <c r="Z13" s="782">
        <v>4550</v>
      </c>
      <c r="AA13" s="782">
        <v>5328</v>
      </c>
      <c r="AB13" s="870">
        <v>3589</v>
      </c>
      <c r="AC13" s="834">
        <v>0</v>
      </c>
      <c r="AD13" s="781">
        <v>143.71468926553672</v>
      </c>
      <c r="AE13" s="870">
        <v>130.64971751412429</v>
      </c>
      <c r="AF13" s="870">
        <v>130.64971751412429</v>
      </c>
      <c r="AG13" s="870">
        <v>156.77966101694918</v>
      </c>
      <c r="AH13" s="781">
        <v>172.45762711864407</v>
      </c>
      <c r="AI13" s="870">
        <v>156.77966101694918</v>
      </c>
      <c r="AJ13" s="870">
        <v>156.77966101694918</v>
      </c>
      <c r="AK13" s="870">
        <v>188.13559322033899</v>
      </c>
      <c r="AL13" s="870">
        <f>PPH_Data_Base28[[#This Row],[PPH Unit Basic Price With Cu Tube]]*0.05</f>
        <v>266.40000000000003</v>
      </c>
      <c r="AM13" s="781">
        <v>61.798152238657636</v>
      </c>
      <c r="AN13" s="781">
        <v>318.97997046228807</v>
      </c>
      <c r="AO13" s="781">
        <v>602.87214417372456</v>
      </c>
      <c r="AP13" s="781">
        <v>202.5</v>
      </c>
      <c r="AQ13" s="781">
        <v>170.10000000000002</v>
      </c>
      <c r="AR13" s="781">
        <f t="shared" si="2"/>
        <v>181.5</v>
      </c>
      <c r="AS13" s="781">
        <v>289.67720595559325</v>
      </c>
      <c r="AT13" s="781">
        <v>1442.2970888509831</v>
      </c>
      <c r="AU13" s="781">
        <v>23.72069010495764</v>
      </c>
      <c r="AV13" s="781">
        <v>216.62725959292374</v>
      </c>
      <c r="AW13" s="870">
        <v>1255.2800000000002</v>
      </c>
      <c r="AX13" s="870">
        <v>266</v>
      </c>
      <c r="AY13" s="870">
        <v>976.27345360169488</v>
      </c>
      <c r="AZ13" s="870">
        <v>339.07655867319914</v>
      </c>
      <c r="BA13" s="870">
        <f t="shared" ref="BA13:BA21" si="3">9.5*30</f>
        <v>285</v>
      </c>
      <c r="BB13" s="870">
        <f>PPH_Data_Base28[[#This Row],[PPH Unit Basic Price With Cu Tube]]*0.1</f>
        <v>532.80000000000007</v>
      </c>
      <c r="BC13" s="870">
        <v>51.301328975479365</v>
      </c>
      <c r="BD13" s="870">
        <v>171.00442991826455</v>
      </c>
      <c r="BE13" s="870">
        <v>57.001476639421519</v>
      </c>
      <c r="BF13" s="870">
        <v>57.001476639421519</v>
      </c>
      <c r="BG13" s="870">
        <v>57.001476639421519</v>
      </c>
      <c r="BH13" s="870">
        <f>PPH_Data_Base28[[#This Row],[PPH Unit Basic Price With Cu Tube]]*0.075</f>
        <v>399.59999999999997</v>
      </c>
      <c r="BI13" s="870">
        <v>171.00442991826455</v>
      </c>
      <c r="BJ13" s="870">
        <v>57.001476639421519</v>
      </c>
      <c r="BK13" s="870">
        <v>57.001476639421519</v>
      </c>
      <c r="BL13" s="870">
        <v>57.001476639421519</v>
      </c>
      <c r="BM13" s="781">
        <f>PPH_Data_Base28[[#This Row],[Total Condenser Coil Area]]*Naming!$M$62*4</f>
        <v>1612.8</v>
      </c>
      <c r="BN13" s="781">
        <f>PPH_Data_Base28[[#This Row],[Total Evaporator  Coil Area]]*Naming!$M$62*4</f>
        <v>806.4</v>
      </c>
      <c r="BO13" s="781">
        <f>PPH_Data_Base28[[#This Row],[Total Condenser Coil Area]]*Naming!$D$61*4</f>
        <v>24.48</v>
      </c>
      <c r="BP13" s="781">
        <f>PPH_Data_Base28[[#This Row],[Total Evaporator  Coil Area]]*Naming!$D$61*6</f>
        <v>18.36</v>
      </c>
      <c r="BQ13" s="781">
        <f>$G$195*PPH_Data_Base28[[#This Row],[Total Evaporator  Coil Area]]</f>
        <v>40.5</v>
      </c>
      <c r="BR13" s="781">
        <f>$G$199*PPH_Data_Base28[[#This Row],[Total Evaporator  Coil Area]]</f>
        <v>61.199999999999996</v>
      </c>
      <c r="BS13" s="781">
        <f>$E$185*PPH_Data_Base28[[#This Row],[Total Evaporator  Coil Area]]</f>
        <v>180</v>
      </c>
      <c r="BT13" s="781">
        <f>$E$188*PPH_Data_Base28[[#This Row],[Total Evaporator  Coil Area]]</f>
        <v>252</v>
      </c>
      <c r="BU13" s="781">
        <f>$G$195*PPH_Data_Base28[[#This Row],[Total Condenser Coil Area]]</f>
        <v>81</v>
      </c>
      <c r="BV13" s="781">
        <f>$G$199*PPH_Data_Base28[[#This Row],[Total Condenser Coil Area]]</f>
        <v>122.39999999999999</v>
      </c>
      <c r="BW13" s="781">
        <f>$E$185*PPH_Data_Base28[[#This Row],[Total Condenser Coil Area]]</f>
        <v>360</v>
      </c>
      <c r="BX13" s="781">
        <f>$E$188*PPH_Data_Base28[[#This Row],[Total Condenser Coil Area]]</f>
        <v>504</v>
      </c>
      <c r="BY13" s="781">
        <v>164.49451675364747</v>
      </c>
      <c r="BZ13" s="870">
        <v>101.83257852254236</v>
      </c>
      <c r="CA13" s="870">
        <v>161.89705602640677</v>
      </c>
      <c r="CB13" s="870">
        <v>107.07477250423727</v>
      </c>
      <c r="CC13" s="870">
        <v>74.152542372881356</v>
      </c>
      <c r="CD13" s="870">
        <f t="shared" si="1"/>
        <v>72.033898305084804</v>
      </c>
      <c r="CE13" s="870">
        <v>20</v>
      </c>
      <c r="CF13" s="832">
        <v>0</v>
      </c>
      <c r="CG13" s="870">
        <f>PPH_Data_Base28[[#This Row],[PPH Unit Basic Price With Cu Tube]]*0.25</f>
        <v>1332</v>
      </c>
      <c r="CH13" s="870">
        <f>PPH_Data_Base28[[#This Row],[DSP Unit Basic Price With Cu Tube]]*0.35</f>
        <v>1256.1499999999999</v>
      </c>
      <c r="CI13" s="781">
        <v>178.38071228813561</v>
      </c>
      <c r="CJ13" s="781">
        <v>259.54695762711867</v>
      </c>
      <c r="CK13" s="781">
        <v>37.192477542372885</v>
      </c>
      <c r="CL13" s="781">
        <v>192.09039548022599</v>
      </c>
      <c r="CM13" s="870">
        <v>28.8135593220339</v>
      </c>
      <c r="CN13" s="781">
        <v>72.033898305084747</v>
      </c>
      <c r="CO13" s="870">
        <v>247.72664406779666</v>
      </c>
      <c r="CP13" s="781">
        <v>95.210957556497178</v>
      </c>
      <c r="CQ13" s="870">
        <v>118.82412683615819</v>
      </c>
      <c r="CR13" s="781">
        <v>248.96402542372883</v>
      </c>
      <c r="CS13" s="870">
        <v>459.21488389830506</v>
      </c>
      <c r="CT13" s="781">
        <v>865.11299435028252</v>
      </c>
      <c r="CU13" s="870">
        <v>184.31171186440676</v>
      </c>
      <c r="CV13" s="870">
        <v>497.17514124293785</v>
      </c>
      <c r="CW13" s="870">
        <f>400*1.35*PPH_Data_Base28[[#This Row],[No. of Unit  Compressors]]</f>
        <v>1080</v>
      </c>
      <c r="CX13" s="835">
        <v>0</v>
      </c>
      <c r="CY13" s="871">
        <f>47*PPH_Data_Base28[[#This Row],[No. of Unit  Compressors]]*1.35</f>
        <v>126.9</v>
      </c>
      <c r="CZ13" s="871">
        <f>30*1.35*PPH_Data_Base28[[#This Row],[NO Condenser Fans]]</f>
        <v>81</v>
      </c>
      <c r="DA13" s="781">
        <f>INDEX($B$136:$F$154,MATCH(PPH_Data_Base28[[#This Row],[STD Supply Fan Motor]],$B$136:$B$154,0),5)*PPH_Data_Base28[[#This Row],[Fan QTY]]</f>
        <v>36.69975367231639</v>
      </c>
      <c r="DB13" s="871">
        <f>47*1.35*PPH_Data_Base28[[#This Row],[No. of Unit  Compressors]]</f>
        <v>126.9</v>
      </c>
      <c r="DC13" s="871">
        <f>28*PPH_Data_Base28[[#This Row],[NO Condenser Fans]]</f>
        <v>56</v>
      </c>
      <c r="DD13" s="781">
        <f>INDEX($B$136:$F$154,MATCH(PPH_Data_Base28[[#This Row],[STD Supply Fan Motor]],$B$136:$B$154,0),3)*PPH_Data_Base28[[#This Row],[Fan QTY]]</f>
        <v>24.627741525423726</v>
      </c>
      <c r="DE13" s="870">
        <f>INDEX($B$114:$C$131,MATCH(PPH_Data_Base28[[#This Row],[Compressor 1 HP]],$B$114:$B$131,0),2)*PPH_Data_Base28[[#This Row],[Compressor 1 QTY]]+IFERROR(INDEX($B$114:$C$131,MATCH(PPH_Data_Base28[[#This Row],[Compressor 2 HP]],$B$114:$B$131,0),2)*PPH_Data_Base28[[#This Row],[Compressor 2 QTY]],0)</f>
        <v>61</v>
      </c>
      <c r="DF13" s="870">
        <f>38*PPH_Data_Base28[[#This Row],[NO Condenser Fans]]</f>
        <v>76</v>
      </c>
      <c r="DG13" s="870">
        <f>INDEX($B$136:$F$154,MATCH(PPH_Data_Base28[[#This Row],[STD Supply Fan Motor]],$B$136:$B$154,0),5)*PPH_Data_Base28[[#This Row],[Fan QTY]]</f>
        <v>36.69975367231639</v>
      </c>
      <c r="DH13" s="781">
        <v>58.262711864406782</v>
      </c>
      <c r="DI13" s="781">
        <v>58.262711864406782</v>
      </c>
      <c r="DJ13" s="870">
        <f>INDEX($F$114:$G$124,MATCH(PPH_Data_Base28[[#This Row],[Compressor 1 HP]],$F$114:$F$124,0),2)</f>
        <v>2300</v>
      </c>
      <c r="DK13" s="870">
        <f>INDEX($F$114:$G$124,MATCH(PPH_Data_Base28[[#This Row],[Compressor 1 HP]],$F$114:$F$124,0),2)*PPH_Data_Base28[[#This Row],[Compressor 1 QTY]]+IFERROR(INDEX($F$114:$G$124,MATCH(PPH_Data_Base28[[#This Row],[Compressor 2 HP]],$F$114:$F$124,0),2)*PPH_Data_Base28[[#This Row],[Compressor 2 QTY]],0)</f>
        <v>4600</v>
      </c>
      <c r="DL13" s="870">
        <v>905</v>
      </c>
      <c r="DM13" s="870">
        <v>564.9717514124294</v>
      </c>
      <c r="DN13" s="870">
        <v>213.62952090395484</v>
      </c>
      <c r="DO13" s="870">
        <v>2713.4650319209045</v>
      </c>
      <c r="DP13" s="870">
        <v>173.0225988700565</v>
      </c>
      <c r="DQ13" s="781">
        <f>PPH_Data_Base28[[#This Row],[NEMA 4X For Electrical Panel]]</f>
        <v>173.0225988700565</v>
      </c>
      <c r="DR13" s="870">
        <v>173.0225988700565</v>
      </c>
      <c r="DS13" s="870">
        <v>120.05649717514125</v>
      </c>
      <c r="DT13" s="870">
        <f>PPH_Data_Base28[[#This Row],[NO Condenser Fans]]*350</f>
        <v>700</v>
      </c>
      <c r="DU13" s="870">
        <v>238.27442754237299</v>
      </c>
      <c r="DV13" s="870">
        <f>150*PPH_Data_Base28[[#This Row],[NO Condenser Fans]]</f>
        <v>300</v>
      </c>
      <c r="DW13" s="781">
        <v>757.4152542372882</v>
      </c>
      <c r="DX13" s="781">
        <v>250</v>
      </c>
      <c r="DY13" s="870">
        <v>700</v>
      </c>
      <c r="DZ13" s="870">
        <v>100</v>
      </c>
      <c r="EA13" s="870">
        <v>540</v>
      </c>
      <c r="EB13" s="870">
        <v>4.186805084745763</v>
      </c>
      <c r="EC13" s="870">
        <v>23.305084745762713</v>
      </c>
      <c r="ED13" s="870">
        <v>58.361196822033918</v>
      </c>
      <c r="EE13" s="870">
        <v>350</v>
      </c>
      <c r="EF13" s="870">
        <v>350</v>
      </c>
      <c r="EG13" s="870">
        <v>286</v>
      </c>
      <c r="EH13" s="870">
        <v>375</v>
      </c>
      <c r="EI13" s="870">
        <v>138</v>
      </c>
      <c r="EJ13" s="870">
        <v>81</v>
      </c>
      <c r="EK13" s="870">
        <v>33.75</v>
      </c>
      <c r="EL13" s="870">
        <v>67.5</v>
      </c>
      <c r="EM13" s="870">
        <v>337.5</v>
      </c>
      <c r="EN13" s="870">
        <v>67</v>
      </c>
      <c r="EO13" s="870">
        <v>371</v>
      </c>
      <c r="EP13" s="870">
        <v>385.53092711864412</v>
      </c>
      <c r="EQ13" s="870">
        <v>26</v>
      </c>
      <c r="ER13" s="870">
        <v>324</v>
      </c>
      <c r="ES13" s="870">
        <v>22</v>
      </c>
      <c r="ET13" s="870">
        <v>65</v>
      </c>
      <c r="EU13" s="870">
        <v>203</v>
      </c>
      <c r="EV13" s="870">
        <v>250</v>
      </c>
      <c r="EW13" s="847">
        <v>0</v>
      </c>
      <c r="EX13" s="781">
        <v>46.384451977401142</v>
      </c>
      <c r="EY13" s="781">
        <v>333.11975593220342</v>
      </c>
      <c r="EZ13" s="870">
        <v>19.209039548022599</v>
      </c>
      <c r="FA13" s="870">
        <v>40</v>
      </c>
      <c r="FB13" s="870">
        <v>40</v>
      </c>
      <c r="FC13" s="870">
        <v>22.775173728813563</v>
      </c>
      <c r="FD13" s="870">
        <v>22.775173728813563</v>
      </c>
      <c r="FE13" s="870">
        <v>19.774011299435031</v>
      </c>
      <c r="FF13" s="870">
        <v>26.129943502824862</v>
      </c>
      <c r="FG13" s="870">
        <v>200</v>
      </c>
      <c r="FH13" s="870">
        <v>145.93000229340572</v>
      </c>
      <c r="FI13" s="870">
        <v>88.681403834083682</v>
      </c>
      <c r="FJ13" s="870">
        <v>26</v>
      </c>
      <c r="FK13" s="870">
        <f>PPH_Data_Base28[[#This Row],[Differential Pressure Switch]]*2</f>
        <v>52</v>
      </c>
      <c r="FL13" s="870">
        <v>42</v>
      </c>
      <c r="FM13" s="872">
        <f>PPH_Data_Base28[[#This Row],[STD PETRA DIAL DIFF.PRESS.GAUGE NOT DWYER]]*2</f>
        <v>84</v>
      </c>
      <c r="FN13" s="872">
        <v>75</v>
      </c>
      <c r="FO13" s="872">
        <f>PPH_Data_Base28[[#This Row],[Replaceble Filter Drier ]]</f>
        <v>192.09039548022599</v>
      </c>
      <c r="FP13" s="872">
        <f>PPH_Data_Base28[[#This Row],[2" Pre-Filter]]*2</f>
        <v>47.44138020991528</v>
      </c>
      <c r="FQ13" s="872">
        <f>PPH_Data_Base28[[#This Row],[Bag Filter EU-8]]</f>
        <v>216.62725959292374</v>
      </c>
      <c r="FR13" s="872">
        <v>500</v>
      </c>
      <c r="FS13" s="872">
        <v>30</v>
      </c>
      <c r="FT13" s="176"/>
      <c r="FU13" s="176"/>
      <c r="FV13" s="176"/>
      <c r="FW13" s="176"/>
      <c r="FX13" s="176"/>
      <c r="FY13" s="176"/>
      <c r="GA13" s="176"/>
      <c r="GB13" s="176"/>
      <c r="GC13" s="176"/>
      <c r="GD13" s="176"/>
      <c r="GE13" s="176"/>
      <c r="GG13" s="176"/>
      <c r="GI13" s="176"/>
      <c r="GK13" s="176"/>
      <c r="GL13" s="176"/>
      <c r="GM13" s="176"/>
      <c r="GN13" s="176"/>
      <c r="GO13" s="176"/>
      <c r="GP13" s="176"/>
      <c r="GQ13" s="176"/>
      <c r="GW13" s="176"/>
      <c r="GX13" s="176"/>
      <c r="HC13" s="176"/>
    </row>
    <row r="14" spans="1:211">
      <c r="A14" s="780" t="s">
        <v>445</v>
      </c>
      <c r="B14" s="781" t="s">
        <v>1546</v>
      </c>
      <c r="C14" s="781" t="s">
        <v>518</v>
      </c>
      <c r="D14" s="870" t="s">
        <v>1548</v>
      </c>
      <c r="E14" s="870" t="s">
        <v>1547</v>
      </c>
      <c r="F14" s="870" t="s">
        <v>1549</v>
      </c>
      <c r="G14" s="851">
        <v>0</v>
      </c>
      <c r="H14" s="870" t="s">
        <v>2248</v>
      </c>
      <c r="I14" s="781" t="s">
        <v>1537</v>
      </c>
      <c r="J14" s="781" t="s">
        <v>1538</v>
      </c>
      <c r="K14" s="781">
        <v>1</v>
      </c>
      <c r="L14" s="781" t="s">
        <v>568</v>
      </c>
      <c r="M14" s="781">
        <v>2</v>
      </c>
      <c r="N14" s="300">
        <v>2</v>
      </c>
      <c r="O14" s="781">
        <v>18</v>
      </c>
      <c r="P14" s="781">
        <v>9</v>
      </c>
      <c r="Q14" s="781">
        <v>1</v>
      </c>
      <c r="R14" s="781">
        <v>9</v>
      </c>
      <c r="S14" s="781">
        <v>1</v>
      </c>
      <c r="T14" s="781"/>
      <c r="U14" s="781"/>
      <c r="V14" s="781">
        <v>128</v>
      </c>
      <c r="W14" s="781">
        <v>259</v>
      </c>
      <c r="X14" s="870"/>
      <c r="Y14" s="835">
        <v>0</v>
      </c>
      <c r="Z14" s="782">
        <v>4123</v>
      </c>
      <c r="AA14" s="782">
        <v>4884</v>
      </c>
      <c r="AB14" s="870">
        <v>3304</v>
      </c>
      <c r="AC14" s="834">
        <v>0</v>
      </c>
      <c r="AD14" s="781">
        <v>143.71468926553672</v>
      </c>
      <c r="AE14" s="870">
        <v>130.64971751412429</v>
      </c>
      <c r="AF14" s="870">
        <v>130.64971751412429</v>
      </c>
      <c r="AG14" s="870">
        <v>156.77966101694918</v>
      </c>
      <c r="AH14" s="781">
        <v>172.45762711864407</v>
      </c>
      <c r="AI14" s="870">
        <v>156.77966101694918</v>
      </c>
      <c r="AJ14" s="870">
        <v>156.77966101694918</v>
      </c>
      <c r="AK14" s="870">
        <v>188.13559322033899</v>
      </c>
      <c r="AL14" s="870">
        <f>PPH_Data_Base28[[#This Row],[PPH Unit Basic Price With Cu Tube]]*0.05</f>
        <v>244.20000000000002</v>
      </c>
      <c r="AM14" s="781">
        <v>61.798152238657636</v>
      </c>
      <c r="AN14" s="781">
        <v>318.97997046228807</v>
      </c>
      <c r="AO14" s="781">
        <v>602.87214417372456</v>
      </c>
      <c r="AP14" s="781">
        <v>243.00000000000003</v>
      </c>
      <c r="AQ14" s="781">
        <v>270</v>
      </c>
      <c r="AR14" s="781">
        <f t="shared" si="2"/>
        <v>181.5</v>
      </c>
      <c r="AS14" s="781">
        <v>295.37529917593218</v>
      </c>
      <c r="AT14" s="781">
        <v>1451.4140380035255</v>
      </c>
      <c r="AU14" s="781">
        <v>23.72069010495764</v>
      </c>
      <c r="AV14" s="781">
        <v>216.62725959292374</v>
      </c>
      <c r="AW14" s="870">
        <v>1255.2800000000002</v>
      </c>
      <c r="AX14" s="870">
        <v>266</v>
      </c>
      <c r="AY14" s="870">
        <v>976.27345360169488</v>
      </c>
      <c r="AZ14" s="870">
        <v>339.07655867319914</v>
      </c>
      <c r="BA14" s="870">
        <f t="shared" si="3"/>
        <v>285</v>
      </c>
      <c r="BB14" s="870">
        <f>PPH_Data_Base28[[#This Row],[PPH Unit Basic Price With Cu Tube]]*0.1</f>
        <v>488.40000000000003</v>
      </c>
      <c r="BC14" s="870">
        <v>48.951976640370425</v>
      </c>
      <c r="BD14" s="870">
        <v>163.17325546790141</v>
      </c>
      <c r="BE14" s="870">
        <v>54.39108515596714</v>
      </c>
      <c r="BF14" s="870">
        <v>54.39108515596714</v>
      </c>
      <c r="BG14" s="870">
        <v>54.39108515596714</v>
      </c>
      <c r="BH14" s="870">
        <f>PPH_Data_Base28[[#This Row],[PPH Unit Basic Price With Cu Tube]]*0.075</f>
        <v>366.3</v>
      </c>
      <c r="BI14" s="870">
        <v>163.17325546790141</v>
      </c>
      <c r="BJ14" s="870">
        <v>54.39108515596714</v>
      </c>
      <c r="BK14" s="870">
        <v>54.39108515596714</v>
      </c>
      <c r="BL14" s="870">
        <v>54.39108515596714</v>
      </c>
      <c r="BM14" s="781">
        <f>PPH_Data_Base28[[#This Row],[Total Condenser Coil Area]]*Naming!$M$62*4</f>
        <v>1612.8</v>
      </c>
      <c r="BN14" s="781">
        <f>PPH_Data_Base28[[#This Row],[Total Evaporator  Coil Area]]*Naming!$M$62*4</f>
        <v>806.4</v>
      </c>
      <c r="BO14" s="781">
        <f>PPH_Data_Base28[[#This Row],[Total Condenser Coil Area]]*Naming!$D$61*4</f>
        <v>24.48</v>
      </c>
      <c r="BP14" s="781">
        <f>PPH_Data_Base28[[#This Row],[Total Evaporator  Coil Area]]*Naming!$D$61*6</f>
        <v>18.36</v>
      </c>
      <c r="BQ14" s="781">
        <f>$G$195*PPH_Data_Base28[[#This Row],[Total Evaporator  Coil Area]]</f>
        <v>40.5</v>
      </c>
      <c r="BR14" s="781">
        <f>$G$199*PPH_Data_Base28[[#This Row],[Total Evaporator  Coil Area]]</f>
        <v>61.199999999999996</v>
      </c>
      <c r="BS14" s="781">
        <f>$E$185*PPH_Data_Base28[[#This Row],[Total Evaporator  Coil Area]]</f>
        <v>180</v>
      </c>
      <c r="BT14" s="781">
        <f>$E$188*PPH_Data_Base28[[#This Row],[Total Evaporator  Coil Area]]</f>
        <v>252</v>
      </c>
      <c r="BU14" s="781">
        <f>$G$195*PPH_Data_Base28[[#This Row],[Total Condenser Coil Area]]</f>
        <v>81</v>
      </c>
      <c r="BV14" s="781">
        <f>$G$199*PPH_Data_Base28[[#This Row],[Total Condenser Coil Area]]</f>
        <v>122.39999999999999</v>
      </c>
      <c r="BW14" s="781">
        <f>$E$185*PPH_Data_Base28[[#This Row],[Total Condenser Coil Area]]</f>
        <v>360</v>
      </c>
      <c r="BX14" s="781">
        <f>$E$188*PPH_Data_Base28[[#This Row],[Total Condenser Coil Area]]</f>
        <v>504</v>
      </c>
      <c r="BY14" s="781">
        <v>164.49451675364747</v>
      </c>
      <c r="BZ14" s="870">
        <v>101.83257852254236</v>
      </c>
      <c r="CA14" s="870">
        <v>121.42279201980509</v>
      </c>
      <c r="CB14" s="870">
        <v>80.306079378177941</v>
      </c>
      <c r="CC14" s="870">
        <v>74.152542372881356</v>
      </c>
      <c r="CD14" s="870">
        <f t="shared" si="1"/>
        <v>72.033898305084804</v>
      </c>
      <c r="CE14" s="870">
        <v>20</v>
      </c>
      <c r="CF14" s="832">
        <v>0</v>
      </c>
      <c r="CG14" s="870">
        <f>PPH_Data_Base28[[#This Row],[PPH Unit Basic Price With Cu Tube]]*0.25</f>
        <v>1221</v>
      </c>
      <c r="CH14" s="870">
        <f>PPH_Data_Base28[[#This Row],[DSP Unit Basic Price With Cu Tube]]*0.35</f>
        <v>1156.3999999999999</v>
      </c>
      <c r="CI14" s="781">
        <v>89.190356144067806</v>
      </c>
      <c r="CJ14" s="781">
        <v>129.77347881355934</v>
      </c>
      <c r="CK14" s="781">
        <v>18.596238771186442</v>
      </c>
      <c r="CL14" s="781">
        <v>96.045197740112997</v>
      </c>
      <c r="CM14" s="870">
        <v>14.40677966101695</v>
      </c>
      <c r="CN14" s="781">
        <v>52.824858757062145</v>
      </c>
      <c r="CO14" s="870">
        <v>0</v>
      </c>
      <c r="CP14" s="781">
        <v>86.306595268361576</v>
      </c>
      <c r="CQ14" s="870">
        <v>80.752048163841806</v>
      </c>
      <c r="CR14" s="781">
        <v>248.96402542372883</v>
      </c>
      <c r="CS14" s="870">
        <v>383.28903389830515</v>
      </c>
      <c r="CT14" s="781">
        <v>432.55649717514126</v>
      </c>
      <c r="CU14" s="870">
        <v>92.15585593220338</v>
      </c>
      <c r="CV14" s="870">
        <v>248.58757062146893</v>
      </c>
      <c r="CW14" s="870">
        <f>400*1.35*PPH_Data_Base28[[#This Row],[No. of Unit  Compressors]]</f>
        <v>540</v>
      </c>
      <c r="CX14" s="835">
        <v>0</v>
      </c>
      <c r="CY14" s="871">
        <f>47*PPH_Data_Base28[[#This Row],[No. of Unit  Compressors]]*1.35</f>
        <v>63.45</v>
      </c>
      <c r="CZ14" s="871">
        <f>30*1.35*PPH_Data_Base28[[#This Row],[NO Condenser Fans]]</f>
        <v>81</v>
      </c>
      <c r="DA14" s="781">
        <f>INDEX($B$136:$F$154,MATCH(PPH_Data_Base28[[#This Row],[STD Supply Fan Motor]],$B$136:$B$154,0),5)*PPH_Data_Base28[[#This Row],[Fan QTY]]</f>
        <v>36.69975367231639</v>
      </c>
      <c r="DB14" s="871">
        <f>47*1.35*PPH_Data_Base28[[#This Row],[No. of Unit  Compressors]]</f>
        <v>63.45</v>
      </c>
      <c r="DC14" s="871">
        <f>28*PPH_Data_Base28[[#This Row],[NO Condenser Fans]]</f>
        <v>56</v>
      </c>
      <c r="DD14" s="781">
        <f>INDEX($B$136:$F$154,MATCH(PPH_Data_Base28[[#This Row],[STD Supply Fan Motor]],$B$136:$B$154,0),3)*PPH_Data_Base28[[#This Row],[Fan QTY]]</f>
        <v>24.627741525423726</v>
      </c>
      <c r="DE14" s="870">
        <f>INDEX($B$114:$C$131,MATCH(PPH_Data_Base28[[#This Row],[Compressor 1 HP]],$B$114:$B$131,0),2)*PPH_Data_Base28[[#This Row],[Compressor 1 QTY]]+IFERROR(INDEX($B$114:$C$131,MATCH(PPH_Data_Base28[[#This Row],[Compressor 2 HP]],$B$114:$B$131,0),2)*PPH_Data_Base28[[#This Row],[Compressor 2 QTY]],0)</f>
        <v>42</v>
      </c>
      <c r="DF14" s="870">
        <f>38*PPH_Data_Base28[[#This Row],[NO Condenser Fans]]</f>
        <v>76</v>
      </c>
      <c r="DG14" s="870">
        <f>INDEX($B$136:$F$154,MATCH(PPH_Data_Base28[[#This Row],[STD Supply Fan Motor]],$B$136:$B$154,0),5)*PPH_Data_Base28[[#This Row],[Fan QTY]]</f>
        <v>36.69975367231639</v>
      </c>
      <c r="DH14" s="781">
        <v>58.262711864406782</v>
      </c>
      <c r="DI14" s="781">
        <v>58.262711864406782</v>
      </c>
      <c r="DJ14" s="870">
        <f>INDEX($F$114:$G$124,MATCH(PPH_Data_Base28[[#This Row],[Compressor 1 HP]],$F$114:$F$124,0),2)</f>
        <v>2600</v>
      </c>
      <c r="DK14" s="870">
        <f>INDEX($F$114:$G$124,MATCH(PPH_Data_Base28[[#This Row],[Compressor 1 HP]],$F$114:$F$124,0),2)*PPH_Data_Base28[[#This Row],[Compressor 1 QTY]]+IFERROR(INDEX($F$114:$G$124,MATCH(PPH_Data_Base28[[#This Row],[Compressor 2 HP]],$F$114:$F$124,0),2)*PPH_Data_Base28[[#This Row],[Compressor 2 QTY]],0)</f>
        <v>2600</v>
      </c>
      <c r="DL14" s="870">
        <v>905</v>
      </c>
      <c r="DM14" s="870">
        <v>564.9717514124294</v>
      </c>
      <c r="DN14" s="870">
        <v>213.62952090395484</v>
      </c>
      <c r="DO14" s="870">
        <v>2713.4650319209045</v>
      </c>
      <c r="DP14" s="870">
        <v>173.0225988700565</v>
      </c>
      <c r="DQ14" s="781">
        <f>PPH_Data_Base28[[#This Row],[NEMA 4X For Electrical Panel]]</f>
        <v>173.0225988700565</v>
      </c>
      <c r="DR14" s="870">
        <v>173.0225988700565</v>
      </c>
      <c r="DS14" s="870">
        <v>120.05649717514125</v>
      </c>
      <c r="DT14" s="870">
        <f>PPH_Data_Base28[[#This Row],[NO Condenser Fans]]*350</f>
        <v>700</v>
      </c>
      <c r="DU14" s="870">
        <v>238.27442754237299</v>
      </c>
      <c r="DV14" s="870">
        <f>150*PPH_Data_Base28[[#This Row],[NO Condenser Fans]]</f>
        <v>300</v>
      </c>
      <c r="DW14" s="781">
        <v>757.4152542372882</v>
      </c>
      <c r="DX14" s="781">
        <v>250</v>
      </c>
      <c r="DY14" s="870">
        <v>700</v>
      </c>
      <c r="DZ14" s="870">
        <v>100</v>
      </c>
      <c r="EA14" s="870">
        <v>540</v>
      </c>
      <c r="EB14" s="870">
        <v>4.186805084745763</v>
      </c>
      <c r="EC14" s="870">
        <v>23.305084745762713</v>
      </c>
      <c r="ED14" s="870">
        <v>58.361196822033918</v>
      </c>
      <c r="EE14" s="870">
        <v>350</v>
      </c>
      <c r="EF14" s="870">
        <v>350</v>
      </c>
      <c r="EG14" s="870">
        <v>286</v>
      </c>
      <c r="EH14" s="870">
        <v>375</v>
      </c>
      <c r="EI14" s="870">
        <v>138</v>
      </c>
      <c r="EJ14" s="870">
        <v>81</v>
      </c>
      <c r="EK14" s="870">
        <v>33.75</v>
      </c>
      <c r="EL14" s="870">
        <v>67.5</v>
      </c>
      <c r="EM14" s="870">
        <v>337.5</v>
      </c>
      <c r="EN14" s="870">
        <v>67</v>
      </c>
      <c r="EO14" s="870">
        <v>371</v>
      </c>
      <c r="EP14" s="870">
        <v>385.53092711864412</v>
      </c>
      <c r="EQ14" s="870">
        <v>26</v>
      </c>
      <c r="ER14" s="870">
        <v>324</v>
      </c>
      <c r="ES14" s="870">
        <v>22</v>
      </c>
      <c r="ET14" s="870">
        <v>65</v>
      </c>
      <c r="EU14" s="870">
        <v>203</v>
      </c>
      <c r="EV14" s="870">
        <v>250</v>
      </c>
      <c r="EW14" s="847">
        <v>0</v>
      </c>
      <c r="EX14" s="781">
        <v>46.384451977401142</v>
      </c>
      <c r="EY14" s="781">
        <v>333.11975593220342</v>
      </c>
      <c r="EZ14" s="870">
        <v>19.209039548022599</v>
      </c>
      <c r="FA14" s="870">
        <v>40</v>
      </c>
      <c r="FB14" s="870">
        <v>40</v>
      </c>
      <c r="FC14" s="870">
        <v>22.775173728813563</v>
      </c>
      <c r="FD14" s="870">
        <v>22.775173728813563</v>
      </c>
      <c r="FE14" s="870">
        <v>19.774011299435031</v>
      </c>
      <c r="FF14" s="870">
        <v>26.129943502824862</v>
      </c>
      <c r="FG14" s="870">
        <v>200</v>
      </c>
      <c r="FH14" s="870">
        <v>145.93000229340572</v>
      </c>
      <c r="FI14" s="870">
        <v>88.681403834083682</v>
      </c>
      <c r="FJ14" s="870">
        <v>26</v>
      </c>
      <c r="FK14" s="870">
        <f>PPH_Data_Base28[[#This Row],[Differential Pressure Switch]]*2</f>
        <v>52</v>
      </c>
      <c r="FL14" s="870">
        <v>42</v>
      </c>
      <c r="FM14" s="872">
        <f>PPH_Data_Base28[[#This Row],[STD PETRA DIAL DIFF.PRESS.GAUGE NOT DWYER]]*2</f>
        <v>84</v>
      </c>
      <c r="FN14" s="872">
        <v>75</v>
      </c>
      <c r="FO14" s="872">
        <f>PPH_Data_Base28[[#This Row],[Replaceble Filter Drier ]]</f>
        <v>96.045197740112997</v>
      </c>
      <c r="FP14" s="872">
        <f>PPH_Data_Base28[[#This Row],[2" Pre-Filter]]*2</f>
        <v>47.44138020991528</v>
      </c>
      <c r="FQ14" s="872">
        <f>PPH_Data_Base28[[#This Row],[Bag Filter EU-8]]</f>
        <v>216.62725959292374</v>
      </c>
      <c r="FR14" s="872">
        <v>500</v>
      </c>
      <c r="FS14" s="872">
        <v>30</v>
      </c>
      <c r="FT14" s="176"/>
      <c r="FU14" s="176"/>
      <c r="FV14" s="176"/>
      <c r="FW14" s="176"/>
      <c r="FX14" s="176"/>
      <c r="FY14" s="176"/>
      <c r="GA14" s="176"/>
      <c r="GB14" s="176"/>
      <c r="GC14" s="176"/>
      <c r="GD14" s="176"/>
      <c r="GE14" s="176"/>
      <c r="GG14" s="176"/>
      <c r="GI14" s="176"/>
      <c r="GK14" s="176"/>
      <c r="GL14" s="176"/>
      <c r="GM14" s="176"/>
      <c r="GN14" s="176"/>
      <c r="GO14" s="176"/>
      <c r="GP14" s="176"/>
      <c r="GQ14" s="176"/>
      <c r="GW14" s="176"/>
      <c r="GX14" s="176"/>
      <c r="HC14" s="176"/>
    </row>
    <row r="15" spans="1:211">
      <c r="A15" s="780" t="s">
        <v>446</v>
      </c>
      <c r="B15" s="781" t="s">
        <v>1550</v>
      </c>
      <c r="C15" s="781" t="s">
        <v>519</v>
      </c>
      <c r="D15" s="870" t="s">
        <v>1552</v>
      </c>
      <c r="E15" s="870" t="s">
        <v>1551</v>
      </c>
      <c r="F15" s="870" t="s">
        <v>1553</v>
      </c>
      <c r="G15" s="851">
        <v>0</v>
      </c>
      <c r="H15" s="870" t="s">
        <v>2248</v>
      </c>
      <c r="I15" s="781" t="s">
        <v>1537</v>
      </c>
      <c r="J15" s="781" t="s">
        <v>1538</v>
      </c>
      <c r="K15" s="781">
        <v>1</v>
      </c>
      <c r="L15" s="781" t="s">
        <v>568</v>
      </c>
      <c r="M15" s="781">
        <v>2</v>
      </c>
      <c r="N15" s="300">
        <v>2</v>
      </c>
      <c r="O15" s="781">
        <v>18</v>
      </c>
      <c r="P15" s="781">
        <v>9</v>
      </c>
      <c r="Q15" s="781">
        <v>2</v>
      </c>
      <c r="R15" s="781">
        <v>5</v>
      </c>
      <c r="S15" s="781">
        <v>1</v>
      </c>
      <c r="T15" s="781">
        <v>4</v>
      </c>
      <c r="U15" s="781">
        <v>1</v>
      </c>
      <c r="V15" s="781">
        <v>128</v>
      </c>
      <c r="W15" s="781">
        <v>259</v>
      </c>
      <c r="X15" s="870"/>
      <c r="Y15" s="835">
        <v>0</v>
      </c>
      <c r="Z15" s="782">
        <v>4697</v>
      </c>
      <c r="AA15" s="782">
        <v>5466</v>
      </c>
      <c r="AB15" s="870">
        <v>3706</v>
      </c>
      <c r="AC15" s="834">
        <v>0</v>
      </c>
      <c r="AD15" s="781">
        <v>143.71468926553672</v>
      </c>
      <c r="AE15" s="870">
        <v>130.64971751412429</v>
      </c>
      <c r="AF15" s="870">
        <v>130.64971751412429</v>
      </c>
      <c r="AG15" s="870">
        <v>156.77966101694918</v>
      </c>
      <c r="AH15" s="781">
        <v>172.45762711864407</v>
      </c>
      <c r="AI15" s="870">
        <v>156.77966101694918</v>
      </c>
      <c r="AJ15" s="870">
        <v>156.77966101694918</v>
      </c>
      <c r="AK15" s="870">
        <v>188.13559322033899</v>
      </c>
      <c r="AL15" s="870">
        <f>PPH_Data_Base28[[#This Row],[PPH Unit Basic Price With Cu Tube]]*0.05</f>
        <v>273.3</v>
      </c>
      <c r="AM15" s="781">
        <v>61.798152238657636</v>
      </c>
      <c r="AN15" s="781">
        <v>318.97997046228807</v>
      </c>
      <c r="AO15" s="781">
        <v>602.87214417372456</v>
      </c>
      <c r="AP15" s="781">
        <v>243.00000000000003</v>
      </c>
      <c r="AQ15" s="781">
        <v>270</v>
      </c>
      <c r="AR15" s="781">
        <f t="shared" si="2"/>
        <v>181.5</v>
      </c>
      <c r="AS15" s="781">
        <v>295.37529917593218</v>
      </c>
      <c r="AT15" s="781">
        <v>1451.4140380035255</v>
      </c>
      <c r="AU15" s="781">
        <v>23.72069010495764</v>
      </c>
      <c r="AV15" s="781">
        <v>216.62725959292374</v>
      </c>
      <c r="AW15" s="870">
        <v>1255.2800000000002</v>
      </c>
      <c r="AX15" s="870">
        <v>266</v>
      </c>
      <c r="AY15" s="870">
        <v>976.27345360169488</v>
      </c>
      <c r="AZ15" s="870">
        <v>339.07655867319914</v>
      </c>
      <c r="BA15" s="870">
        <f t="shared" si="3"/>
        <v>285</v>
      </c>
      <c r="BB15" s="870">
        <f>PPH_Data_Base28[[#This Row],[PPH Unit Basic Price With Cu Tube]]*0.1</f>
        <v>546.6</v>
      </c>
      <c r="BC15" s="870">
        <v>52.954585324969891</v>
      </c>
      <c r="BD15" s="870">
        <v>176.51528441656632</v>
      </c>
      <c r="BE15" s="870">
        <v>58.838428138855441</v>
      </c>
      <c r="BF15" s="870">
        <v>58.838428138855441</v>
      </c>
      <c r="BG15" s="870">
        <v>58.838428138855441</v>
      </c>
      <c r="BH15" s="870">
        <f>PPH_Data_Base28[[#This Row],[PPH Unit Basic Price With Cu Tube]]*0.075</f>
        <v>409.95</v>
      </c>
      <c r="BI15" s="870">
        <v>176.51528441656632</v>
      </c>
      <c r="BJ15" s="870">
        <v>58.838428138855441</v>
      </c>
      <c r="BK15" s="870">
        <v>58.838428138855441</v>
      </c>
      <c r="BL15" s="870">
        <v>58.838428138855441</v>
      </c>
      <c r="BM15" s="781">
        <f>PPH_Data_Base28[[#This Row],[Total Condenser Coil Area]]*Naming!$M$62*4</f>
        <v>1612.8</v>
      </c>
      <c r="BN15" s="781">
        <f>PPH_Data_Base28[[#This Row],[Total Evaporator  Coil Area]]*Naming!$M$62*4</f>
        <v>806.4</v>
      </c>
      <c r="BO15" s="781">
        <f>PPH_Data_Base28[[#This Row],[Total Condenser Coil Area]]*Naming!$D$61*4</f>
        <v>24.48</v>
      </c>
      <c r="BP15" s="781">
        <f>PPH_Data_Base28[[#This Row],[Total Evaporator  Coil Area]]*Naming!$D$61*6</f>
        <v>18.36</v>
      </c>
      <c r="BQ15" s="781">
        <f>$G$195*PPH_Data_Base28[[#This Row],[Total Evaporator  Coil Area]]</f>
        <v>40.5</v>
      </c>
      <c r="BR15" s="781">
        <f>$G$199*PPH_Data_Base28[[#This Row],[Total Evaporator  Coil Area]]</f>
        <v>61.199999999999996</v>
      </c>
      <c r="BS15" s="781">
        <f>$E$185*PPH_Data_Base28[[#This Row],[Total Evaporator  Coil Area]]</f>
        <v>180</v>
      </c>
      <c r="BT15" s="781">
        <f>$E$188*PPH_Data_Base28[[#This Row],[Total Evaporator  Coil Area]]</f>
        <v>252</v>
      </c>
      <c r="BU15" s="781">
        <f>$G$195*PPH_Data_Base28[[#This Row],[Total Condenser Coil Area]]</f>
        <v>81</v>
      </c>
      <c r="BV15" s="781">
        <f>$G$199*PPH_Data_Base28[[#This Row],[Total Condenser Coil Area]]</f>
        <v>122.39999999999999</v>
      </c>
      <c r="BW15" s="781">
        <f>$E$185*PPH_Data_Base28[[#This Row],[Total Condenser Coil Area]]</f>
        <v>360</v>
      </c>
      <c r="BX15" s="781">
        <f>$E$188*PPH_Data_Base28[[#This Row],[Total Condenser Coil Area]]</f>
        <v>504</v>
      </c>
      <c r="BY15" s="781">
        <v>164.49451675364747</v>
      </c>
      <c r="BZ15" s="870">
        <v>101.83257852254236</v>
      </c>
      <c r="CA15" s="870">
        <v>161.89705602640677</v>
      </c>
      <c r="CB15" s="870">
        <v>107.07477250423727</v>
      </c>
      <c r="CC15" s="870">
        <v>74.152542372881356</v>
      </c>
      <c r="CD15" s="870">
        <f t="shared" si="1"/>
        <v>72.033898305084804</v>
      </c>
      <c r="CE15" s="870">
        <v>20</v>
      </c>
      <c r="CF15" s="832">
        <v>0</v>
      </c>
      <c r="CG15" s="870">
        <f>PPH_Data_Base28[[#This Row],[PPH Unit Basic Price With Cu Tube]]*0.25</f>
        <v>1366.5</v>
      </c>
      <c r="CH15" s="870">
        <f>PPH_Data_Base28[[#This Row],[DSP Unit Basic Price With Cu Tube]]*0.35</f>
        <v>1297.0999999999999</v>
      </c>
      <c r="CI15" s="781">
        <v>178.38071228813561</v>
      </c>
      <c r="CJ15" s="781">
        <v>259.54695762711867</v>
      </c>
      <c r="CK15" s="781">
        <v>37.192477542372885</v>
      </c>
      <c r="CL15" s="781">
        <v>192.09039548022599</v>
      </c>
      <c r="CM15" s="870">
        <v>28.8135593220339</v>
      </c>
      <c r="CN15" s="781">
        <v>72.033898305084747</v>
      </c>
      <c r="CO15" s="870">
        <v>247.72664406779666</v>
      </c>
      <c r="CP15" s="781">
        <v>111.74139378531072</v>
      </c>
      <c r="CQ15" s="870">
        <v>118.82412683615819</v>
      </c>
      <c r="CR15" s="781">
        <v>248.96402542372883</v>
      </c>
      <c r="CS15" s="870">
        <v>502.32020169491528</v>
      </c>
      <c r="CT15" s="781">
        <v>865.11299435028252</v>
      </c>
      <c r="CU15" s="870">
        <v>184.31171186440676</v>
      </c>
      <c r="CV15" s="870">
        <v>497.17514124293785</v>
      </c>
      <c r="CW15" s="870">
        <f>400*1.35*PPH_Data_Base28[[#This Row],[No. of Unit  Compressors]]</f>
        <v>1080</v>
      </c>
      <c r="CX15" s="835">
        <v>0</v>
      </c>
      <c r="CY15" s="871">
        <f>47*PPH_Data_Base28[[#This Row],[No. of Unit  Compressors]]*1.35</f>
        <v>126.9</v>
      </c>
      <c r="CZ15" s="871">
        <f>30*1.35*PPH_Data_Base28[[#This Row],[NO Condenser Fans]]</f>
        <v>81</v>
      </c>
      <c r="DA15" s="781">
        <f>INDEX($B$136:$F$154,MATCH(PPH_Data_Base28[[#This Row],[STD Supply Fan Motor]],$B$136:$B$154,0),5)*PPH_Data_Base28[[#This Row],[Fan QTY]]</f>
        <v>36.69975367231639</v>
      </c>
      <c r="DB15" s="871">
        <f>47*1.35*PPH_Data_Base28[[#This Row],[No. of Unit  Compressors]]</f>
        <v>126.9</v>
      </c>
      <c r="DC15" s="871">
        <f>28*PPH_Data_Base28[[#This Row],[NO Condenser Fans]]</f>
        <v>56</v>
      </c>
      <c r="DD15" s="781">
        <f>INDEX($B$136:$F$154,MATCH(PPH_Data_Base28[[#This Row],[STD Supply Fan Motor]],$B$136:$B$154,0),3)*PPH_Data_Base28[[#This Row],[Fan QTY]]</f>
        <v>24.627741525423726</v>
      </c>
      <c r="DE15" s="870">
        <f>INDEX($B$114:$C$131,MATCH(PPH_Data_Base28[[#This Row],[Compressor 1 HP]],$B$114:$B$131,0),2)*PPH_Data_Base28[[#This Row],[Compressor 1 QTY]]+IFERROR(INDEX($B$114:$C$131,MATCH(PPH_Data_Base28[[#This Row],[Compressor 2 HP]],$B$114:$B$131,0),2)*PPH_Data_Base28[[#This Row],[Compressor 2 QTY]],0)</f>
        <v>55</v>
      </c>
      <c r="DF15" s="870">
        <f>38*PPH_Data_Base28[[#This Row],[NO Condenser Fans]]</f>
        <v>76</v>
      </c>
      <c r="DG15" s="870">
        <f>INDEX($B$136:$F$154,MATCH(PPH_Data_Base28[[#This Row],[STD Supply Fan Motor]],$B$136:$B$154,0),5)*PPH_Data_Base28[[#This Row],[Fan QTY]]</f>
        <v>36.69975367231639</v>
      </c>
      <c r="DH15" s="781">
        <v>58.262711864406782</v>
      </c>
      <c r="DI15" s="781">
        <v>58.262711864406782</v>
      </c>
      <c r="DJ15" s="870">
        <f>INDEX($F$114:$G$124,MATCH(PPH_Data_Base28[[#This Row],[Compressor 1 HP]],$F$114:$F$124,0),2)</f>
        <v>2400</v>
      </c>
      <c r="DK15" s="870">
        <f>INDEX($F$114:$G$124,MATCH(PPH_Data_Base28[[#This Row],[Compressor 1 HP]],$F$114:$F$124,0),2)*PPH_Data_Base28[[#This Row],[Compressor 1 QTY]]+IFERROR(INDEX($F$114:$G$124,MATCH(PPH_Data_Base28[[#This Row],[Compressor 2 HP]],$F$114:$F$124,0),2)*PPH_Data_Base28[[#This Row],[Compressor 2 QTY]],0)</f>
        <v>4700</v>
      </c>
      <c r="DL15" s="870">
        <v>905</v>
      </c>
      <c r="DM15" s="870">
        <v>564.9717514124294</v>
      </c>
      <c r="DN15" s="870">
        <v>213.62952090395484</v>
      </c>
      <c r="DO15" s="870">
        <v>2713.4650319209045</v>
      </c>
      <c r="DP15" s="870">
        <v>173.0225988700565</v>
      </c>
      <c r="DQ15" s="781">
        <f>PPH_Data_Base28[[#This Row],[NEMA 4X For Electrical Panel]]</f>
        <v>173.0225988700565</v>
      </c>
      <c r="DR15" s="870">
        <v>173.0225988700565</v>
      </c>
      <c r="DS15" s="870">
        <v>120.05649717514125</v>
      </c>
      <c r="DT15" s="870">
        <f>PPH_Data_Base28[[#This Row],[NO Condenser Fans]]*350</f>
        <v>700</v>
      </c>
      <c r="DU15" s="870">
        <v>238.27442754237299</v>
      </c>
      <c r="DV15" s="870">
        <f>150*PPH_Data_Base28[[#This Row],[NO Condenser Fans]]</f>
        <v>300</v>
      </c>
      <c r="DW15" s="781">
        <v>757.4152542372882</v>
      </c>
      <c r="DX15" s="781">
        <v>250</v>
      </c>
      <c r="DY15" s="870">
        <v>700</v>
      </c>
      <c r="DZ15" s="870">
        <v>100</v>
      </c>
      <c r="EA15" s="870">
        <v>540</v>
      </c>
      <c r="EB15" s="870">
        <v>4.186805084745763</v>
      </c>
      <c r="EC15" s="870">
        <v>23.305084745762713</v>
      </c>
      <c r="ED15" s="870">
        <v>58.361196822033918</v>
      </c>
      <c r="EE15" s="870">
        <v>350</v>
      </c>
      <c r="EF15" s="870">
        <v>350</v>
      </c>
      <c r="EG15" s="870">
        <v>286</v>
      </c>
      <c r="EH15" s="870">
        <v>375</v>
      </c>
      <c r="EI15" s="870">
        <v>138</v>
      </c>
      <c r="EJ15" s="870">
        <v>81</v>
      </c>
      <c r="EK15" s="870">
        <v>33.75</v>
      </c>
      <c r="EL15" s="870">
        <v>67.5</v>
      </c>
      <c r="EM15" s="870">
        <v>337.5</v>
      </c>
      <c r="EN15" s="870">
        <v>67</v>
      </c>
      <c r="EO15" s="870">
        <v>371</v>
      </c>
      <c r="EP15" s="870">
        <v>385.53092711864412</v>
      </c>
      <c r="EQ15" s="870">
        <v>26</v>
      </c>
      <c r="ER15" s="870">
        <v>324</v>
      </c>
      <c r="ES15" s="870">
        <v>22</v>
      </c>
      <c r="ET15" s="870">
        <v>65</v>
      </c>
      <c r="EU15" s="870">
        <v>203</v>
      </c>
      <c r="EV15" s="870">
        <v>250</v>
      </c>
      <c r="EW15" s="847">
        <v>0</v>
      </c>
      <c r="EX15" s="781">
        <v>46.384451977401142</v>
      </c>
      <c r="EY15" s="781">
        <v>333.11975593220342</v>
      </c>
      <c r="EZ15" s="870">
        <v>19.209039548022599</v>
      </c>
      <c r="FA15" s="870">
        <v>40</v>
      </c>
      <c r="FB15" s="870">
        <v>40</v>
      </c>
      <c r="FC15" s="870">
        <v>22.775173728813563</v>
      </c>
      <c r="FD15" s="870">
        <v>22.775173728813563</v>
      </c>
      <c r="FE15" s="870">
        <v>19.774011299435031</v>
      </c>
      <c r="FF15" s="870">
        <v>26.129943502824862</v>
      </c>
      <c r="FG15" s="870">
        <v>200</v>
      </c>
      <c r="FH15" s="870">
        <v>145.93000229340572</v>
      </c>
      <c r="FI15" s="870">
        <v>88.681403834083682</v>
      </c>
      <c r="FJ15" s="870">
        <v>26</v>
      </c>
      <c r="FK15" s="870">
        <f>PPH_Data_Base28[[#This Row],[Differential Pressure Switch]]*2</f>
        <v>52</v>
      </c>
      <c r="FL15" s="870">
        <v>42</v>
      </c>
      <c r="FM15" s="872">
        <f>PPH_Data_Base28[[#This Row],[STD PETRA DIAL DIFF.PRESS.GAUGE NOT DWYER]]*2</f>
        <v>84</v>
      </c>
      <c r="FN15" s="872">
        <v>75</v>
      </c>
      <c r="FO15" s="872">
        <f>PPH_Data_Base28[[#This Row],[Replaceble Filter Drier ]]</f>
        <v>192.09039548022599</v>
      </c>
      <c r="FP15" s="872">
        <f>PPH_Data_Base28[[#This Row],[2" Pre-Filter]]*2</f>
        <v>47.44138020991528</v>
      </c>
      <c r="FQ15" s="872">
        <f>PPH_Data_Base28[[#This Row],[Bag Filter EU-8]]</f>
        <v>216.62725959292374</v>
      </c>
      <c r="FR15" s="872">
        <v>500</v>
      </c>
      <c r="FS15" s="872">
        <v>30</v>
      </c>
      <c r="FT15" s="176"/>
      <c r="FU15" s="176"/>
      <c r="FV15" s="176"/>
      <c r="FW15" s="176"/>
      <c r="FX15" s="176"/>
      <c r="FY15" s="176"/>
      <c r="GA15" s="176"/>
      <c r="GB15" s="176"/>
      <c r="GC15" s="176"/>
      <c r="GD15" s="176"/>
      <c r="GE15" s="176"/>
      <c r="GG15" s="176"/>
      <c r="GI15" s="176"/>
      <c r="GK15" s="176"/>
      <c r="GL15" s="176"/>
      <c r="GM15" s="176"/>
      <c r="GN15" s="176"/>
      <c r="GO15" s="176"/>
      <c r="GP15" s="176"/>
      <c r="GQ15" s="176"/>
      <c r="GW15" s="176"/>
      <c r="GX15" s="176"/>
      <c r="HC15" s="176"/>
    </row>
    <row r="16" spans="1:211">
      <c r="A16" s="780" t="s">
        <v>447</v>
      </c>
      <c r="B16" s="781" t="s">
        <v>1555</v>
      </c>
      <c r="C16" s="781" t="s">
        <v>520</v>
      </c>
      <c r="D16" s="870" t="s">
        <v>1557</v>
      </c>
      <c r="E16" s="870" t="s">
        <v>1556</v>
      </c>
      <c r="F16" s="870" t="s">
        <v>1558</v>
      </c>
      <c r="G16" s="851">
        <v>0</v>
      </c>
      <c r="H16" s="870" t="s">
        <v>2248</v>
      </c>
      <c r="I16" s="781" t="s">
        <v>1554</v>
      </c>
      <c r="J16" s="781" t="s">
        <v>1538</v>
      </c>
      <c r="K16" s="781">
        <v>1</v>
      </c>
      <c r="L16" s="781" t="s">
        <v>568</v>
      </c>
      <c r="M16" s="781">
        <v>2</v>
      </c>
      <c r="N16" s="300">
        <v>2</v>
      </c>
      <c r="O16" s="781">
        <v>18</v>
      </c>
      <c r="P16" s="781">
        <v>9</v>
      </c>
      <c r="Q16" s="781">
        <v>1</v>
      </c>
      <c r="R16" s="781">
        <v>10</v>
      </c>
      <c r="S16" s="781">
        <v>1</v>
      </c>
      <c r="T16" s="781"/>
      <c r="U16" s="781"/>
      <c r="V16" s="781">
        <v>163</v>
      </c>
      <c r="W16" s="781">
        <v>259</v>
      </c>
      <c r="X16" s="870"/>
      <c r="Y16" s="835">
        <v>0</v>
      </c>
      <c r="Z16" s="782">
        <v>4506</v>
      </c>
      <c r="AA16" s="782">
        <v>5293</v>
      </c>
      <c r="AB16" s="870">
        <v>3717</v>
      </c>
      <c r="AC16" s="834">
        <v>0</v>
      </c>
      <c r="AD16" s="781">
        <v>143.71468926553672</v>
      </c>
      <c r="AE16" s="870">
        <v>130.64971751412429</v>
      </c>
      <c r="AF16" s="870">
        <v>130.64971751412429</v>
      </c>
      <c r="AG16" s="870">
        <v>156.77966101694918</v>
      </c>
      <c r="AH16" s="781">
        <v>172.45762711864407</v>
      </c>
      <c r="AI16" s="870">
        <v>156.77966101694918</v>
      </c>
      <c r="AJ16" s="870">
        <v>156.77966101694918</v>
      </c>
      <c r="AK16" s="870">
        <v>188.13559322033899</v>
      </c>
      <c r="AL16" s="870">
        <f>PPH_Data_Base28[[#This Row],[PPH Unit Basic Price With Cu Tube]]*0.05</f>
        <v>264.65000000000003</v>
      </c>
      <c r="AM16" s="781">
        <v>61.798152238657636</v>
      </c>
      <c r="AN16" s="781">
        <v>318.97997046228807</v>
      </c>
      <c r="AO16" s="781">
        <v>602.87214417372456</v>
      </c>
      <c r="AP16" s="781">
        <v>297</v>
      </c>
      <c r="AQ16" s="781">
        <v>270</v>
      </c>
      <c r="AR16" s="781">
        <f t="shared" si="2"/>
        <v>181.5</v>
      </c>
      <c r="AS16" s="781">
        <v>296.58728010813553</v>
      </c>
      <c r="AT16" s="781">
        <v>1453.3532074950506</v>
      </c>
      <c r="AU16" s="781">
        <v>23.72069010495764</v>
      </c>
      <c r="AV16" s="781">
        <v>216.62725959292374</v>
      </c>
      <c r="AW16" s="870">
        <v>1255.2800000000002</v>
      </c>
      <c r="AX16" s="870">
        <v>266</v>
      </c>
      <c r="AY16" s="870">
        <v>976.27345360169488</v>
      </c>
      <c r="AZ16" s="870">
        <v>339.07655867319914</v>
      </c>
      <c r="BA16" s="870">
        <f t="shared" si="3"/>
        <v>285</v>
      </c>
      <c r="BB16" s="870">
        <f>PPH_Data_Base28[[#This Row],[PPH Unit Basic Price With Cu Tube]]*0.1</f>
        <v>529.30000000000007</v>
      </c>
      <c r="BC16" s="870">
        <v>53.463484335743303</v>
      </c>
      <c r="BD16" s="870">
        <v>178.21161445247768</v>
      </c>
      <c r="BE16" s="870">
        <v>59.403871484159225</v>
      </c>
      <c r="BF16" s="870">
        <v>59.403871484159225</v>
      </c>
      <c r="BG16" s="870">
        <v>59.403871484159225</v>
      </c>
      <c r="BH16" s="870">
        <f>PPH_Data_Base28[[#This Row],[PPH Unit Basic Price With Cu Tube]]*0.075</f>
        <v>396.97499999999997</v>
      </c>
      <c r="BI16" s="870">
        <v>178.21161445247768</v>
      </c>
      <c r="BJ16" s="870">
        <v>59.403871484159225</v>
      </c>
      <c r="BK16" s="870">
        <v>59.403871484159225</v>
      </c>
      <c r="BL16" s="870">
        <v>59.403871484159225</v>
      </c>
      <c r="BM16" s="781">
        <f>PPH_Data_Base28[[#This Row],[Total Condenser Coil Area]]*Naming!$M$62*4</f>
        <v>1612.8</v>
      </c>
      <c r="BN16" s="781">
        <f>PPH_Data_Base28[[#This Row],[Total Evaporator  Coil Area]]*Naming!$M$62*4</f>
        <v>806.4</v>
      </c>
      <c r="BO16" s="781">
        <f>PPH_Data_Base28[[#This Row],[Total Condenser Coil Area]]*Naming!$D$61*4</f>
        <v>24.48</v>
      </c>
      <c r="BP16" s="781">
        <f>PPH_Data_Base28[[#This Row],[Total Evaporator  Coil Area]]*Naming!$D$61*6</f>
        <v>18.36</v>
      </c>
      <c r="BQ16" s="781">
        <f>$G$195*PPH_Data_Base28[[#This Row],[Total Evaporator  Coil Area]]</f>
        <v>40.5</v>
      </c>
      <c r="BR16" s="781">
        <f>$G$199*PPH_Data_Base28[[#This Row],[Total Evaporator  Coil Area]]</f>
        <v>61.199999999999996</v>
      </c>
      <c r="BS16" s="781">
        <f>$E$185*PPH_Data_Base28[[#This Row],[Total Evaporator  Coil Area]]</f>
        <v>180</v>
      </c>
      <c r="BT16" s="781">
        <f>$E$188*PPH_Data_Base28[[#This Row],[Total Evaporator  Coil Area]]</f>
        <v>252</v>
      </c>
      <c r="BU16" s="781">
        <f>$G$195*PPH_Data_Base28[[#This Row],[Total Condenser Coil Area]]</f>
        <v>81</v>
      </c>
      <c r="BV16" s="781">
        <f>$G$199*PPH_Data_Base28[[#This Row],[Total Condenser Coil Area]]</f>
        <v>122.39999999999999</v>
      </c>
      <c r="BW16" s="781">
        <f>$E$185*PPH_Data_Base28[[#This Row],[Total Condenser Coil Area]]</f>
        <v>360</v>
      </c>
      <c r="BX16" s="781">
        <f>$E$188*PPH_Data_Base28[[#This Row],[Total Condenser Coil Area]]</f>
        <v>504</v>
      </c>
      <c r="BY16" s="781">
        <v>164.49451675364747</v>
      </c>
      <c r="BZ16" s="870">
        <v>101.83257852254236</v>
      </c>
      <c r="CA16" s="870">
        <v>121.42279201980509</v>
      </c>
      <c r="CB16" s="870">
        <v>80.306079378177941</v>
      </c>
      <c r="CC16" s="870">
        <v>74.152542372881356</v>
      </c>
      <c r="CD16" s="870">
        <f t="shared" si="1"/>
        <v>72.033898305084804</v>
      </c>
      <c r="CE16" s="870">
        <v>20</v>
      </c>
      <c r="CF16" s="832">
        <v>0</v>
      </c>
      <c r="CG16" s="870">
        <f>PPH_Data_Base28[[#This Row],[PPH Unit Basic Price With Cu Tube]]*0.25</f>
        <v>1323.25</v>
      </c>
      <c r="CH16" s="870">
        <f>PPH_Data_Base28[[#This Row],[DSP Unit Basic Price With Cu Tube]]*0.35</f>
        <v>1300.9499999999998</v>
      </c>
      <c r="CI16" s="781">
        <v>89.190356144067806</v>
      </c>
      <c r="CJ16" s="781">
        <v>129.77347881355934</v>
      </c>
      <c r="CK16" s="781">
        <v>18.596238771186442</v>
      </c>
      <c r="CL16" s="781">
        <v>96.045197740112997</v>
      </c>
      <c r="CM16" s="870">
        <v>14.40677966101695</v>
      </c>
      <c r="CN16" s="781">
        <v>52.824858757062145</v>
      </c>
      <c r="CO16" s="870">
        <v>0</v>
      </c>
      <c r="CP16" s="781">
        <v>86.306595268361576</v>
      </c>
      <c r="CQ16" s="870">
        <v>80.752048163841806</v>
      </c>
      <c r="CR16" s="781">
        <v>248.96402542372883</v>
      </c>
      <c r="CS16" s="870">
        <v>383.28903389830515</v>
      </c>
      <c r="CT16" s="781">
        <v>432.55649717514126</v>
      </c>
      <c r="CU16" s="870">
        <v>92.15585593220338</v>
      </c>
      <c r="CV16" s="870">
        <v>248.58757062146893</v>
      </c>
      <c r="CW16" s="870">
        <f>400*1.35*PPH_Data_Base28[[#This Row],[No. of Unit  Compressors]]</f>
        <v>540</v>
      </c>
      <c r="CX16" s="835">
        <v>0</v>
      </c>
      <c r="CY16" s="871">
        <f>47*PPH_Data_Base28[[#This Row],[No. of Unit  Compressors]]*1.35</f>
        <v>63.45</v>
      </c>
      <c r="CZ16" s="871">
        <f>30*1.35*PPH_Data_Base28[[#This Row],[NO Condenser Fans]]</f>
        <v>81</v>
      </c>
      <c r="DA16" s="781">
        <f>INDEX($B$136:$F$154,MATCH(PPH_Data_Base28[[#This Row],[STD Supply Fan Motor]],$B$136:$B$154,0),5)*PPH_Data_Base28[[#This Row],[Fan QTY]]</f>
        <v>36.69975367231639</v>
      </c>
      <c r="DB16" s="871">
        <f>47*1.35*PPH_Data_Base28[[#This Row],[No. of Unit  Compressors]]</f>
        <v>63.45</v>
      </c>
      <c r="DC16" s="871">
        <f>28*PPH_Data_Base28[[#This Row],[NO Condenser Fans]]</f>
        <v>56</v>
      </c>
      <c r="DD16" s="781">
        <f>INDEX($B$136:$F$154,MATCH(PPH_Data_Base28[[#This Row],[STD Supply Fan Motor]],$B$136:$B$154,0),3)*PPH_Data_Base28[[#This Row],[Fan QTY]]</f>
        <v>24.627741525423726</v>
      </c>
      <c r="DE16" s="870">
        <f>INDEX($B$114:$C$131,MATCH(PPH_Data_Base28[[#This Row],[Compressor 1 HP]],$B$114:$B$131,0),2)*PPH_Data_Base28[[#This Row],[Compressor 1 QTY]]+IFERROR(INDEX($B$114:$C$131,MATCH(PPH_Data_Base28[[#This Row],[Compressor 2 HP]],$B$114:$B$131,0),2)*PPH_Data_Base28[[#This Row],[Compressor 2 QTY]],0)</f>
        <v>42</v>
      </c>
      <c r="DF16" s="870">
        <f>38*PPH_Data_Base28[[#This Row],[NO Condenser Fans]]</f>
        <v>76</v>
      </c>
      <c r="DG16" s="870">
        <f>INDEX($B$136:$F$154,MATCH(PPH_Data_Base28[[#This Row],[STD Supply Fan Motor]],$B$136:$B$154,0),5)*PPH_Data_Base28[[#This Row],[Fan QTY]]</f>
        <v>36.69975367231639</v>
      </c>
      <c r="DH16" s="781">
        <v>139.83050847457628</v>
      </c>
      <c r="DI16" s="781">
        <v>58.262711864406782</v>
      </c>
      <c r="DJ16" s="870">
        <f>INDEX($F$114:$G$124,MATCH(PPH_Data_Base28[[#This Row],[Compressor 1 HP]],$F$114:$F$124,0),2)</f>
        <v>2600</v>
      </c>
      <c r="DK16" s="870">
        <f>INDEX($F$114:$G$124,MATCH(PPH_Data_Base28[[#This Row],[Compressor 1 HP]],$F$114:$F$124,0),2)*PPH_Data_Base28[[#This Row],[Compressor 1 QTY]]+IFERROR(INDEX($F$114:$G$124,MATCH(PPH_Data_Base28[[#This Row],[Compressor 2 HP]],$F$114:$F$124,0),2)*PPH_Data_Base28[[#This Row],[Compressor 2 QTY]],0)</f>
        <v>2600</v>
      </c>
      <c r="DL16" s="870">
        <v>905</v>
      </c>
      <c r="DM16" s="870">
        <v>564.9717514124294</v>
      </c>
      <c r="DN16" s="870">
        <v>213.62952090395484</v>
      </c>
      <c r="DO16" s="870">
        <v>2713.4650319209045</v>
      </c>
      <c r="DP16" s="870">
        <v>173.0225988700565</v>
      </c>
      <c r="DQ16" s="781">
        <f>PPH_Data_Base28[[#This Row],[NEMA 4X For Electrical Panel]]</f>
        <v>173.0225988700565</v>
      </c>
      <c r="DR16" s="870">
        <v>173.0225988700565</v>
      </c>
      <c r="DS16" s="870">
        <v>120.05649717514125</v>
      </c>
      <c r="DT16" s="870">
        <f>PPH_Data_Base28[[#This Row],[NO Condenser Fans]]*350</f>
        <v>700</v>
      </c>
      <c r="DU16" s="870">
        <v>238.27442754237299</v>
      </c>
      <c r="DV16" s="870">
        <f>150*PPH_Data_Base28[[#This Row],[NO Condenser Fans]]</f>
        <v>300</v>
      </c>
      <c r="DW16" s="781">
        <v>757.4152542372882</v>
      </c>
      <c r="DX16" s="781">
        <v>250</v>
      </c>
      <c r="DY16" s="870">
        <v>700</v>
      </c>
      <c r="DZ16" s="870">
        <v>100</v>
      </c>
      <c r="EA16" s="870">
        <v>540</v>
      </c>
      <c r="EB16" s="870">
        <v>4.186805084745763</v>
      </c>
      <c r="EC16" s="870">
        <v>23.305084745762713</v>
      </c>
      <c r="ED16" s="870">
        <v>58.361196822033918</v>
      </c>
      <c r="EE16" s="870">
        <v>350</v>
      </c>
      <c r="EF16" s="870">
        <v>350</v>
      </c>
      <c r="EG16" s="870">
        <v>286</v>
      </c>
      <c r="EH16" s="870">
        <v>375</v>
      </c>
      <c r="EI16" s="870">
        <v>138</v>
      </c>
      <c r="EJ16" s="870">
        <v>81</v>
      </c>
      <c r="EK16" s="870">
        <v>33.75</v>
      </c>
      <c r="EL16" s="870">
        <v>67.5</v>
      </c>
      <c r="EM16" s="870">
        <v>337.5</v>
      </c>
      <c r="EN16" s="870">
        <v>67</v>
      </c>
      <c r="EO16" s="870">
        <v>371</v>
      </c>
      <c r="EP16" s="870">
        <v>385.53092711864412</v>
      </c>
      <c r="EQ16" s="870">
        <v>26</v>
      </c>
      <c r="ER16" s="870">
        <v>324</v>
      </c>
      <c r="ES16" s="870">
        <v>22</v>
      </c>
      <c r="ET16" s="870">
        <v>65</v>
      </c>
      <c r="EU16" s="870">
        <v>203</v>
      </c>
      <c r="EV16" s="870">
        <v>250</v>
      </c>
      <c r="EW16" s="847">
        <v>0</v>
      </c>
      <c r="EX16" s="781">
        <v>46.384451977401142</v>
      </c>
      <c r="EY16" s="781">
        <v>333.11975593220342</v>
      </c>
      <c r="EZ16" s="870">
        <v>19.209039548022599</v>
      </c>
      <c r="FA16" s="870">
        <v>40</v>
      </c>
      <c r="FB16" s="870">
        <v>40</v>
      </c>
      <c r="FC16" s="870">
        <v>22.775173728813563</v>
      </c>
      <c r="FD16" s="870">
        <v>22.775173728813563</v>
      </c>
      <c r="FE16" s="870">
        <v>19.774011299435031</v>
      </c>
      <c r="FF16" s="870">
        <v>26.129943502824862</v>
      </c>
      <c r="FG16" s="870">
        <v>200</v>
      </c>
      <c r="FH16" s="870">
        <v>145.93000229340572</v>
      </c>
      <c r="FI16" s="870">
        <v>88.681403834083682</v>
      </c>
      <c r="FJ16" s="870">
        <v>26</v>
      </c>
      <c r="FK16" s="870">
        <f>PPH_Data_Base28[[#This Row],[Differential Pressure Switch]]*2</f>
        <v>52</v>
      </c>
      <c r="FL16" s="870">
        <v>42</v>
      </c>
      <c r="FM16" s="872">
        <f>PPH_Data_Base28[[#This Row],[STD PETRA DIAL DIFF.PRESS.GAUGE NOT DWYER]]*2</f>
        <v>84</v>
      </c>
      <c r="FN16" s="872">
        <v>75</v>
      </c>
      <c r="FO16" s="872">
        <f>PPH_Data_Base28[[#This Row],[Replaceble Filter Drier ]]</f>
        <v>96.045197740112997</v>
      </c>
      <c r="FP16" s="872">
        <f>PPH_Data_Base28[[#This Row],[2" Pre-Filter]]*2</f>
        <v>47.44138020991528</v>
      </c>
      <c r="FQ16" s="872">
        <f>PPH_Data_Base28[[#This Row],[Bag Filter EU-8]]</f>
        <v>216.62725959292374</v>
      </c>
      <c r="FR16" s="872">
        <v>500</v>
      </c>
      <c r="FS16" s="872">
        <v>30</v>
      </c>
      <c r="FT16" s="176"/>
      <c r="FU16" s="176"/>
      <c r="FV16" s="176"/>
      <c r="FW16" s="176"/>
      <c r="FX16" s="176"/>
      <c r="FY16" s="176"/>
      <c r="GA16" s="176"/>
      <c r="GB16" s="176"/>
      <c r="GC16" s="176"/>
      <c r="GD16" s="176"/>
      <c r="GE16" s="176"/>
      <c r="GG16" s="176"/>
      <c r="GI16" s="176"/>
      <c r="GK16" s="176"/>
      <c r="GL16" s="176"/>
      <c r="GM16" s="176"/>
      <c r="GN16" s="176"/>
      <c r="GO16" s="176"/>
      <c r="GP16" s="176"/>
      <c r="GQ16" s="176"/>
      <c r="GW16" s="176"/>
      <c r="GX16" s="176"/>
      <c r="HC16" s="176"/>
    </row>
    <row r="17" spans="1:211">
      <c r="A17" s="780" t="s">
        <v>448</v>
      </c>
      <c r="B17" s="781" t="s">
        <v>1559</v>
      </c>
      <c r="C17" s="781" t="s">
        <v>521</v>
      </c>
      <c r="D17" s="870" t="s">
        <v>1560</v>
      </c>
      <c r="E17" s="870" t="s">
        <v>1053</v>
      </c>
      <c r="F17" s="870" t="s">
        <v>1561</v>
      </c>
      <c r="G17" s="851">
        <v>0</v>
      </c>
      <c r="H17" s="870" t="s">
        <v>2248</v>
      </c>
      <c r="I17" s="781" t="s">
        <v>1554</v>
      </c>
      <c r="J17" s="781" t="s">
        <v>1538</v>
      </c>
      <c r="K17" s="781">
        <v>1</v>
      </c>
      <c r="L17" s="781" t="s">
        <v>568</v>
      </c>
      <c r="M17" s="781">
        <v>2</v>
      </c>
      <c r="N17" s="300">
        <v>2</v>
      </c>
      <c r="O17" s="781">
        <v>18</v>
      </c>
      <c r="P17" s="781">
        <v>9</v>
      </c>
      <c r="Q17" s="781">
        <v>2</v>
      </c>
      <c r="R17" s="781">
        <v>5</v>
      </c>
      <c r="S17" s="781">
        <v>2</v>
      </c>
      <c r="T17" s="781"/>
      <c r="U17" s="781"/>
      <c r="V17" s="781">
        <v>163</v>
      </c>
      <c r="W17" s="781">
        <v>259</v>
      </c>
      <c r="X17" s="870" t="s">
        <v>412</v>
      </c>
      <c r="Y17" s="835">
        <v>0</v>
      </c>
      <c r="Z17" s="782">
        <v>4798</v>
      </c>
      <c r="AA17" s="782">
        <v>5611</v>
      </c>
      <c r="AB17" s="870">
        <v>3826</v>
      </c>
      <c r="AC17" s="834">
        <v>0</v>
      </c>
      <c r="AD17" s="781">
        <v>143.71468926553672</v>
      </c>
      <c r="AE17" s="870">
        <v>130.64971751412429</v>
      </c>
      <c r="AF17" s="870">
        <v>130.64971751412429</v>
      </c>
      <c r="AG17" s="870">
        <v>156.77966101694918</v>
      </c>
      <c r="AH17" s="781">
        <v>172.45762711864407</v>
      </c>
      <c r="AI17" s="870">
        <v>156.77966101694918</v>
      </c>
      <c r="AJ17" s="870">
        <v>156.77966101694918</v>
      </c>
      <c r="AK17" s="870">
        <v>188.13559322033899</v>
      </c>
      <c r="AL17" s="870">
        <f>PPH_Data_Base28[[#This Row],[PPH Unit Basic Price With Cu Tube]]*0.05</f>
        <v>280.55</v>
      </c>
      <c r="AM17" s="781">
        <v>61.798152238657636</v>
      </c>
      <c r="AN17" s="781">
        <v>318.97997046228807</v>
      </c>
      <c r="AO17" s="781">
        <v>602.87214417372456</v>
      </c>
      <c r="AP17" s="781">
        <v>297</v>
      </c>
      <c r="AQ17" s="781">
        <v>270</v>
      </c>
      <c r="AR17" s="781">
        <f t="shared" si="2"/>
        <v>181.5</v>
      </c>
      <c r="AS17" s="781">
        <v>296.58728010813553</v>
      </c>
      <c r="AT17" s="781">
        <v>1453.3532074950506</v>
      </c>
      <c r="AU17" s="781">
        <v>23.72069010495764</v>
      </c>
      <c r="AV17" s="781">
        <v>216.62725959292374</v>
      </c>
      <c r="AW17" s="870">
        <v>1421.2</v>
      </c>
      <c r="AX17" s="870">
        <v>266</v>
      </c>
      <c r="AY17" s="870">
        <v>976.27345360169488</v>
      </c>
      <c r="AZ17" s="870">
        <v>339.07655867319914</v>
      </c>
      <c r="BA17" s="870">
        <f t="shared" si="3"/>
        <v>285</v>
      </c>
      <c r="BB17" s="870">
        <f>PPH_Data_Base28[[#This Row],[PPH Unit Basic Price With Cu Tube]]*0.1</f>
        <v>561.1</v>
      </c>
      <c r="BC17" s="870">
        <v>55.505660258417336</v>
      </c>
      <c r="BD17" s="870">
        <v>185.0188675280578</v>
      </c>
      <c r="BE17" s="870">
        <v>61.67295584268593</v>
      </c>
      <c r="BF17" s="870">
        <v>61.67295584268593</v>
      </c>
      <c r="BG17" s="870">
        <v>61.67295584268593</v>
      </c>
      <c r="BH17" s="870">
        <f>PPH_Data_Base28[[#This Row],[PPH Unit Basic Price With Cu Tube]]*0.075</f>
        <v>420.82499999999999</v>
      </c>
      <c r="BI17" s="870">
        <v>185.0188675280578</v>
      </c>
      <c r="BJ17" s="870">
        <v>61.67295584268593</v>
      </c>
      <c r="BK17" s="870">
        <v>61.67295584268593</v>
      </c>
      <c r="BL17" s="870">
        <v>61.67295584268593</v>
      </c>
      <c r="BM17" s="781">
        <f>PPH_Data_Base28[[#This Row],[Total Condenser Coil Area]]*Naming!$M$62*4</f>
        <v>1612.8</v>
      </c>
      <c r="BN17" s="781">
        <f>PPH_Data_Base28[[#This Row],[Total Evaporator  Coil Area]]*Naming!$M$62*4</f>
        <v>806.4</v>
      </c>
      <c r="BO17" s="781">
        <f>PPH_Data_Base28[[#This Row],[Total Condenser Coil Area]]*Naming!$D$61*4</f>
        <v>24.48</v>
      </c>
      <c r="BP17" s="781">
        <f>PPH_Data_Base28[[#This Row],[Total Evaporator  Coil Area]]*Naming!$D$61*6</f>
        <v>18.36</v>
      </c>
      <c r="BQ17" s="781">
        <f>$G$195*PPH_Data_Base28[[#This Row],[Total Evaporator  Coil Area]]</f>
        <v>40.5</v>
      </c>
      <c r="BR17" s="781">
        <f>$G$199*PPH_Data_Base28[[#This Row],[Total Evaporator  Coil Area]]</f>
        <v>61.199999999999996</v>
      </c>
      <c r="BS17" s="781">
        <f>$E$185*PPH_Data_Base28[[#This Row],[Total Evaporator  Coil Area]]</f>
        <v>180</v>
      </c>
      <c r="BT17" s="781">
        <f>$E$188*PPH_Data_Base28[[#This Row],[Total Evaporator  Coil Area]]</f>
        <v>252</v>
      </c>
      <c r="BU17" s="781">
        <f>$G$195*PPH_Data_Base28[[#This Row],[Total Condenser Coil Area]]</f>
        <v>81</v>
      </c>
      <c r="BV17" s="781">
        <f>$G$199*PPH_Data_Base28[[#This Row],[Total Condenser Coil Area]]</f>
        <v>122.39999999999999</v>
      </c>
      <c r="BW17" s="781">
        <f>$E$185*PPH_Data_Base28[[#This Row],[Total Condenser Coil Area]]</f>
        <v>360</v>
      </c>
      <c r="BX17" s="781">
        <f>$E$188*PPH_Data_Base28[[#This Row],[Total Condenser Coil Area]]</f>
        <v>504</v>
      </c>
      <c r="BY17" s="781">
        <v>164.49451675364747</v>
      </c>
      <c r="BZ17" s="870">
        <v>101.83257852254236</v>
      </c>
      <c r="CA17" s="870">
        <v>161.89705602640677</v>
      </c>
      <c r="CB17" s="870">
        <v>107.07477250423727</v>
      </c>
      <c r="CC17" s="870">
        <v>74.152542372881356</v>
      </c>
      <c r="CD17" s="870">
        <f t="shared" si="1"/>
        <v>72.033898305084804</v>
      </c>
      <c r="CE17" s="870">
        <v>20</v>
      </c>
      <c r="CF17" s="832">
        <v>0</v>
      </c>
      <c r="CG17" s="870">
        <f>PPH_Data_Base28[[#This Row],[PPH Unit Basic Price With Cu Tube]]*0.25</f>
        <v>1402.75</v>
      </c>
      <c r="CH17" s="870">
        <f>PPH_Data_Base28[[#This Row],[DSP Unit Basic Price With Cu Tube]]*0.35</f>
        <v>1339.1</v>
      </c>
      <c r="CI17" s="781">
        <v>178.38071228813561</v>
      </c>
      <c r="CJ17" s="781">
        <v>259.54695762711867</v>
      </c>
      <c r="CK17" s="781">
        <v>37.192477542372885</v>
      </c>
      <c r="CL17" s="781">
        <v>192.09039548022599</v>
      </c>
      <c r="CM17" s="870">
        <v>28.8135593220339</v>
      </c>
      <c r="CN17" s="781">
        <v>72.033898305084747</v>
      </c>
      <c r="CO17" s="870">
        <v>247.72664406779666</v>
      </c>
      <c r="CP17" s="781">
        <v>111.74139378531072</v>
      </c>
      <c r="CQ17" s="870">
        <v>118.82412683615819</v>
      </c>
      <c r="CR17" s="781">
        <v>248.96402542372883</v>
      </c>
      <c r="CS17" s="870">
        <v>508.46715084745773</v>
      </c>
      <c r="CT17" s="781">
        <v>865.11299435028252</v>
      </c>
      <c r="CU17" s="870">
        <v>184.31171186440676</v>
      </c>
      <c r="CV17" s="870">
        <v>497.17514124293785</v>
      </c>
      <c r="CW17" s="870">
        <f>400*1.35*PPH_Data_Base28[[#This Row],[No. of Unit  Compressors]]</f>
        <v>1080</v>
      </c>
      <c r="CX17" s="835">
        <v>0</v>
      </c>
      <c r="CY17" s="871">
        <f>47*PPH_Data_Base28[[#This Row],[No. of Unit  Compressors]]*1.35</f>
        <v>126.9</v>
      </c>
      <c r="CZ17" s="871">
        <f>30*1.35*PPH_Data_Base28[[#This Row],[NO Condenser Fans]]</f>
        <v>81</v>
      </c>
      <c r="DA17" s="781">
        <f>INDEX($B$136:$F$154,MATCH(PPH_Data_Base28[[#This Row],[STD Supply Fan Motor]],$B$136:$B$154,0),5)*PPH_Data_Base28[[#This Row],[Fan QTY]]</f>
        <v>36.69975367231639</v>
      </c>
      <c r="DB17" s="871">
        <f>47*1.35*PPH_Data_Base28[[#This Row],[No. of Unit  Compressors]]</f>
        <v>126.9</v>
      </c>
      <c r="DC17" s="871">
        <f>28*PPH_Data_Base28[[#This Row],[NO Condenser Fans]]</f>
        <v>56</v>
      </c>
      <c r="DD17" s="781">
        <f>INDEX($B$136:$F$154,MATCH(PPH_Data_Base28[[#This Row],[STD Supply Fan Motor]],$B$136:$B$154,0),3)*PPH_Data_Base28[[#This Row],[Fan QTY]]</f>
        <v>24.627741525423726</v>
      </c>
      <c r="DE17" s="870">
        <f>INDEX($B$114:$C$131,MATCH(PPH_Data_Base28[[#This Row],[Compressor 1 HP]],$B$114:$B$131,0),2)*PPH_Data_Base28[[#This Row],[Compressor 1 QTY]]+IFERROR(INDEX($B$114:$C$131,MATCH(PPH_Data_Base28[[#This Row],[Compressor 2 HP]],$B$114:$B$131,0),2)*PPH_Data_Base28[[#This Row],[Compressor 2 QTY]],0)</f>
        <v>60</v>
      </c>
      <c r="DF17" s="870">
        <f>38*PPH_Data_Base28[[#This Row],[NO Condenser Fans]]</f>
        <v>76</v>
      </c>
      <c r="DG17" s="870">
        <f>INDEX($B$136:$F$154,MATCH(PPH_Data_Base28[[#This Row],[STD Supply Fan Motor]],$B$136:$B$154,0),5)*PPH_Data_Base28[[#This Row],[Fan QTY]]</f>
        <v>36.69975367231639</v>
      </c>
      <c r="DH17" s="781">
        <v>139.83050847457628</v>
      </c>
      <c r="DI17" s="781">
        <v>58.262711864406782</v>
      </c>
      <c r="DJ17" s="870">
        <f>INDEX($F$114:$G$124,MATCH(PPH_Data_Base28[[#This Row],[Compressor 1 HP]],$F$114:$F$124,0),2)</f>
        <v>2400</v>
      </c>
      <c r="DK17" s="870">
        <f>INDEX($F$114:$G$124,MATCH(PPH_Data_Base28[[#This Row],[Compressor 1 HP]],$F$114:$F$124,0),2)*PPH_Data_Base28[[#This Row],[Compressor 1 QTY]]+IFERROR(INDEX($F$114:$G$124,MATCH(PPH_Data_Base28[[#This Row],[Compressor 2 HP]],$F$114:$F$124,0),2)*PPH_Data_Base28[[#This Row],[Compressor 2 QTY]],0)</f>
        <v>4800</v>
      </c>
      <c r="DL17" s="870">
        <v>905</v>
      </c>
      <c r="DM17" s="870">
        <v>564.9717514124294</v>
      </c>
      <c r="DN17" s="870">
        <v>213.62952090395484</v>
      </c>
      <c r="DO17" s="870">
        <v>2713.4650319209045</v>
      </c>
      <c r="DP17" s="870">
        <v>173.0225988700565</v>
      </c>
      <c r="DQ17" s="781">
        <f>PPH_Data_Base28[[#This Row],[NEMA 4X For Electrical Panel]]</f>
        <v>173.0225988700565</v>
      </c>
      <c r="DR17" s="870">
        <v>173.0225988700565</v>
      </c>
      <c r="DS17" s="870">
        <v>120.05649717514125</v>
      </c>
      <c r="DT17" s="870">
        <f>PPH_Data_Base28[[#This Row],[NO Condenser Fans]]*350</f>
        <v>700</v>
      </c>
      <c r="DU17" s="870">
        <v>238.27442754237299</v>
      </c>
      <c r="DV17" s="870">
        <f>150*PPH_Data_Base28[[#This Row],[NO Condenser Fans]]</f>
        <v>300</v>
      </c>
      <c r="DW17" s="781">
        <v>757.4152542372882</v>
      </c>
      <c r="DX17" s="781">
        <v>250</v>
      </c>
      <c r="DY17" s="870">
        <v>700</v>
      </c>
      <c r="DZ17" s="870">
        <v>100</v>
      </c>
      <c r="EA17" s="870">
        <v>540</v>
      </c>
      <c r="EB17" s="870">
        <v>4.186805084745763</v>
      </c>
      <c r="EC17" s="870">
        <v>23.305084745762713</v>
      </c>
      <c r="ED17" s="870">
        <v>58.361196822033918</v>
      </c>
      <c r="EE17" s="870">
        <v>350</v>
      </c>
      <c r="EF17" s="870">
        <v>350</v>
      </c>
      <c r="EG17" s="870">
        <v>286</v>
      </c>
      <c r="EH17" s="870">
        <v>375</v>
      </c>
      <c r="EI17" s="870">
        <v>138</v>
      </c>
      <c r="EJ17" s="870">
        <v>81</v>
      </c>
      <c r="EK17" s="870">
        <v>33.75</v>
      </c>
      <c r="EL17" s="870">
        <v>67.5</v>
      </c>
      <c r="EM17" s="870">
        <v>337.5</v>
      </c>
      <c r="EN17" s="870">
        <v>67</v>
      </c>
      <c r="EO17" s="870">
        <v>371</v>
      </c>
      <c r="EP17" s="870">
        <v>385.53092711864412</v>
      </c>
      <c r="EQ17" s="870">
        <v>26</v>
      </c>
      <c r="ER17" s="870">
        <v>324</v>
      </c>
      <c r="ES17" s="870">
        <v>22</v>
      </c>
      <c r="ET17" s="870">
        <v>65</v>
      </c>
      <c r="EU17" s="870">
        <v>203</v>
      </c>
      <c r="EV17" s="870">
        <v>250</v>
      </c>
      <c r="EW17" s="847">
        <v>0</v>
      </c>
      <c r="EX17" s="781">
        <v>46.384451977401142</v>
      </c>
      <c r="EY17" s="781">
        <v>333.11975593220342</v>
      </c>
      <c r="EZ17" s="870">
        <v>19.209039548022599</v>
      </c>
      <c r="FA17" s="870">
        <v>40</v>
      </c>
      <c r="FB17" s="870">
        <v>40</v>
      </c>
      <c r="FC17" s="870">
        <v>22.775173728813563</v>
      </c>
      <c r="FD17" s="870">
        <v>22.775173728813563</v>
      </c>
      <c r="FE17" s="870">
        <v>19.774011299435031</v>
      </c>
      <c r="FF17" s="870">
        <v>26.129943502824862</v>
      </c>
      <c r="FG17" s="870">
        <v>200</v>
      </c>
      <c r="FH17" s="870">
        <v>145.93000229340572</v>
      </c>
      <c r="FI17" s="870">
        <v>88.681403834083682</v>
      </c>
      <c r="FJ17" s="870">
        <v>26</v>
      </c>
      <c r="FK17" s="870">
        <f>PPH_Data_Base28[[#This Row],[Differential Pressure Switch]]*2</f>
        <v>52</v>
      </c>
      <c r="FL17" s="870">
        <v>42</v>
      </c>
      <c r="FM17" s="872">
        <f>PPH_Data_Base28[[#This Row],[STD PETRA DIAL DIFF.PRESS.GAUGE NOT DWYER]]*2</f>
        <v>84</v>
      </c>
      <c r="FN17" s="872">
        <v>75</v>
      </c>
      <c r="FO17" s="872">
        <f>PPH_Data_Base28[[#This Row],[Replaceble Filter Drier ]]</f>
        <v>192.09039548022599</v>
      </c>
      <c r="FP17" s="872">
        <f>PPH_Data_Base28[[#This Row],[2" Pre-Filter]]*2</f>
        <v>47.44138020991528</v>
      </c>
      <c r="FQ17" s="872">
        <f>PPH_Data_Base28[[#This Row],[Bag Filter EU-8]]</f>
        <v>216.62725959292374</v>
      </c>
      <c r="FR17" s="872">
        <v>500</v>
      </c>
      <c r="FS17" s="872">
        <v>30</v>
      </c>
      <c r="FT17" s="176"/>
      <c r="FU17" s="176"/>
      <c r="FV17" s="176"/>
      <c r="FW17" s="176"/>
      <c r="FX17" s="176"/>
      <c r="FY17" s="176"/>
      <c r="GA17" s="176"/>
      <c r="GB17" s="176"/>
      <c r="GC17" s="176"/>
      <c r="GD17" s="176"/>
      <c r="GE17" s="176"/>
      <c r="GG17" s="176"/>
      <c r="GI17" s="176"/>
      <c r="GK17" s="176"/>
      <c r="GL17" s="176"/>
      <c r="GM17" s="176"/>
      <c r="GN17" s="176"/>
      <c r="GO17" s="176"/>
      <c r="GP17" s="176"/>
      <c r="GQ17" s="176"/>
      <c r="GW17" s="176"/>
      <c r="GX17" s="176"/>
      <c r="HC17" s="176"/>
    </row>
    <row r="18" spans="1:211">
      <c r="A18" s="780" t="s">
        <v>449</v>
      </c>
      <c r="B18" s="781" t="s">
        <v>1563</v>
      </c>
      <c r="C18" s="781" t="s">
        <v>522</v>
      </c>
      <c r="D18" s="870" t="s">
        <v>1565</v>
      </c>
      <c r="E18" s="870" t="s">
        <v>1564</v>
      </c>
      <c r="F18" s="870" t="s">
        <v>1566</v>
      </c>
      <c r="G18" s="851">
        <v>0</v>
      </c>
      <c r="H18" s="870" t="s">
        <v>2248</v>
      </c>
      <c r="I18" s="781" t="s">
        <v>1554</v>
      </c>
      <c r="J18" s="781" t="s">
        <v>1562</v>
      </c>
      <c r="K18" s="781">
        <v>1</v>
      </c>
      <c r="L18" s="781" t="s">
        <v>568</v>
      </c>
      <c r="M18" s="781">
        <v>2</v>
      </c>
      <c r="N18" s="300">
        <v>2</v>
      </c>
      <c r="O18" s="781">
        <v>18</v>
      </c>
      <c r="P18" s="781">
        <v>9</v>
      </c>
      <c r="Q18" s="781">
        <v>1</v>
      </c>
      <c r="R18" s="781">
        <v>12</v>
      </c>
      <c r="S18" s="781">
        <v>1</v>
      </c>
      <c r="T18" s="781"/>
      <c r="U18" s="781"/>
      <c r="V18" s="781">
        <v>163</v>
      </c>
      <c r="W18" s="781">
        <v>383</v>
      </c>
      <c r="X18" s="870"/>
      <c r="Y18" s="835">
        <v>0</v>
      </c>
      <c r="Z18" s="782">
        <v>4879</v>
      </c>
      <c r="AA18" s="782">
        <v>5718</v>
      </c>
      <c r="AB18" s="870">
        <v>3808</v>
      </c>
      <c r="AC18" s="834">
        <v>0</v>
      </c>
      <c r="AD18" s="781">
        <v>143.71468926553672</v>
      </c>
      <c r="AE18" s="870">
        <v>130.64971751412429</v>
      </c>
      <c r="AF18" s="870">
        <v>130.64971751412429</v>
      </c>
      <c r="AG18" s="870">
        <v>156.77966101694918</v>
      </c>
      <c r="AH18" s="781">
        <v>172.45762711864407</v>
      </c>
      <c r="AI18" s="870">
        <v>156.77966101694918</v>
      </c>
      <c r="AJ18" s="870">
        <v>156.77966101694918</v>
      </c>
      <c r="AK18" s="870">
        <v>188.13559322033899</v>
      </c>
      <c r="AL18" s="870">
        <f>PPH_Data_Base28[[#This Row],[PPH Unit Basic Price With Cu Tube]]*0.05</f>
        <v>285.90000000000003</v>
      </c>
      <c r="AM18" s="781">
        <v>61.798152238657636</v>
      </c>
      <c r="AN18" s="781">
        <v>318.97997046228807</v>
      </c>
      <c r="AO18" s="781">
        <v>602.87214417372456</v>
      </c>
      <c r="AP18" s="781">
        <v>297</v>
      </c>
      <c r="AQ18" s="781">
        <v>295.65000000000003</v>
      </c>
      <c r="AR18" s="781">
        <f t="shared" si="2"/>
        <v>181.5</v>
      </c>
      <c r="AS18" s="781">
        <v>296.58728010813553</v>
      </c>
      <c r="AT18" s="781">
        <v>1453.3532074950506</v>
      </c>
      <c r="AU18" s="781">
        <v>23.72069010495764</v>
      </c>
      <c r="AV18" s="781">
        <v>216.62725959292374</v>
      </c>
      <c r="AW18" s="870">
        <v>1421.2</v>
      </c>
      <c r="AX18" s="870">
        <v>266</v>
      </c>
      <c r="AY18" s="870">
        <v>976.27345360169488</v>
      </c>
      <c r="AZ18" s="870">
        <v>339.07655867319914</v>
      </c>
      <c r="BA18" s="870">
        <f t="shared" si="3"/>
        <v>285</v>
      </c>
      <c r="BB18" s="870">
        <f>PPH_Data_Base28[[#This Row],[PPH Unit Basic Price With Cu Tube]]*0.1</f>
        <v>571.80000000000007</v>
      </c>
      <c r="BC18" s="870">
        <v>55.33657396122004</v>
      </c>
      <c r="BD18" s="870">
        <v>184.45524653740014</v>
      </c>
      <c r="BE18" s="870">
        <v>61.485082179133379</v>
      </c>
      <c r="BF18" s="870">
        <v>61.485082179133379</v>
      </c>
      <c r="BG18" s="870">
        <v>61.485082179133379</v>
      </c>
      <c r="BH18" s="870">
        <f>PPH_Data_Base28[[#This Row],[PPH Unit Basic Price With Cu Tube]]*0.075</f>
        <v>428.84999999999997</v>
      </c>
      <c r="BI18" s="870">
        <v>184.45524653740014</v>
      </c>
      <c r="BJ18" s="870">
        <v>61.485082179133379</v>
      </c>
      <c r="BK18" s="870">
        <v>61.485082179133379</v>
      </c>
      <c r="BL18" s="870">
        <v>61.485082179133379</v>
      </c>
      <c r="BM18" s="781">
        <f>PPH_Data_Base28[[#This Row],[Total Condenser Coil Area]]*Naming!$M$62*4</f>
        <v>1612.8</v>
      </c>
      <c r="BN18" s="781">
        <f>PPH_Data_Base28[[#This Row],[Total Evaporator  Coil Area]]*Naming!$M$62*4</f>
        <v>806.4</v>
      </c>
      <c r="BO18" s="781">
        <f>PPH_Data_Base28[[#This Row],[Total Condenser Coil Area]]*Naming!$D$61*4</f>
        <v>24.48</v>
      </c>
      <c r="BP18" s="781">
        <f>PPH_Data_Base28[[#This Row],[Total Evaporator  Coil Area]]*Naming!$D$61*6</f>
        <v>18.36</v>
      </c>
      <c r="BQ18" s="781">
        <f>$G$195*PPH_Data_Base28[[#This Row],[Total Evaporator  Coil Area]]</f>
        <v>40.5</v>
      </c>
      <c r="BR18" s="781">
        <f>$G$199*PPH_Data_Base28[[#This Row],[Total Evaporator  Coil Area]]</f>
        <v>61.199999999999996</v>
      </c>
      <c r="BS18" s="781">
        <f>$E$185*PPH_Data_Base28[[#This Row],[Total Evaporator  Coil Area]]</f>
        <v>180</v>
      </c>
      <c r="BT18" s="781">
        <f>$E$188*PPH_Data_Base28[[#This Row],[Total Evaporator  Coil Area]]</f>
        <v>252</v>
      </c>
      <c r="BU18" s="781">
        <f>$G$195*PPH_Data_Base28[[#This Row],[Total Condenser Coil Area]]</f>
        <v>81</v>
      </c>
      <c r="BV18" s="781">
        <f>$G$199*PPH_Data_Base28[[#This Row],[Total Condenser Coil Area]]</f>
        <v>122.39999999999999</v>
      </c>
      <c r="BW18" s="781">
        <f>$E$185*PPH_Data_Base28[[#This Row],[Total Condenser Coil Area]]</f>
        <v>360</v>
      </c>
      <c r="BX18" s="781">
        <f>$E$188*PPH_Data_Base28[[#This Row],[Total Condenser Coil Area]]</f>
        <v>504</v>
      </c>
      <c r="BY18" s="781">
        <v>164.49451675364747</v>
      </c>
      <c r="BZ18" s="870">
        <v>101.83257852254236</v>
      </c>
      <c r="CA18" s="870">
        <v>161.89705602640677</v>
      </c>
      <c r="CB18" s="870">
        <v>107.07477250423727</v>
      </c>
      <c r="CC18" s="870">
        <v>98.870056497175142</v>
      </c>
      <c r="CD18" s="870">
        <f>2*48.0225988700565</f>
        <v>96.045197740112997</v>
      </c>
      <c r="CE18" s="870">
        <v>20</v>
      </c>
      <c r="CF18" s="832">
        <v>0</v>
      </c>
      <c r="CG18" s="870">
        <f>PPH_Data_Base28[[#This Row],[PPH Unit Basic Price With Cu Tube]]*0.25</f>
        <v>1429.5</v>
      </c>
      <c r="CH18" s="870">
        <f>PPH_Data_Base28[[#This Row],[DSP Unit Basic Price With Cu Tube]]*0.35</f>
        <v>1332.8</v>
      </c>
      <c r="CI18" s="781">
        <v>89.190356144067806</v>
      </c>
      <c r="CJ18" s="781">
        <v>129.77347881355934</v>
      </c>
      <c r="CK18" s="781">
        <v>18.596238771186442</v>
      </c>
      <c r="CL18" s="781">
        <v>96.045197740112997</v>
      </c>
      <c r="CM18" s="870">
        <v>14.40677966101695</v>
      </c>
      <c r="CN18" s="781">
        <v>52.824858757062145</v>
      </c>
      <c r="CO18" s="870">
        <v>0</v>
      </c>
      <c r="CP18" s="781">
        <v>86.306595268361576</v>
      </c>
      <c r="CQ18" s="870">
        <v>128.36872401129943</v>
      </c>
      <c r="CR18" s="781">
        <v>248.96402542372883</v>
      </c>
      <c r="CS18" s="870">
        <v>430.5804811652543</v>
      </c>
      <c r="CT18" s="781">
        <v>432.55649717514126</v>
      </c>
      <c r="CU18" s="870">
        <v>92.15585593220338</v>
      </c>
      <c r="CV18" s="870">
        <v>248.58757062146893</v>
      </c>
      <c r="CW18" s="870">
        <f>400*1.35*PPH_Data_Base28[[#This Row],[No. of Unit  Compressors]]</f>
        <v>540</v>
      </c>
      <c r="CX18" s="835">
        <v>0</v>
      </c>
      <c r="CY18" s="871">
        <f>47*PPH_Data_Base28[[#This Row],[No. of Unit  Compressors]]*1.35</f>
        <v>63.45</v>
      </c>
      <c r="CZ18" s="871">
        <f>30*1.35*PPH_Data_Base28[[#This Row],[NO Condenser Fans]]</f>
        <v>81</v>
      </c>
      <c r="DA18" s="781">
        <f>INDEX($B$136:$F$154,MATCH(PPH_Data_Base28[[#This Row],[STD Supply Fan Motor]],$B$136:$B$154,0),5)*PPH_Data_Base28[[#This Row],[Fan QTY]]</f>
        <v>36.69975367231639</v>
      </c>
      <c r="DB18" s="871">
        <f>47*1.35*PPH_Data_Base28[[#This Row],[No. of Unit  Compressors]]</f>
        <v>63.45</v>
      </c>
      <c r="DC18" s="871">
        <f>28*PPH_Data_Base28[[#This Row],[NO Condenser Fans]]</f>
        <v>56</v>
      </c>
      <c r="DD18" s="781">
        <f>INDEX($B$136:$F$154,MATCH(PPH_Data_Base28[[#This Row],[STD Supply Fan Motor]],$B$136:$B$154,0),3)*PPH_Data_Base28[[#This Row],[Fan QTY]]</f>
        <v>24.627741525423726</v>
      </c>
      <c r="DE18" s="870">
        <f>INDEX($B$114:$C$131,MATCH(PPH_Data_Base28[[#This Row],[Compressor 1 HP]],$B$114:$B$131,0),2)*PPH_Data_Base28[[#This Row],[Compressor 1 QTY]]+IFERROR(INDEX($B$114:$C$131,MATCH(PPH_Data_Base28[[#This Row],[Compressor 2 HP]],$B$114:$B$131,0),2)*PPH_Data_Base28[[#This Row],[Compressor 2 QTY]],0)</f>
        <v>54</v>
      </c>
      <c r="DF18" s="870">
        <f>38*PPH_Data_Base28[[#This Row],[NO Condenser Fans]]</f>
        <v>76</v>
      </c>
      <c r="DG18" s="870">
        <f>INDEX($B$136:$F$154,MATCH(PPH_Data_Base28[[#This Row],[STD Supply Fan Motor]],$B$136:$B$154,0),5)*PPH_Data_Base28[[#This Row],[Fan QTY]]</f>
        <v>36.69975367231639</v>
      </c>
      <c r="DH18" s="781">
        <v>139.83050847457628</v>
      </c>
      <c r="DI18" s="781">
        <v>58.262711864406782</v>
      </c>
      <c r="DJ18" s="870">
        <f>INDEX($F$114:$G$124,MATCH(PPH_Data_Base28[[#This Row],[Compressor 1 HP]],$F$114:$F$124,0),2)</f>
        <v>2600</v>
      </c>
      <c r="DK18" s="870">
        <f>INDEX($F$114:$G$124,MATCH(PPH_Data_Base28[[#This Row],[Compressor 1 HP]],$F$114:$F$124,0),2)*PPH_Data_Base28[[#This Row],[Compressor 1 QTY]]+IFERROR(INDEX($F$114:$G$124,MATCH(PPH_Data_Base28[[#This Row],[Compressor 2 HP]],$F$114:$F$124,0),2)*PPH_Data_Base28[[#This Row],[Compressor 2 QTY]],0)</f>
        <v>2600</v>
      </c>
      <c r="DL18" s="870">
        <v>1699</v>
      </c>
      <c r="DM18" s="870">
        <v>564.9717514124294</v>
      </c>
      <c r="DN18" s="870">
        <v>213.62952090395484</v>
      </c>
      <c r="DO18" s="870">
        <v>2713.4650319209045</v>
      </c>
      <c r="DP18" s="870">
        <v>173.0225988700565</v>
      </c>
      <c r="DQ18" s="781">
        <f>PPH_Data_Base28[[#This Row],[NEMA 4X For Electrical Panel]]</f>
        <v>173.0225988700565</v>
      </c>
      <c r="DR18" s="870">
        <v>173.0225988700565</v>
      </c>
      <c r="DS18" s="870">
        <v>120.05649717514125</v>
      </c>
      <c r="DT18" s="870">
        <f>PPH_Data_Base28[[#This Row],[NO Condenser Fans]]*350</f>
        <v>700</v>
      </c>
      <c r="DU18" s="870">
        <v>238.27442754237299</v>
      </c>
      <c r="DV18" s="870">
        <f>150*PPH_Data_Base28[[#This Row],[NO Condenser Fans]]</f>
        <v>300</v>
      </c>
      <c r="DW18" s="781">
        <v>757.4152542372882</v>
      </c>
      <c r="DX18" s="781">
        <v>250</v>
      </c>
      <c r="DY18" s="870">
        <v>700</v>
      </c>
      <c r="DZ18" s="870">
        <v>100</v>
      </c>
      <c r="EA18" s="870">
        <v>540</v>
      </c>
      <c r="EB18" s="870">
        <v>4.186805084745763</v>
      </c>
      <c r="EC18" s="870">
        <v>23.305084745762713</v>
      </c>
      <c r="ED18" s="870">
        <v>58.361196822033918</v>
      </c>
      <c r="EE18" s="870">
        <v>350</v>
      </c>
      <c r="EF18" s="870">
        <v>350</v>
      </c>
      <c r="EG18" s="870">
        <v>286</v>
      </c>
      <c r="EH18" s="870">
        <v>375</v>
      </c>
      <c r="EI18" s="870">
        <v>138</v>
      </c>
      <c r="EJ18" s="870">
        <v>81</v>
      </c>
      <c r="EK18" s="870">
        <v>33.75</v>
      </c>
      <c r="EL18" s="870">
        <v>67.5</v>
      </c>
      <c r="EM18" s="870">
        <v>337.5</v>
      </c>
      <c r="EN18" s="870">
        <v>67</v>
      </c>
      <c r="EO18" s="870">
        <v>371</v>
      </c>
      <c r="EP18" s="870">
        <v>385.53092711864412</v>
      </c>
      <c r="EQ18" s="870">
        <v>26</v>
      </c>
      <c r="ER18" s="870">
        <v>324</v>
      </c>
      <c r="ES18" s="870">
        <v>22</v>
      </c>
      <c r="ET18" s="870">
        <v>65</v>
      </c>
      <c r="EU18" s="870">
        <v>203</v>
      </c>
      <c r="EV18" s="870">
        <v>250</v>
      </c>
      <c r="EW18" s="847">
        <v>0</v>
      </c>
      <c r="EX18" s="781">
        <v>46.384451977401142</v>
      </c>
      <c r="EY18" s="781">
        <v>333.11975593220342</v>
      </c>
      <c r="EZ18" s="870">
        <v>19.209039548022599</v>
      </c>
      <c r="FA18" s="870">
        <v>40</v>
      </c>
      <c r="FB18" s="870">
        <v>40</v>
      </c>
      <c r="FC18" s="870">
        <v>22.775173728813563</v>
      </c>
      <c r="FD18" s="870">
        <v>22.775173728813563</v>
      </c>
      <c r="FE18" s="870">
        <v>19.774011299435031</v>
      </c>
      <c r="FF18" s="870">
        <v>26.129943502824862</v>
      </c>
      <c r="FG18" s="870">
        <v>200</v>
      </c>
      <c r="FH18" s="870">
        <v>145.93000229340572</v>
      </c>
      <c r="FI18" s="870">
        <v>88.681403834083682</v>
      </c>
      <c r="FJ18" s="870">
        <v>26</v>
      </c>
      <c r="FK18" s="870">
        <f>PPH_Data_Base28[[#This Row],[Differential Pressure Switch]]*2</f>
        <v>52</v>
      </c>
      <c r="FL18" s="870">
        <v>42</v>
      </c>
      <c r="FM18" s="872">
        <f>PPH_Data_Base28[[#This Row],[STD PETRA DIAL DIFF.PRESS.GAUGE NOT DWYER]]*2</f>
        <v>84</v>
      </c>
      <c r="FN18" s="872">
        <v>75</v>
      </c>
      <c r="FO18" s="872">
        <f>PPH_Data_Base28[[#This Row],[Replaceble Filter Drier ]]</f>
        <v>96.045197740112997</v>
      </c>
      <c r="FP18" s="872">
        <f>PPH_Data_Base28[[#This Row],[2" Pre-Filter]]*2</f>
        <v>47.44138020991528</v>
      </c>
      <c r="FQ18" s="872">
        <f>PPH_Data_Base28[[#This Row],[Bag Filter EU-8]]</f>
        <v>216.62725959292374</v>
      </c>
      <c r="FR18" s="872">
        <v>500</v>
      </c>
      <c r="FS18" s="872">
        <v>30</v>
      </c>
      <c r="FT18" s="176"/>
      <c r="FU18" s="176"/>
      <c r="FV18" s="176"/>
      <c r="FW18" s="176"/>
      <c r="FX18" s="176"/>
      <c r="FY18" s="176"/>
      <c r="GA18" s="176"/>
      <c r="GB18" s="176"/>
      <c r="GC18" s="176"/>
      <c r="GD18" s="176"/>
      <c r="GE18" s="176"/>
      <c r="GG18" s="176"/>
      <c r="GI18" s="176"/>
      <c r="GK18" s="176"/>
      <c r="GL18" s="176"/>
      <c r="GM18" s="176"/>
      <c r="GN18" s="176"/>
      <c r="GO18" s="176"/>
      <c r="GP18" s="176"/>
      <c r="GQ18" s="176"/>
      <c r="GW18" s="176"/>
      <c r="GX18" s="176"/>
      <c r="HC18" s="176"/>
    </row>
    <row r="19" spans="1:211">
      <c r="A19" s="780" t="s">
        <v>450</v>
      </c>
      <c r="B19" s="781" t="s">
        <v>1567</v>
      </c>
      <c r="C19" s="781" t="s">
        <v>523</v>
      </c>
      <c r="D19" s="870" t="s">
        <v>1569</v>
      </c>
      <c r="E19" s="870" t="s">
        <v>1568</v>
      </c>
      <c r="F19" s="870" t="s">
        <v>1570</v>
      </c>
      <c r="G19" s="851">
        <v>0</v>
      </c>
      <c r="H19" s="870" t="s">
        <v>2248</v>
      </c>
      <c r="I19" s="781" t="s">
        <v>1554</v>
      </c>
      <c r="J19" s="781" t="s">
        <v>1562</v>
      </c>
      <c r="K19" s="781">
        <v>1</v>
      </c>
      <c r="L19" s="781" t="s">
        <v>568</v>
      </c>
      <c r="M19" s="781">
        <v>2</v>
      </c>
      <c r="N19" s="300">
        <v>2</v>
      </c>
      <c r="O19" s="781">
        <v>18</v>
      </c>
      <c r="P19" s="781">
        <v>9</v>
      </c>
      <c r="Q19" s="781">
        <v>2</v>
      </c>
      <c r="R19" s="781">
        <v>8</v>
      </c>
      <c r="S19" s="781">
        <v>1</v>
      </c>
      <c r="T19" s="781">
        <v>5</v>
      </c>
      <c r="U19" s="781">
        <v>1</v>
      </c>
      <c r="V19" s="781">
        <v>163</v>
      </c>
      <c r="W19" s="781">
        <v>383</v>
      </c>
      <c r="X19" s="870"/>
      <c r="Y19" s="835">
        <v>0</v>
      </c>
      <c r="Z19" s="782">
        <v>5612</v>
      </c>
      <c r="AA19" s="782">
        <v>6483</v>
      </c>
      <c r="AB19" s="870">
        <v>4575</v>
      </c>
      <c r="AC19" s="834">
        <v>0</v>
      </c>
      <c r="AD19" s="781">
        <v>143.71468926553672</v>
      </c>
      <c r="AE19" s="870">
        <v>130.64971751412429</v>
      </c>
      <c r="AF19" s="870">
        <v>130.64971751412429</v>
      </c>
      <c r="AG19" s="870">
        <v>156.77966101694918</v>
      </c>
      <c r="AH19" s="781">
        <v>172.45762711864407</v>
      </c>
      <c r="AI19" s="870">
        <v>156.77966101694918</v>
      </c>
      <c r="AJ19" s="870">
        <v>156.77966101694918</v>
      </c>
      <c r="AK19" s="870">
        <v>188.13559322033899</v>
      </c>
      <c r="AL19" s="870">
        <f>PPH_Data_Base28[[#This Row],[PPH Unit Basic Price With Cu Tube]]*0.05</f>
        <v>324.15000000000003</v>
      </c>
      <c r="AM19" s="781">
        <v>61.798152238657636</v>
      </c>
      <c r="AN19" s="781">
        <v>318.97997046228807</v>
      </c>
      <c r="AO19" s="781">
        <v>602.87214417372456</v>
      </c>
      <c r="AP19" s="781">
        <v>297</v>
      </c>
      <c r="AQ19" s="781">
        <v>295.65000000000003</v>
      </c>
      <c r="AR19" s="781">
        <f t="shared" si="2"/>
        <v>181.5</v>
      </c>
      <c r="AS19" s="781">
        <v>296.58728010813553</v>
      </c>
      <c r="AT19" s="781">
        <v>1453.3532074950506</v>
      </c>
      <c r="AU19" s="781">
        <v>23.72069010495764</v>
      </c>
      <c r="AV19" s="781">
        <v>216.62725959292374</v>
      </c>
      <c r="AW19" s="870">
        <v>1421.2</v>
      </c>
      <c r="AX19" s="870">
        <v>266</v>
      </c>
      <c r="AY19" s="870">
        <v>976.27345360169488</v>
      </c>
      <c r="AZ19" s="870">
        <v>339.07655867319914</v>
      </c>
      <c r="BA19" s="870">
        <f t="shared" si="3"/>
        <v>285</v>
      </c>
      <c r="BB19" s="870">
        <f>PPH_Data_Base28[[#This Row],[PPH Unit Basic Price With Cu Tube]]*0.1</f>
        <v>648.30000000000007</v>
      </c>
      <c r="BC19" s="870">
        <v>63.764808847869205</v>
      </c>
      <c r="BD19" s="870">
        <v>212.54936282623069</v>
      </c>
      <c r="BE19" s="870">
        <v>70.849787608743569</v>
      </c>
      <c r="BF19" s="870">
        <v>70.849787608743569</v>
      </c>
      <c r="BG19" s="870">
        <v>70.849787608743569</v>
      </c>
      <c r="BH19" s="870">
        <f>PPH_Data_Base28[[#This Row],[PPH Unit Basic Price With Cu Tube]]*0.075</f>
        <v>486.22499999999997</v>
      </c>
      <c r="BI19" s="870">
        <v>212.54936282623069</v>
      </c>
      <c r="BJ19" s="870">
        <v>70.849787608743569</v>
      </c>
      <c r="BK19" s="870">
        <v>70.849787608743569</v>
      </c>
      <c r="BL19" s="870">
        <v>70.849787608743569</v>
      </c>
      <c r="BM19" s="781">
        <f>PPH_Data_Base28[[#This Row],[Total Condenser Coil Area]]*Naming!$M$62*4</f>
        <v>1612.8</v>
      </c>
      <c r="BN19" s="781">
        <f>PPH_Data_Base28[[#This Row],[Total Evaporator  Coil Area]]*Naming!$M$62*4</f>
        <v>806.4</v>
      </c>
      <c r="BO19" s="781">
        <f>PPH_Data_Base28[[#This Row],[Total Condenser Coil Area]]*Naming!$D$61*4</f>
        <v>24.48</v>
      </c>
      <c r="BP19" s="781">
        <f>PPH_Data_Base28[[#This Row],[Total Evaporator  Coil Area]]*Naming!$D$61*6</f>
        <v>18.36</v>
      </c>
      <c r="BQ19" s="781">
        <f>$G$195*PPH_Data_Base28[[#This Row],[Total Evaporator  Coil Area]]</f>
        <v>40.5</v>
      </c>
      <c r="BR19" s="781">
        <f>$G$199*PPH_Data_Base28[[#This Row],[Total Evaporator  Coil Area]]</f>
        <v>61.199999999999996</v>
      </c>
      <c r="BS19" s="781">
        <f>$E$185*PPH_Data_Base28[[#This Row],[Total Evaporator  Coil Area]]</f>
        <v>180</v>
      </c>
      <c r="BT19" s="781">
        <f>$E$188*PPH_Data_Base28[[#This Row],[Total Evaporator  Coil Area]]</f>
        <v>252</v>
      </c>
      <c r="BU19" s="781">
        <f>$G$195*PPH_Data_Base28[[#This Row],[Total Condenser Coil Area]]</f>
        <v>81</v>
      </c>
      <c r="BV19" s="781">
        <f>$G$199*PPH_Data_Base28[[#This Row],[Total Condenser Coil Area]]</f>
        <v>122.39999999999999</v>
      </c>
      <c r="BW19" s="781">
        <f>$E$185*PPH_Data_Base28[[#This Row],[Total Condenser Coil Area]]</f>
        <v>360</v>
      </c>
      <c r="BX19" s="781">
        <f>$E$188*PPH_Data_Base28[[#This Row],[Total Condenser Coil Area]]</f>
        <v>504</v>
      </c>
      <c r="BY19" s="781">
        <v>164.49451675364747</v>
      </c>
      <c r="BZ19" s="870">
        <v>101.83257852254236</v>
      </c>
      <c r="CA19" s="870">
        <v>161.89705602640677</v>
      </c>
      <c r="CB19" s="870">
        <v>107.07477250423727</v>
      </c>
      <c r="CC19" s="870">
        <v>98.870056497175142</v>
      </c>
      <c r="CD19" s="870">
        <f t="shared" ref="CD19:CD28" si="4">2*48.0225988700565</f>
        <v>96.045197740112997</v>
      </c>
      <c r="CE19" s="870">
        <v>20</v>
      </c>
      <c r="CF19" s="832">
        <v>0</v>
      </c>
      <c r="CG19" s="870">
        <f>PPH_Data_Base28[[#This Row],[PPH Unit Basic Price With Cu Tube]]*0.25</f>
        <v>1620.75</v>
      </c>
      <c r="CH19" s="870">
        <f>PPH_Data_Base28[[#This Row],[DSP Unit Basic Price With Cu Tube]]*0.35</f>
        <v>1601.25</v>
      </c>
      <c r="CI19" s="781">
        <v>178.38071228813561</v>
      </c>
      <c r="CJ19" s="781">
        <v>259.54695762711867</v>
      </c>
      <c r="CK19" s="781">
        <v>37.192477542372885</v>
      </c>
      <c r="CL19" s="781">
        <v>192.09039548022599</v>
      </c>
      <c r="CM19" s="870">
        <v>28.8135593220339</v>
      </c>
      <c r="CN19" s="781">
        <v>88.841807909604526</v>
      </c>
      <c r="CO19" s="870">
        <v>123.86332203389833</v>
      </c>
      <c r="CP19" s="781">
        <v>142.17729216101694</v>
      </c>
      <c r="CQ19" s="870">
        <v>140.16411158192091</v>
      </c>
      <c r="CR19" s="781">
        <v>248.96402542372883</v>
      </c>
      <c r="CS19" s="870">
        <v>622.52092118644077</v>
      </c>
      <c r="CT19" s="781">
        <v>865.11299435028252</v>
      </c>
      <c r="CU19" s="870">
        <v>184.31171186440676</v>
      </c>
      <c r="CV19" s="870">
        <v>497.17514124293785</v>
      </c>
      <c r="CW19" s="870">
        <f>400*1.35*PPH_Data_Base28[[#This Row],[No. of Unit  Compressors]]</f>
        <v>1080</v>
      </c>
      <c r="CX19" s="835">
        <v>0</v>
      </c>
      <c r="CY19" s="871">
        <f>47*PPH_Data_Base28[[#This Row],[No. of Unit  Compressors]]*1.35</f>
        <v>126.9</v>
      </c>
      <c r="CZ19" s="871">
        <f>30*1.35*PPH_Data_Base28[[#This Row],[NO Condenser Fans]]</f>
        <v>81</v>
      </c>
      <c r="DA19" s="781">
        <f>INDEX($B$136:$F$154,MATCH(PPH_Data_Base28[[#This Row],[STD Supply Fan Motor]],$B$136:$B$154,0),5)*PPH_Data_Base28[[#This Row],[Fan QTY]]</f>
        <v>36.69975367231639</v>
      </c>
      <c r="DB19" s="871">
        <f>47*1.35*PPH_Data_Base28[[#This Row],[No. of Unit  Compressors]]</f>
        <v>126.9</v>
      </c>
      <c r="DC19" s="871">
        <f>28*PPH_Data_Base28[[#This Row],[NO Condenser Fans]]</f>
        <v>56</v>
      </c>
      <c r="DD19" s="781">
        <f>INDEX($B$136:$F$154,MATCH(PPH_Data_Base28[[#This Row],[STD Supply Fan Motor]],$B$136:$B$154,0),3)*PPH_Data_Base28[[#This Row],[Fan QTY]]</f>
        <v>24.627741525423726</v>
      </c>
      <c r="DE19" s="870">
        <f>INDEX($B$114:$C$131,MATCH(PPH_Data_Base28[[#This Row],[Compressor 1 HP]],$B$114:$B$131,0),2)*PPH_Data_Base28[[#This Row],[Compressor 1 QTY]]+IFERROR(INDEX($B$114:$C$131,MATCH(PPH_Data_Base28[[#This Row],[Compressor 2 HP]],$B$114:$B$131,0),2)*PPH_Data_Base28[[#This Row],[Compressor 2 QTY]],0)</f>
        <v>60</v>
      </c>
      <c r="DF19" s="870">
        <f>38*PPH_Data_Base28[[#This Row],[NO Condenser Fans]]</f>
        <v>76</v>
      </c>
      <c r="DG19" s="870">
        <f>INDEX($B$136:$F$154,MATCH(PPH_Data_Base28[[#This Row],[STD Supply Fan Motor]],$B$136:$B$154,0),5)*PPH_Data_Base28[[#This Row],[Fan QTY]]</f>
        <v>36.69975367231639</v>
      </c>
      <c r="DH19" s="781">
        <v>139.83050847457628</v>
      </c>
      <c r="DI19" s="781">
        <v>58.262711864406782</v>
      </c>
      <c r="DJ19" s="870">
        <f>INDEX($F$114:$G$124,MATCH(PPH_Data_Base28[[#This Row],[Compressor 1 HP]],$F$114:$F$124,0),2)</f>
        <v>2500</v>
      </c>
      <c r="DK19" s="870">
        <f>INDEX($F$114:$G$124,MATCH(PPH_Data_Base28[[#This Row],[Compressor 1 HP]],$F$114:$F$124,0),2)*PPH_Data_Base28[[#This Row],[Compressor 1 QTY]]+IFERROR(INDEX($F$114:$G$124,MATCH(PPH_Data_Base28[[#This Row],[Compressor 2 HP]],$F$114:$F$124,0),2)*PPH_Data_Base28[[#This Row],[Compressor 2 QTY]],0)</f>
        <v>4900</v>
      </c>
      <c r="DL19" s="870">
        <v>1699</v>
      </c>
      <c r="DM19" s="870">
        <v>564.9717514124294</v>
      </c>
      <c r="DN19" s="870">
        <v>213.62952090395484</v>
      </c>
      <c r="DO19" s="870">
        <v>2713.4650319209045</v>
      </c>
      <c r="DP19" s="870">
        <v>173.0225988700565</v>
      </c>
      <c r="DQ19" s="781">
        <f>PPH_Data_Base28[[#This Row],[NEMA 4X For Electrical Panel]]</f>
        <v>173.0225988700565</v>
      </c>
      <c r="DR19" s="870">
        <v>173.0225988700565</v>
      </c>
      <c r="DS19" s="870">
        <v>120.05649717514125</v>
      </c>
      <c r="DT19" s="870">
        <f>PPH_Data_Base28[[#This Row],[NO Condenser Fans]]*350</f>
        <v>700</v>
      </c>
      <c r="DU19" s="870">
        <v>238.27442754237299</v>
      </c>
      <c r="DV19" s="870">
        <f>150*PPH_Data_Base28[[#This Row],[NO Condenser Fans]]</f>
        <v>300</v>
      </c>
      <c r="DW19" s="781">
        <v>757.4152542372882</v>
      </c>
      <c r="DX19" s="781">
        <v>250</v>
      </c>
      <c r="DY19" s="870">
        <v>700</v>
      </c>
      <c r="DZ19" s="870">
        <v>100</v>
      </c>
      <c r="EA19" s="870">
        <v>540</v>
      </c>
      <c r="EB19" s="870">
        <v>4.186805084745763</v>
      </c>
      <c r="EC19" s="870">
        <v>23.305084745762713</v>
      </c>
      <c r="ED19" s="870">
        <v>58.361196822033918</v>
      </c>
      <c r="EE19" s="870">
        <v>350</v>
      </c>
      <c r="EF19" s="870">
        <v>350</v>
      </c>
      <c r="EG19" s="870">
        <v>286</v>
      </c>
      <c r="EH19" s="870">
        <v>375</v>
      </c>
      <c r="EI19" s="870">
        <v>138</v>
      </c>
      <c r="EJ19" s="870">
        <v>81</v>
      </c>
      <c r="EK19" s="870">
        <v>33.75</v>
      </c>
      <c r="EL19" s="870">
        <v>67.5</v>
      </c>
      <c r="EM19" s="870">
        <v>337.5</v>
      </c>
      <c r="EN19" s="870">
        <v>67</v>
      </c>
      <c r="EO19" s="870">
        <v>371</v>
      </c>
      <c r="EP19" s="870">
        <v>385.53092711864412</v>
      </c>
      <c r="EQ19" s="870">
        <v>26</v>
      </c>
      <c r="ER19" s="870">
        <v>324</v>
      </c>
      <c r="ES19" s="870">
        <v>22</v>
      </c>
      <c r="ET19" s="870">
        <v>65</v>
      </c>
      <c r="EU19" s="870">
        <v>203</v>
      </c>
      <c r="EV19" s="870">
        <v>250</v>
      </c>
      <c r="EW19" s="847">
        <v>0</v>
      </c>
      <c r="EX19" s="781">
        <v>46.384451977401142</v>
      </c>
      <c r="EY19" s="781">
        <v>333.11975593220342</v>
      </c>
      <c r="EZ19" s="870">
        <v>19.209039548022599</v>
      </c>
      <c r="FA19" s="870">
        <v>40</v>
      </c>
      <c r="FB19" s="870">
        <v>40</v>
      </c>
      <c r="FC19" s="870">
        <v>22.775173728813563</v>
      </c>
      <c r="FD19" s="870">
        <v>22.775173728813563</v>
      </c>
      <c r="FE19" s="870">
        <v>19.774011299435031</v>
      </c>
      <c r="FF19" s="870">
        <v>26.129943502824862</v>
      </c>
      <c r="FG19" s="870">
        <v>200</v>
      </c>
      <c r="FH19" s="870">
        <v>145.93000229340572</v>
      </c>
      <c r="FI19" s="870">
        <v>88.681403834083682</v>
      </c>
      <c r="FJ19" s="870">
        <v>26</v>
      </c>
      <c r="FK19" s="870">
        <f>PPH_Data_Base28[[#This Row],[Differential Pressure Switch]]*2</f>
        <v>52</v>
      </c>
      <c r="FL19" s="870">
        <v>42</v>
      </c>
      <c r="FM19" s="872">
        <f>PPH_Data_Base28[[#This Row],[STD PETRA DIAL DIFF.PRESS.GAUGE NOT DWYER]]*2</f>
        <v>84</v>
      </c>
      <c r="FN19" s="872">
        <v>75</v>
      </c>
      <c r="FO19" s="872">
        <f>PPH_Data_Base28[[#This Row],[Replaceble Filter Drier ]]</f>
        <v>192.09039548022599</v>
      </c>
      <c r="FP19" s="872">
        <f>PPH_Data_Base28[[#This Row],[2" Pre-Filter]]*2</f>
        <v>47.44138020991528</v>
      </c>
      <c r="FQ19" s="872">
        <f>PPH_Data_Base28[[#This Row],[Bag Filter EU-8]]</f>
        <v>216.62725959292374</v>
      </c>
      <c r="FR19" s="872">
        <v>500</v>
      </c>
      <c r="FS19" s="872">
        <v>30</v>
      </c>
      <c r="FT19" s="176"/>
      <c r="FU19" s="176"/>
      <c r="FV19" s="176"/>
      <c r="FW19" s="176"/>
      <c r="FX19" s="176"/>
      <c r="FY19" s="176"/>
      <c r="GA19" s="176"/>
      <c r="GB19" s="176"/>
      <c r="GC19" s="176"/>
      <c r="GD19" s="176"/>
      <c r="GE19" s="176"/>
      <c r="GG19" s="176"/>
      <c r="GI19" s="176"/>
      <c r="GK19" s="176"/>
      <c r="GL19" s="176"/>
      <c r="GM19" s="176"/>
      <c r="GN19" s="176"/>
      <c r="GO19" s="176"/>
      <c r="GP19" s="176"/>
      <c r="GQ19" s="176"/>
      <c r="GW19" s="176"/>
      <c r="GX19" s="176"/>
      <c r="HC19" s="176"/>
    </row>
    <row r="20" spans="1:211">
      <c r="A20" s="780" t="s">
        <v>451</v>
      </c>
      <c r="B20" s="781" t="s">
        <v>1571</v>
      </c>
      <c r="C20" s="781" t="s">
        <v>524</v>
      </c>
      <c r="D20" s="870" t="s">
        <v>1573</v>
      </c>
      <c r="E20" s="870" t="s">
        <v>1572</v>
      </c>
      <c r="F20" s="870" t="s">
        <v>1574</v>
      </c>
      <c r="G20" s="851">
        <v>0</v>
      </c>
      <c r="H20" s="870" t="s">
        <v>2248</v>
      </c>
      <c r="I20" s="781" t="s">
        <v>1554</v>
      </c>
      <c r="J20" s="781" t="s">
        <v>1562</v>
      </c>
      <c r="K20" s="781">
        <v>1</v>
      </c>
      <c r="L20" s="781" t="s">
        <v>568</v>
      </c>
      <c r="M20" s="781">
        <v>2</v>
      </c>
      <c r="N20" s="300">
        <v>2</v>
      </c>
      <c r="O20" s="781">
        <v>18</v>
      </c>
      <c r="P20" s="781">
        <v>9</v>
      </c>
      <c r="Q20" s="781">
        <v>1</v>
      </c>
      <c r="R20" s="781">
        <v>15</v>
      </c>
      <c r="S20" s="781">
        <v>1</v>
      </c>
      <c r="T20" s="781"/>
      <c r="U20" s="781"/>
      <c r="V20" s="781">
        <v>163</v>
      </c>
      <c r="W20" s="781">
        <v>383</v>
      </c>
      <c r="X20" s="870"/>
      <c r="Y20" s="835">
        <v>0</v>
      </c>
      <c r="Z20" s="782">
        <v>5368</v>
      </c>
      <c r="AA20" s="782">
        <v>6322</v>
      </c>
      <c r="AB20" s="870">
        <v>4419</v>
      </c>
      <c r="AC20" s="834">
        <v>0</v>
      </c>
      <c r="AD20" s="781">
        <v>143.71468926553672</v>
      </c>
      <c r="AE20" s="870">
        <v>130.64971751412429</v>
      </c>
      <c r="AF20" s="870">
        <v>130.64971751412429</v>
      </c>
      <c r="AG20" s="870">
        <v>156.77966101694918</v>
      </c>
      <c r="AH20" s="781">
        <v>172.45762711864407</v>
      </c>
      <c r="AI20" s="870">
        <v>156.77966101694918</v>
      </c>
      <c r="AJ20" s="870">
        <v>156.77966101694918</v>
      </c>
      <c r="AK20" s="870">
        <v>188.13559322033899</v>
      </c>
      <c r="AL20" s="870">
        <f>PPH_Data_Base28[[#This Row],[PPH Unit Basic Price With Cu Tube]]*0.05</f>
        <v>316.10000000000002</v>
      </c>
      <c r="AM20" s="781">
        <v>61.798152238657636</v>
      </c>
      <c r="AN20" s="781">
        <v>318.97997046228807</v>
      </c>
      <c r="AO20" s="781">
        <v>602.87214417372456</v>
      </c>
      <c r="AP20" s="781">
        <v>297</v>
      </c>
      <c r="AQ20" s="781">
        <v>295.65000000000003</v>
      </c>
      <c r="AR20" s="781">
        <f t="shared" si="2"/>
        <v>181.5</v>
      </c>
      <c r="AS20" s="781">
        <v>296.58728010813553</v>
      </c>
      <c r="AT20" s="781">
        <v>1453.3532074950506</v>
      </c>
      <c r="AU20" s="781">
        <v>23.72069010495764</v>
      </c>
      <c r="AV20" s="781">
        <v>216.62725959292374</v>
      </c>
      <c r="AW20" s="870">
        <v>1421.2</v>
      </c>
      <c r="AX20" s="870">
        <v>266</v>
      </c>
      <c r="AY20" s="870">
        <v>976.27345360169488</v>
      </c>
      <c r="AZ20" s="870">
        <v>339.07655867319914</v>
      </c>
      <c r="BA20" s="870">
        <f t="shared" si="3"/>
        <v>285</v>
      </c>
      <c r="BB20" s="870">
        <f>PPH_Data_Base28[[#This Row],[PPH Unit Basic Price With Cu Tube]]*0.1</f>
        <v>632.20000000000005</v>
      </c>
      <c r="BC20" s="870">
        <v>65.310705050115004</v>
      </c>
      <c r="BD20" s="870">
        <v>217.70235016705004</v>
      </c>
      <c r="BE20" s="870">
        <v>72.567450055683352</v>
      </c>
      <c r="BF20" s="870">
        <v>72.567450055683352</v>
      </c>
      <c r="BG20" s="870">
        <v>72.567450055683352</v>
      </c>
      <c r="BH20" s="870">
        <f>PPH_Data_Base28[[#This Row],[PPH Unit Basic Price With Cu Tube]]*0.075</f>
        <v>474.15</v>
      </c>
      <c r="BI20" s="870">
        <v>217.70235016705004</v>
      </c>
      <c r="BJ20" s="870">
        <v>72.567450055683352</v>
      </c>
      <c r="BK20" s="870">
        <v>72.567450055683352</v>
      </c>
      <c r="BL20" s="870">
        <v>72.567450055683352</v>
      </c>
      <c r="BM20" s="781">
        <f>PPH_Data_Base28[[#This Row],[Total Condenser Coil Area]]*Naming!$M$62*4</f>
        <v>1612.8</v>
      </c>
      <c r="BN20" s="781">
        <f>PPH_Data_Base28[[#This Row],[Total Evaporator  Coil Area]]*Naming!$M$62*4</f>
        <v>806.4</v>
      </c>
      <c r="BO20" s="781">
        <f>PPH_Data_Base28[[#This Row],[Total Condenser Coil Area]]*Naming!$D$61*4</f>
        <v>24.48</v>
      </c>
      <c r="BP20" s="781">
        <f>PPH_Data_Base28[[#This Row],[Total Evaporator  Coil Area]]*Naming!$D$61*6</f>
        <v>18.36</v>
      </c>
      <c r="BQ20" s="781">
        <f>$G$195*PPH_Data_Base28[[#This Row],[Total Evaporator  Coil Area]]</f>
        <v>40.5</v>
      </c>
      <c r="BR20" s="781">
        <f>$G$199*PPH_Data_Base28[[#This Row],[Total Evaporator  Coil Area]]</f>
        <v>61.199999999999996</v>
      </c>
      <c r="BS20" s="781">
        <f>$E$185*PPH_Data_Base28[[#This Row],[Total Evaporator  Coil Area]]</f>
        <v>180</v>
      </c>
      <c r="BT20" s="781">
        <f>$E$188*PPH_Data_Base28[[#This Row],[Total Evaporator  Coil Area]]</f>
        <v>252</v>
      </c>
      <c r="BU20" s="781">
        <f>$G$195*PPH_Data_Base28[[#This Row],[Total Condenser Coil Area]]</f>
        <v>81</v>
      </c>
      <c r="BV20" s="781">
        <f>$G$199*PPH_Data_Base28[[#This Row],[Total Condenser Coil Area]]</f>
        <v>122.39999999999999</v>
      </c>
      <c r="BW20" s="781">
        <f>$E$185*PPH_Data_Base28[[#This Row],[Total Condenser Coil Area]]</f>
        <v>360</v>
      </c>
      <c r="BX20" s="781">
        <f>$E$188*PPH_Data_Base28[[#This Row],[Total Condenser Coil Area]]</f>
        <v>504</v>
      </c>
      <c r="BY20" s="781">
        <v>164.49451675364747</v>
      </c>
      <c r="BZ20" s="870">
        <v>101.83257852254236</v>
      </c>
      <c r="CA20" s="870">
        <v>161.89705602640677</v>
      </c>
      <c r="CB20" s="870">
        <v>107.07477250423727</v>
      </c>
      <c r="CC20" s="870">
        <v>98.870056497175142</v>
      </c>
      <c r="CD20" s="870">
        <f t="shared" si="4"/>
        <v>96.045197740112997</v>
      </c>
      <c r="CE20" s="870">
        <v>20</v>
      </c>
      <c r="CF20" s="832">
        <v>0</v>
      </c>
      <c r="CG20" s="870">
        <f>PPH_Data_Base28[[#This Row],[PPH Unit Basic Price With Cu Tube]]*0.25</f>
        <v>1580.5</v>
      </c>
      <c r="CH20" s="870">
        <f>PPH_Data_Base28[[#This Row],[DSP Unit Basic Price With Cu Tube]]*0.35</f>
        <v>1546.6499999999999</v>
      </c>
      <c r="CI20" s="781">
        <v>89.190356144067806</v>
      </c>
      <c r="CJ20" s="781">
        <v>129.77347881355934</v>
      </c>
      <c r="CK20" s="781">
        <v>18.596238771186442</v>
      </c>
      <c r="CL20" s="781">
        <v>96.045197740112997</v>
      </c>
      <c r="CM20" s="870">
        <v>21.610169491525422</v>
      </c>
      <c r="CN20" s="781">
        <v>91.24293785310735</v>
      </c>
      <c r="CO20" s="870">
        <v>0</v>
      </c>
      <c r="CP20" s="781">
        <v>99.566741737288112</v>
      </c>
      <c r="CQ20" s="870">
        <v>128.36872401129943</v>
      </c>
      <c r="CR20" s="781">
        <v>248.96402542372883</v>
      </c>
      <c r="CS20" s="870">
        <v>515.69418813559344</v>
      </c>
      <c r="CT20" s="781">
        <v>432.55649717514126</v>
      </c>
      <c r="CU20" s="870">
        <v>92.15585593220338</v>
      </c>
      <c r="CV20" s="870">
        <v>248.58757062146893</v>
      </c>
      <c r="CW20" s="870">
        <f>400*1.35*PPH_Data_Base28[[#This Row],[No. of Unit  Compressors]]</f>
        <v>540</v>
      </c>
      <c r="CX20" s="835">
        <v>0</v>
      </c>
      <c r="CY20" s="871">
        <f>47*PPH_Data_Base28[[#This Row],[No. of Unit  Compressors]]*1.35</f>
        <v>63.45</v>
      </c>
      <c r="CZ20" s="871">
        <f>30*1.35*PPH_Data_Base28[[#This Row],[NO Condenser Fans]]</f>
        <v>81</v>
      </c>
      <c r="DA20" s="781">
        <f>INDEX($B$136:$F$154,MATCH(PPH_Data_Base28[[#This Row],[STD Supply Fan Motor]],$B$136:$B$154,0),5)*PPH_Data_Base28[[#This Row],[Fan QTY]]</f>
        <v>36.69975367231639</v>
      </c>
      <c r="DB20" s="871">
        <f>47*1.35*PPH_Data_Base28[[#This Row],[No. of Unit  Compressors]]</f>
        <v>63.45</v>
      </c>
      <c r="DC20" s="871">
        <f>28*PPH_Data_Base28[[#This Row],[NO Condenser Fans]]</f>
        <v>56</v>
      </c>
      <c r="DD20" s="781">
        <f>INDEX($B$136:$F$154,MATCH(PPH_Data_Base28[[#This Row],[STD Supply Fan Motor]],$B$136:$B$154,0),3)*PPH_Data_Base28[[#This Row],[Fan QTY]]</f>
        <v>24.627741525423726</v>
      </c>
      <c r="DE20" s="870">
        <f>INDEX($B$114:$C$131,MATCH(PPH_Data_Base28[[#This Row],[Compressor 1 HP]],$B$114:$B$131,0),2)*PPH_Data_Base28[[#This Row],[Compressor 1 QTY]]+IFERROR(INDEX($B$114:$C$131,MATCH(PPH_Data_Base28[[#This Row],[Compressor 2 HP]],$B$114:$B$131,0),2)*PPH_Data_Base28[[#This Row],[Compressor 2 QTY]],0)</f>
        <v>45</v>
      </c>
      <c r="DF20" s="870">
        <f>38*PPH_Data_Base28[[#This Row],[NO Condenser Fans]]</f>
        <v>76</v>
      </c>
      <c r="DG20" s="870">
        <f>INDEX($B$136:$F$154,MATCH(PPH_Data_Base28[[#This Row],[STD Supply Fan Motor]],$B$136:$B$154,0),5)*PPH_Data_Base28[[#This Row],[Fan QTY]]</f>
        <v>36.69975367231639</v>
      </c>
      <c r="DH20" s="781">
        <v>139.83050847457628</v>
      </c>
      <c r="DI20" s="781">
        <v>58.262711864406782</v>
      </c>
      <c r="DJ20" s="870">
        <f>INDEX($F$114:$G$124,MATCH(PPH_Data_Base28[[#This Row],[Compressor 1 HP]],$F$114:$F$124,0),2)</f>
        <v>3000</v>
      </c>
      <c r="DK20" s="870">
        <f>INDEX($F$114:$G$124,MATCH(PPH_Data_Base28[[#This Row],[Compressor 1 HP]],$F$114:$F$124,0),2)*PPH_Data_Base28[[#This Row],[Compressor 1 QTY]]+IFERROR(INDEX($F$114:$G$124,MATCH(PPH_Data_Base28[[#This Row],[Compressor 2 HP]],$F$114:$F$124,0),2)*PPH_Data_Base28[[#This Row],[Compressor 2 QTY]],0)</f>
        <v>3000</v>
      </c>
      <c r="DL20" s="870">
        <v>1699</v>
      </c>
      <c r="DM20" s="870">
        <v>564.9717514124294</v>
      </c>
      <c r="DN20" s="870">
        <v>213.62952090395484</v>
      </c>
      <c r="DO20" s="870">
        <v>2713.4650319209045</v>
      </c>
      <c r="DP20" s="870">
        <v>173.0225988700565</v>
      </c>
      <c r="DQ20" s="781">
        <f>PPH_Data_Base28[[#This Row],[NEMA 4X For Electrical Panel]]</f>
        <v>173.0225988700565</v>
      </c>
      <c r="DR20" s="870">
        <v>173.0225988700565</v>
      </c>
      <c r="DS20" s="870">
        <v>120.05649717514125</v>
      </c>
      <c r="DT20" s="870">
        <f>PPH_Data_Base28[[#This Row],[NO Condenser Fans]]*350</f>
        <v>700</v>
      </c>
      <c r="DU20" s="870">
        <v>238.27442754237299</v>
      </c>
      <c r="DV20" s="870">
        <f>150*PPH_Data_Base28[[#This Row],[NO Condenser Fans]]</f>
        <v>300</v>
      </c>
      <c r="DW20" s="781">
        <v>757.4152542372882</v>
      </c>
      <c r="DX20" s="781">
        <v>250</v>
      </c>
      <c r="DY20" s="870">
        <v>700</v>
      </c>
      <c r="DZ20" s="870">
        <v>100</v>
      </c>
      <c r="EA20" s="870">
        <v>540</v>
      </c>
      <c r="EB20" s="870">
        <v>4.186805084745763</v>
      </c>
      <c r="EC20" s="870">
        <v>23.305084745762713</v>
      </c>
      <c r="ED20" s="870">
        <v>58.361196822033918</v>
      </c>
      <c r="EE20" s="870">
        <v>350</v>
      </c>
      <c r="EF20" s="870">
        <v>350</v>
      </c>
      <c r="EG20" s="870">
        <v>286</v>
      </c>
      <c r="EH20" s="870">
        <v>375</v>
      </c>
      <c r="EI20" s="870">
        <v>138</v>
      </c>
      <c r="EJ20" s="870">
        <v>81</v>
      </c>
      <c r="EK20" s="870">
        <v>33.75</v>
      </c>
      <c r="EL20" s="870">
        <v>67.5</v>
      </c>
      <c r="EM20" s="870">
        <v>337.5</v>
      </c>
      <c r="EN20" s="870">
        <v>67</v>
      </c>
      <c r="EO20" s="870">
        <v>371</v>
      </c>
      <c r="EP20" s="870">
        <v>385.53092711864412</v>
      </c>
      <c r="EQ20" s="870">
        <v>26</v>
      </c>
      <c r="ER20" s="870">
        <v>324</v>
      </c>
      <c r="ES20" s="870">
        <v>22</v>
      </c>
      <c r="ET20" s="870">
        <v>65</v>
      </c>
      <c r="EU20" s="870">
        <v>203</v>
      </c>
      <c r="EV20" s="870">
        <v>250</v>
      </c>
      <c r="EW20" s="847">
        <v>0</v>
      </c>
      <c r="EX20" s="781">
        <v>46.384451977401142</v>
      </c>
      <c r="EY20" s="781">
        <v>333.11975593220342</v>
      </c>
      <c r="EZ20" s="870">
        <v>19.209039548022599</v>
      </c>
      <c r="FA20" s="870">
        <v>40</v>
      </c>
      <c r="FB20" s="870">
        <v>40</v>
      </c>
      <c r="FC20" s="870">
        <v>22.775173728813563</v>
      </c>
      <c r="FD20" s="870">
        <v>22.775173728813563</v>
      </c>
      <c r="FE20" s="870">
        <v>19.774011299435031</v>
      </c>
      <c r="FF20" s="870">
        <v>52.259887005649723</v>
      </c>
      <c r="FG20" s="870">
        <v>200</v>
      </c>
      <c r="FH20" s="870">
        <v>145.93000229340572</v>
      </c>
      <c r="FI20" s="870">
        <v>88.681403834083682</v>
      </c>
      <c r="FJ20" s="870">
        <v>26</v>
      </c>
      <c r="FK20" s="870">
        <f>PPH_Data_Base28[[#This Row],[Differential Pressure Switch]]*2</f>
        <v>52</v>
      </c>
      <c r="FL20" s="870">
        <v>42</v>
      </c>
      <c r="FM20" s="872">
        <f>PPH_Data_Base28[[#This Row],[STD PETRA DIAL DIFF.PRESS.GAUGE NOT DWYER]]*2</f>
        <v>84</v>
      </c>
      <c r="FN20" s="872">
        <v>75</v>
      </c>
      <c r="FO20" s="872">
        <f>PPH_Data_Base28[[#This Row],[Replaceble Filter Drier ]]</f>
        <v>96.045197740112997</v>
      </c>
      <c r="FP20" s="872">
        <f>PPH_Data_Base28[[#This Row],[2" Pre-Filter]]*2</f>
        <v>47.44138020991528</v>
      </c>
      <c r="FQ20" s="872">
        <f>PPH_Data_Base28[[#This Row],[Bag Filter EU-8]]</f>
        <v>216.62725959292374</v>
      </c>
      <c r="FR20" s="872">
        <v>500</v>
      </c>
      <c r="FS20" s="872">
        <v>30</v>
      </c>
      <c r="FT20" s="176"/>
      <c r="FU20" s="176"/>
      <c r="FV20" s="176"/>
      <c r="FW20" s="176"/>
      <c r="GW20" s="176"/>
      <c r="GX20" s="176"/>
      <c r="HC20" s="176"/>
    </row>
    <row r="21" spans="1:211">
      <c r="A21" s="780" t="s">
        <v>452</v>
      </c>
      <c r="B21" s="781" t="s">
        <v>1575</v>
      </c>
      <c r="C21" s="781" t="s">
        <v>525</v>
      </c>
      <c r="D21" s="870" t="s">
        <v>1577</v>
      </c>
      <c r="E21" s="870" t="s">
        <v>1576</v>
      </c>
      <c r="F21" s="870" t="s">
        <v>1578</v>
      </c>
      <c r="G21" s="851">
        <v>0</v>
      </c>
      <c r="H21" s="870" t="s">
        <v>2248</v>
      </c>
      <c r="I21" s="781" t="s">
        <v>1554</v>
      </c>
      <c r="J21" s="781" t="s">
        <v>1562</v>
      </c>
      <c r="K21" s="781">
        <v>1</v>
      </c>
      <c r="L21" s="781" t="s">
        <v>568</v>
      </c>
      <c r="M21" s="781">
        <v>2</v>
      </c>
      <c r="N21" s="300">
        <v>2</v>
      </c>
      <c r="O21" s="781">
        <v>18</v>
      </c>
      <c r="P21" s="781">
        <v>9</v>
      </c>
      <c r="Q21" s="781">
        <v>2</v>
      </c>
      <c r="R21" s="781">
        <v>9</v>
      </c>
      <c r="S21" s="781">
        <v>1</v>
      </c>
      <c r="T21" s="781">
        <v>8</v>
      </c>
      <c r="U21" s="781">
        <v>1</v>
      </c>
      <c r="V21" s="781">
        <v>163</v>
      </c>
      <c r="W21" s="781">
        <v>383</v>
      </c>
      <c r="X21" s="870" t="s">
        <v>413</v>
      </c>
      <c r="Y21" s="835">
        <v>0</v>
      </c>
      <c r="Z21" s="782">
        <v>6069</v>
      </c>
      <c r="AA21" s="782">
        <v>7020</v>
      </c>
      <c r="AB21" s="870">
        <v>5082</v>
      </c>
      <c r="AC21" s="834">
        <v>0</v>
      </c>
      <c r="AD21" s="781">
        <v>143.71468926553672</v>
      </c>
      <c r="AE21" s="870">
        <v>130.64971751412429</v>
      </c>
      <c r="AF21" s="870">
        <v>130.64971751412429</v>
      </c>
      <c r="AG21" s="870">
        <v>156.77966101694918</v>
      </c>
      <c r="AH21" s="781">
        <v>172.45762711864407</v>
      </c>
      <c r="AI21" s="870">
        <v>156.77966101694918</v>
      </c>
      <c r="AJ21" s="870">
        <v>156.77966101694918</v>
      </c>
      <c r="AK21" s="870">
        <v>188.13559322033899</v>
      </c>
      <c r="AL21" s="870">
        <f>PPH_Data_Base28[[#This Row],[PPH Unit Basic Price With Cu Tube]]*0.05</f>
        <v>351</v>
      </c>
      <c r="AM21" s="781">
        <v>61.798152238657636</v>
      </c>
      <c r="AN21" s="781">
        <v>318.97997046228807</v>
      </c>
      <c r="AO21" s="781">
        <v>602.87214417372456</v>
      </c>
      <c r="AP21" s="781">
        <v>297</v>
      </c>
      <c r="AQ21" s="781">
        <v>295.65000000000003</v>
      </c>
      <c r="AR21" s="781">
        <f t="shared" si="2"/>
        <v>181.5</v>
      </c>
      <c r="AS21" s="781">
        <v>296.58728010813553</v>
      </c>
      <c r="AT21" s="781">
        <v>1453.3532074950506</v>
      </c>
      <c r="AU21" s="781">
        <v>23.72069010495764</v>
      </c>
      <c r="AV21" s="781">
        <v>216.62725959292374</v>
      </c>
      <c r="AW21" s="870">
        <v>1455.88</v>
      </c>
      <c r="AX21" s="870">
        <v>266</v>
      </c>
      <c r="AY21" s="870">
        <v>976.27345360169488</v>
      </c>
      <c r="AZ21" s="870">
        <v>339.07655867319914</v>
      </c>
      <c r="BA21" s="870">
        <f t="shared" si="3"/>
        <v>285</v>
      </c>
      <c r="BB21" s="870">
        <f>PPH_Data_Base28[[#This Row],[PPH Unit Basic Price With Cu Tube]]*0.1</f>
        <v>702</v>
      </c>
      <c r="BC21" s="870">
        <v>72.812073300869258</v>
      </c>
      <c r="BD21" s="870">
        <v>242.70691100289756</v>
      </c>
      <c r="BE21" s="870">
        <v>80.902303667632523</v>
      </c>
      <c r="BF21" s="870">
        <v>80.902303667632523</v>
      </c>
      <c r="BG21" s="870">
        <v>80.902303667632523</v>
      </c>
      <c r="BH21" s="870">
        <f>PPH_Data_Base28[[#This Row],[PPH Unit Basic Price With Cu Tube]]*0.075</f>
        <v>526.5</v>
      </c>
      <c r="BI21" s="870">
        <v>242.70691100289756</v>
      </c>
      <c r="BJ21" s="870">
        <v>80.902303667632523</v>
      </c>
      <c r="BK21" s="870">
        <v>80.902303667632523</v>
      </c>
      <c r="BL21" s="870">
        <v>80.902303667632523</v>
      </c>
      <c r="BM21" s="781">
        <f>PPH_Data_Base28[[#This Row],[Total Condenser Coil Area]]*Naming!$M$62*4</f>
        <v>1612.8</v>
      </c>
      <c r="BN21" s="781">
        <f>PPH_Data_Base28[[#This Row],[Total Evaporator  Coil Area]]*Naming!$M$62*4</f>
        <v>806.4</v>
      </c>
      <c r="BO21" s="781">
        <f>PPH_Data_Base28[[#This Row],[Total Condenser Coil Area]]*Naming!$D$61*4</f>
        <v>24.48</v>
      </c>
      <c r="BP21" s="781">
        <f>PPH_Data_Base28[[#This Row],[Total Evaporator  Coil Area]]*Naming!$D$61*6</f>
        <v>18.36</v>
      </c>
      <c r="BQ21" s="781">
        <f>$G$195*PPH_Data_Base28[[#This Row],[Total Evaporator  Coil Area]]</f>
        <v>40.5</v>
      </c>
      <c r="BR21" s="781">
        <f>$G$199*PPH_Data_Base28[[#This Row],[Total Evaporator  Coil Area]]</f>
        <v>61.199999999999996</v>
      </c>
      <c r="BS21" s="781">
        <f>$E$185*PPH_Data_Base28[[#This Row],[Total Evaporator  Coil Area]]</f>
        <v>180</v>
      </c>
      <c r="BT21" s="781">
        <f>$E$188*PPH_Data_Base28[[#This Row],[Total Evaporator  Coil Area]]</f>
        <v>252</v>
      </c>
      <c r="BU21" s="781">
        <f>$G$195*PPH_Data_Base28[[#This Row],[Total Condenser Coil Area]]</f>
        <v>81</v>
      </c>
      <c r="BV21" s="781">
        <f>$G$199*PPH_Data_Base28[[#This Row],[Total Condenser Coil Area]]</f>
        <v>122.39999999999999</v>
      </c>
      <c r="BW21" s="781">
        <f>$E$185*PPH_Data_Base28[[#This Row],[Total Condenser Coil Area]]</f>
        <v>360</v>
      </c>
      <c r="BX21" s="781">
        <f>$E$188*PPH_Data_Base28[[#This Row],[Total Condenser Coil Area]]</f>
        <v>504</v>
      </c>
      <c r="BY21" s="781">
        <v>164.49451675364747</v>
      </c>
      <c r="BZ21" s="870">
        <v>101.83257852254236</v>
      </c>
      <c r="CA21" s="870">
        <v>161.89705602640677</v>
      </c>
      <c r="CB21" s="870">
        <v>107.07477250423727</v>
      </c>
      <c r="CC21" s="870">
        <v>98.870056497175142</v>
      </c>
      <c r="CD21" s="870">
        <f t="shared" si="4"/>
        <v>96.045197740112997</v>
      </c>
      <c r="CE21" s="870">
        <v>20</v>
      </c>
      <c r="CF21" s="832">
        <v>0</v>
      </c>
      <c r="CG21" s="870">
        <f>PPH_Data_Base28[[#This Row],[PPH Unit Basic Price With Cu Tube]]*0.25</f>
        <v>1755</v>
      </c>
      <c r="CH21" s="870">
        <f>PPH_Data_Base28[[#This Row],[DSP Unit Basic Price With Cu Tube]]*0.35</f>
        <v>1778.6999999999998</v>
      </c>
      <c r="CI21" s="781">
        <v>178.38071228813561</v>
      </c>
      <c r="CJ21" s="781">
        <v>259.54695762711867</v>
      </c>
      <c r="CK21" s="781">
        <v>37.192477542372885</v>
      </c>
      <c r="CL21" s="781">
        <v>192.09039548022599</v>
      </c>
      <c r="CM21" s="870">
        <v>28.8135593220339</v>
      </c>
      <c r="CN21" s="781">
        <v>105.64971751412429</v>
      </c>
      <c r="CO21" s="870">
        <v>0</v>
      </c>
      <c r="CP21" s="781">
        <v>172.61319053672315</v>
      </c>
      <c r="CQ21" s="870">
        <v>161.50409632768361</v>
      </c>
      <c r="CR21" s="781">
        <v>248.96402542372883</v>
      </c>
      <c r="CS21" s="870">
        <v>751.57637966101709</v>
      </c>
      <c r="CT21" s="781">
        <v>865.11299435028252</v>
      </c>
      <c r="CU21" s="870">
        <v>184.31171186440676</v>
      </c>
      <c r="CV21" s="870">
        <v>497.17514124293785</v>
      </c>
      <c r="CW21" s="870">
        <f>400*1.35*PPH_Data_Base28[[#This Row],[No. of Unit  Compressors]]</f>
        <v>1080</v>
      </c>
      <c r="CX21" s="835">
        <v>0</v>
      </c>
      <c r="CY21" s="871">
        <f>47*PPH_Data_Base28[[#This Row],[No. of Unit  Compressors]]*1.35</f>
        <v>126.9</v>
      </c>
      <c r="CZ21" s="871">
        <f>30*1.35*PPH_Data_Base28[[#This Row],[NO Condenser Fans]]</f>
        <v>81</v>
      </c>
      <c r="DA21" s="781">
        <f>INDEX($B$136:$F$154,MATCH(PPH_Data_Base28[[#This Row],[STD Supply Fan Motor]],$B$136:$B$154,0),5)*PPH_Data_Base28[[#This Row],[Fan QTY]]</f>
        <v>36.69975367231639</v>
      </c>
      <c r="DB21" s="871">
        <f>47*1.35*PPH_Data_Base28[[#This Row],[No. of Unit  Compressors]]</f>
        <v>126.9</v>
      </c>
      <c r="DC21" s="871">
        <f>28*PPH_Data_Base28[[#This Row],[NO Condenser Fans]]</f>
        <v>56</v>
      </c>
      <c r="DD21" s="781">
        <f>INDEX($B$136:$F$154,MATCH(PPH_Data_Base28[[#This Row],[STD Supply Fan Motor]],$B$136:$B$154,0),3)*PPH_Data_Base28[[#This Row],[Fan QTY]]</f>
        <v>24.627741525423726</v>
      </c>
      <c r="DE21" s="870">
        <f>INDEX($B$114:$C$131,MATCH(PPH_Data_Base28[[#This Row],[Compressor 1 HP]],$B$114:$B$131,0),2)*PPH_Data_Base28[[#This Row],[Compressor 1 QTY]]+IFERROR(INDEX($B$114:$C$131,MATCH(PPH_Data_Base28[[#This Row],[Compressor 2 HP]],$B$114:$B$131,0),2)*PPH_Data_Base28[[#This Row],[Compressor 2 QTY]],0)</f>
        <v>72</v>
      </c>
      <c r="DF21" s="870">
        <f>38*PPH_Data_Base28[[#This Row],[NO Condenser Fans]]</f>
        <v>76</v>
      </c>
      <c r="DG21" s="870">
        <f>INDEX($B$136:$F$154,MATCH(PPH_Data_Base28[[#This Row],[STD Supply Fan Motor]],$B$136:$B$154,0),5)*PPH_Data_Base28[[#This Row],[Fan QTY]]</f>
        <v>36.69975367231639</v>
      </c>
      <c r="DH21" s="781">
        <v>139.83050847457628</v>
      </c>
      <c r="DI21" s="781">
        <v>58.262711864406782</v>
      </c>
      <c r="DJ21" s="870">
        <f>INDEX($F$114:$G$124,MATCH(PPH_Data_Base28[[#This Row],[Compressor 1 HP]],$F$114:$F$124,0),2)</f>
        <v>2600</v>
      </c>
      <c r="DK21" s="870">
        <f>INDEX($F$114:$G$124,MATCH(PPH_Data_Base28[[#This Row],[Compressor 1 HP]],$F$114:$F$124,0),2)*PPH_Data_Base28[[#This Row],[Compressor 1 QTY]]+IFERROR(INDEX($F$114:$G$124,MATCH(PPH_Data_Base28[[#This Row],[Compressor 2 HP]],$F$114:$F$124,0),2)*PPH_Data_Base28[[#This Row],[Compressor 2 QTY]],0)</f>
        <v>5100</v>
      </c>
      <c r="DL21" s="870">
        <v>1699</v>
      </c>
      <c r="DM21" s="870">
        <v>564.9717514124294</v>
      </c>
      <c r="DN21" s="870">
        <v>213.62952090395484</v>
      </c>
      <c r="DO21" s="870">
        <v>2713.4650319209045</v>
      </c>
      <c r="DP21" s="870">
        <v>173.0225988700565</v>
      </c>
      <c r="DQ21" s="781">
        <f>PPH_Data_Base28[[#This Row],[NEMA 4X For Electrical Panel]]</f>
        <v>173.0225988700565</v>
      </c>
      <c r="DR21" s="870">
        <v>173.0225988700565</v>
      </c>
      <c r="DS21" s="870">
        <v>120.05649717514125</v>
      </c>
      <c r="DT21" s="870">
        <f>PPH_Data_Base28[[#This Row],[NO Condenser Fans]]*350</f>
        <v>700</v>
      </c>
      <c r="DU21" s="870">
        <v>238.27442754237299</v>
      </c>
      <c r="DV21" s="870">
        <f>150*PPH_Data_Base28[[#This Row],[NO Condenser Fans]]</f>
        <v>300</v>
      </c>
      <c r="DW21" s="781">
        <v>757.4152542372882</v>
      </c>
      <c r="DX21" s="781">
        <v>250</v>
      </c>
      <c r="DY21" s="870">
        <v>700</v>
      </c>
      <c r="DZ21" s="870">
        <v>100</v>
      </c>
      <c r="EA21" s="870">
        <v>540</v>
      </c>
      <c r="EB21" s="870">
        <v>4.186805084745763</v>
      </c>
      <c r="EC21" s="870">
        <v>23.305084745762713</v>
      </c>
      <c r="ED21" s="870">
        <v>58.361196822033918</v>
      </c>
      <c r="EE21" s="870">
        <v>350</v>
      </c>
      <c r="EF21" s="870">
        <v>350</v>
      </c>
      <c r="EG21" s="870">
        <v>286</v>
      </c>
      <c r="EH21" s="870">
        <v>375</v>
      </c>
      <c r="EI21" s="870">
        <v>138</v>
      </c>
      <c r="EJ21" s="870">
        <v>81</v>
      </c>
      <c r="EK21" s="870">
        <v>33.75</v>
      </c>
      <c r="EL21" s="870">
        <v>67.5</v>
      </c>
      <c r="EM21" s="870">
        <v>337.5</v>
      </c>
      <c r="EN21" s="870">
        <v>67</v>
      </c>
      <c r="EO21" s="870">
        <v>371</v>
      </c>
      <c r="EP21" s="870">
        <v>385.53092711864412</v>
      </c>
      <c r="EQ21" s="870">
        <v>26</v>
      </c>
      <c r="ER21" s="870">
        <v>324</v>
      </c>
      <c r="ES21" s="870">
        <v>22</v>
      </c>
      <c r="ET21" s="870">
        <v>65</v>
      </c>
      <c r="EU21" s="870">
        <v>203</v>
      </c>
      <c r="EV21" s="870">
        <v>250</v>
      </c>
      <c r="EW21" s="847">
        <v>0</v>
      </c>
      <c r="EX21" s="781">
        <v>46.384451977401142</v>
      </c>
      <c r="EY21" s="781">
        <v>333.11975593220342</v>
      </c>
      <c r="EZ21" s="870">
        <v>19.209039548022599</v>
      </c>
      <c r="FA21" s="870">
        <v>40</v>
      </c>
      <c r="FB21" s="870">
        <v>40</v>
      </c>
      <c r="FC21" s="870">
        <v>22.775173728813563</v>
      </c>
      <c r="FD21" s="870">
        <v>22.775173728813563</v>
      </c>
      <c r="FE21" s="870">
        <v>19.774011299435031</v>
      </c>
      <c r="FF21" s="870">
        <v>52.259887005649723</v>
      </c>
      <c r="FG21" s="870">
        <v>200</v>
      </c>
      <c r="FH21" s="870">
        <v>145.93000229340572</v>
      </c>
      <c r="FI21" s="870">
        <v>88.681403834083682</v>
      </c>
      <c r="FJ21" s="870">
        <v>26</v>
      </c>
      <c r="FK21" s="870">
        <f>PPH_Data_Base28[[#This Row],[Differential Pressure Switch]]*2</f>
        <v>52</v>
      </c>
      <c r="FL21" s="870">
        <v>42</v>
      </c>
      <c r="FM21" s="872">
        <f>PPH_Data_Base28[[#This Row],[STD PETRA DIAL DIFF.PRESS.GAUGE NOT DWYER]]*2</f>
        <v>84</v>
      </c>
      <c r="FN21" s="872">
        <v>75</v>
      </c>
      <c r="FO21" s="872">
        <f>PPH_Data_Base28[[#This Row],[Replaceble Filter Drier ]]</f>
        <v>192.09039548022599</v>
      </c>
      <c r="FP21" s="872">
        <f>PPH_Data_Base28[[#This Row],[2" Pre-Filter]]*2</f>
        <v>47.44138020991528</v>
      </c>
      <c r="FQ21" s="872">
        <f>PPH_Data_Base28[[#This Row],[Bag Filter EU-8]]</f>
        <v>216.62725959292374</v>
      </c>
      <c r="FR21" s="872">
        <v>500</v>
      </c>
      <c r="FS21" s="872">
        <v>30</v>
      </c>
      <c r="FT21" s="176"/>
      <c r="FU21" s="176"/>
      <c r="FV21" s="176"/>
      <c r="FW21" s="176"/>
      <c r="GW21" s="176"/>
      <c r="GX21" s="176"/>
      <c r="HC21" s="176"/>
    </row>
    <row r="22" spans="1:211">
      <c r="A22" s="780" t="s">
        <v>453</v>
      </c>
      <c r="B22" s="781" t="s">
        <v>1579</v>
      </c>
      <c r="C22" s="781" t="s">
        <v>526</v>
      </c>
      <c r="D22" s="870" t="s">
        <v>1581</v>
      </c>
      <c r="E22" s="870" t="s">
        <v>1580</v>
      </c>
      <c r="F22" s="870" t="s">
        <v>1582</v>
      </c>
      <c r="G22" s="851">
        <v>0</v>
      </c>
      <c r="H22" s="870" t="s">
        <v>2248</v>
      </c>
      <c r="I22" s="781" t="s">
        <v>755</v>
      </c>
      <c r="J22" s="781" t="s">
        <v>1562</v>
      </c>
      <c r="K22" s="781">
        <v>1</v>
      </c>
      <c r="L22" s="781" t="s">
        <v>568</v>
      </c>
      <c r="M22" s="781">
        <v>3</v>
      </c>
      <c r="N22" s="300">
        <v>3</v>
      </c>
      <c r="O22" s="781">
        <v>31.138888888888889</v>
      </c>
      <c r="P22" s="781">
        <v>17.7</v>
      </c>
      <c r="Q22" s="781">
        <v>1</v>
      </c>
      <c r="R22" s="781">
        <v>15</v>
      </c>
      <c r="S22" s="781">
        <v>1</v>
      </c>
      <c r="T22" s="781"/>
      <c r="U22" s="781"/>
      <c r="V22" s="781">
        <v>256</v>
      </c>
      <c r="W22" s="781">
        <v>383</v>
      </c>
      <c r="X22" s="870"/>
      <c r="Y22" s="835">
        <v>0</v>
      </c>
      <c r="Z22" s="782">
        <v>6492</v>
      </c>
      <c r="AA22" s="782">
        <v>7759</v>
      </c>
      <c r="AB22" s="870">
        <v>5281</v>
      </c>
      <c r="AC22" s="834">
        <v>0</v>
      </c>
      <c r="AD22" s="781">
        <v>195.97457627118646</v>
      </c>
      <c r="AE22" s="870">
        <v>169.84463276836161</v>
      </c>
      <c r="AF22" s="870">
        <v>182.90960451977404</v>
      </c>
      <c r="AG22" s="870">
        <v>219.49152542372883</v>
      </c>
      <c r="AH22" s="781">
        <v>235.16949152542375</v>
      </c>
      <c r="AI22" s="870">
        <v>203.81355932203391</v>
      </c>
      <c r="AJ22" s="870">
        <v>219.49152542372883</v>
      </c>
      <c r="AK22" s="870">
        <v>263.38983050847457</v>
      </c>
      <c r="AL22" s="870">
        <f>PPH_Data_Base28[[#This Row],[PPH Unit Basic Price With Cu Tube]]*0.05</f>
        <v>387.95000000000005</v>
      </c>
      <c r="AM22" s="781">
        <v>106.90698867212224</v>
      </c>
      <c r="AN22" s="781">
        <v>551.81565877812511</v>
      </c>
      <c r="AO22" s="781">
        <v>1042.9315950906564</v>
      </c>
      <c r="AP22" s="781">
        <v>438.75000000000006</v>
      </c>
      <c r="AQ22" s="781">
        <v>334.8</v>
      </c>
      <c r="AR22" s="781">
        <f>1.5*242</f>
        <v>363</v>
      </c>
      <c r="AS22" s="781">
        <v>445.59605180493645</v>
      </c>
      <c r="AT22" s="781">
        <v>1691.7672422099322</v>
      </c>
      <c r="AU22" s="781">
        <v>34.93288227582628</v>
      </c>
      <c r="AV22" s="781">
        <v>327.29473726824159</v>
      </c>
      <c r="AW22" s="870">
        <v>1455.88</v>
      </c>
      <c r="AX22" s="870">
        <v>363</v>
      </c>
      <c r="AY22" s="870">
        <v>1666.227403601695</v>
      </c>
      <c r="AZ22" s="870">
        <v>497.91403065413147</v>
      </c>
      <c r="BA22" s="870">
        <f>10.75*30</f>
        <v>322.5</v>
      </c>
      <c r="BB22" s="870">
        <f>PPH_Data_Base28[[#This Row],[PPH Unit Basic Price With Cu Tube]]*0.1</f>
        <v>775.90000000000009</v>
      </c>
      <c r="BC22" s="870">
        <v>78.519707823752299</v>
      </c>
      <c r="BD22" s="870">
        <v>261.73235941250766</v>
      </c>
      <c r="BE22" s="870">
        <v>87.244119804169216</v>
      </c>
      <c r="BF22" s="870">
        <v>87.244119804169216</v>
      </c>
      <c r="BG22" s="870">
        <v>87.244119804169216</v>
      </c>
      <c r="BH22" s="870">
        <f>PPH_Data_Base28[[#This Row],[PPH Unit Basic Price With Cu Tube]]*0.075</f>
        <v>581.92499999999995</v>
      </c>
      <c r="BI22" s="870">
        <v>261.73235941250766</v>
      </c>
      <c r="BJ22" s="870">
        <v>87.244119804169216</v>
      </c>
      <c r="BK22" s="870">
        <v>87.244119804169216</v>
      </c>
      <c r="BL22" s="870">
        <v>87.244119804169216</v>
      </c>
      <c r="BM22" s="781">
        <f>PPH_Data_Base28[[#This Row],[Total Condenser Coil Area]]*Naming!$M$62*4</f>
        <v>2790.0444444444443</v>
      </c>
      <c r="BN22" s="781">
        <f>PPH_Data_Base28[[#This Row],[Total Evaporator  Coil Area]]*Naming!$M$62*4</f>
        <v>1585.9199999999998</v>
      </c>
      <c r="BO22" s="781">
        <f>PPH_Data_Base28[[#This Row],[Total Condenser Coil Area]]*Naming!$D$61*4</f>
        <v>42.348888888888894</v>
      </c>
      <c r="BP22" s="781">
        <f>PPH_Data_Base28[[#This Row],[Total Evaporator  Coil Area]]*Naming!$D$61*6</f>
        <v>36.107999999999997</v>
      </c>
      <c r="BQ22" s="781">
        <f>$G$195*PPH_Data_Base28[[#This Row],[Total Evaporator  Coil Area]]</f>
        <v>79.649999999999991</v>
      </c>
      <c r="BR22" s="781">
        <f>$G$199*PPH_Data_Base28[[#This Row],[Total Evaporator  Coil Area]]</f>
        <v>120.35999999999999</v>
      </c>
      <c r="BS22" s="781">
        <f>$E$185*PPH_Data_Base28[[#This Row],[Total Evaporator  Coil Area]]</f>
        <v>354</v>
      </c>
      <c r="BT22" s="781">
        <f>$E$188*PPH_Data_Base28[[#This Row],[Total Evaporator  Coil Area]]</f>
        <v>495.59999999999997</v>
      </c>
      <c r="BU22" s="781">
        <f>$G$195*PPH_Data_Base28[[#This Row],[Total Condenser Coil Area]]</f>
        <v>140.125</v>
      </c>
      <c r="BV22" s="781">
        <f>$G$199*PPH_Data_Base28[[#This Row],[Total Condenser Coil Area]]</f>
        <v>211.74444444444444</v>
      </c>
      <c r="BW22" s="781">
        <f>$E$185*PPH_Data_Base28[[#This Row],[Total Condenser Coil Area]]</f>
        <v>622.77777777777783</v>
      </c>
      <c r="BX22" s="781">
        <f>$E$188*PPH_Data_Base28[[#This Row],[Total Condenser Coil Area]]</f>
        <v>871.88888888888891</v>
      </c>
      <c r="BY22" s="781">
        <v>231.51080135698533</v>
      </c>
      <c r="BZ22" s="870">
        <v>143.31992532802258</v>
      </c>
      <c r="CA22" s="870">
        <v>171.23727079716105</v>
      </c>
      <c r="CB22" s="870">
        <v>113.25216322563558</v>
      </c>
      <c r="CC22" s="870">
        <v>98.870056497175142</v>
      </c>
      <c r="CD22" s="870">
        <f t="shared" si="4"/>
        <v>96.045197740112997</v>
      </c>
      <c r="CE22" s="870">
        <v>20</v>
      </c>
      <c r="CF22" s="832">
        <v>0</v>
      </c>
      <c r="CG22" s="870">
        <f>PPH_Data_Base28[[#This Row],[PPH Unit Basic Price With Cu Tube]]*0.25</f>
        <v>1939.75</v>
      </c>
      <c r="CH22" s="870">
        <f>PPH_Data_Base28[[#This Row],[DSP Unit Basic Price With Cu Tube]]*0.35</f>
        <v>1848.35</v>
      </c>
      <c r="CI22" s="781">
        <v>89.190356144067806</v>
      </c>
      <c r="CJ22" s="781">
        <v>129.77347881355934</v>
      </c>
      <c r="CK22" s="781">
        <v>18.596238771186442</v>
      </c>
      <c r="CL22" s="781">
        <v>96.045197740112997</v>
      </c>
      <c r="CM22" s="870">
        <v>21.610169491525422</v>
      </c>
      <c r="CN22" s="781">
        <v>91.24293785310735</v>
      </c>
      <c r="CO22" s="870">
        <v>0</v>
      </c>
      <c r="CP22" s="781">
        <v>99.566741737288112</v>
      </c>
      <c r="CQ22" s="870">
        <v>128.36872401129943</v>
      </c>
      <c r="CR22" s="781">
        <v>248.96402542372883</v>
      </c>
      <c r="CS22" s="870">
        <v>515.69418813559344</v>
      </c>
      <c r="CT22" s="781">
        <v>432.55649717514126</v>
      </c>
      <c r="CU22" s="870">
        <v>92.15585593220338</v>
      </c>
      <c r="CV22" s="870">
        <v>248.58757062146893</v>
      </c>
      <c r="CW22" s="870">
        <f>400*1.35*PPH_Data_Base28[[#This Row],[No. of Unit  Compressors]]</f>
        <v>540</v>
      </c>
      <c r="CX22" s="835">
        <v>0</v>
      </c>
      <c r="CY22" s="871">
        <f>47*PPH_Data_Base28[[#This Row],[No. of Unit  Compressors]]*1.35</f>
        <v>63.45</v>
      </c>
      <c r="CZ22" s="871">
        <f>30*1.35*PPH_Data_Base28[[#This Row],[NO Condenser Fans]]</f>
        <v>121.5</v>
      </c>
      <c r="DA22" s="781">
        <f>INDEX($B$136:$F$154,MATCH(PPH_Data_Base28[[#This Row],[STD Supply Fan Motor]],$B$136:$B$154,0),5)*PPH_Data_Base28[[#This Row],[Fan QTY]]</f>
        <v>36.69975367231639</v>
      </c>
      <c r="DB22" s="871">
        <f>47*1.35*PPH_Data_Base28[[#This Row],[No. of Unit  Compressors]]</f>
        <v>63.45</v>
      </c>
      <c r="DC22" s="871">
        <f>28*PPH_Data_Base28[[#This Row],[NO Condenser Fans]]</f>
        <v>84</v>
      </c>
      <c r="DD22" s="781">
        <f>INDEX($B$136:$F$154,MATCH(PPH_Data_Base28[[#This Row],[STD Supply Fan Motor]],$B$136:$B$154,0),3)*PPH_Data_Base28[[#This Row],[Fan QTY]]</f>
        <v>24.627741525423726</v>
      </c>
      <c r="DE22" s="870">
        <f>INDEX($B$114:$C$131,MATCH(PPH_Data_Base28[[#This Row],[Compressor 1 HP]],$B$114:$B$131,0),2)*PPH_Data_Base28[[#This Row],[Compressor 1 QTY]]+IFERROR(INDEX($B$114:$C$131,MATCH(PPH_Data_Base28[[#This Row],[Compressor 2 HP]],$B$114:$B$131,0),2)*PPH_Data_Base28[[#This Row],[Compressor 2 QTY]],0)</f>
        <v>45</v>
      </c>
      <c r="DF22" s="870">
        <f>38*PPH_Data_Base28[[#This Row],[NO Condenser Fans]]</f>
        <v>114</v>
      </c>
      <c r="DG22" s="870">
        <f>INDEX($B$136:$F$154,MATCH(PPH_Data_Base28[[#This Row],[STD Supply Fan Motor]],$B$136:$B$154,0),5)*PPH_Data_Base28[[#This Row],[Fan QTY]]</f>
        <v>36.69975367231639</v>
      </c>
      <c r="DH22" s="781">
        <v>139.83050847457628</v>
      </c>
      <c r="DI22" s="781">
        <v>58.262711864406782</v>
      </c>
      <c r="DJ22" s="870">
        <f>INDEX($F$114:$G$124,MATCH(PPH_Data_Base28[[#This Row],[Compressor 1 HP]],$F$114:$F$124,0),2)</f>
        <v>3000</v>
      </c>
      <c r="DK22" s="870">
        <f>INDEX($F$114:$G$124,MATCH(PPH_Data_Base28[[#This Row],[Compressor 1 HP]],$F$114:$F$124,0),2)*PPH_Data_Base28[[#This Row],[Compressor 1 QTY]]+IFERROR(INDEX($F$114:$G$124,MATCH(PPH_Data_Base28[[#This Row],[Compressor 2 HP]],$F$114:$F$124,0),2)*PPH_Data_Base28[[#This Row],[Compressor 2 QTY]],0)</f>
        <v>3000</v>
      </c>
      <c r="DL22" s="870">
        <v>1699</v>
      </c>
      <c r="DM22" s="870">
        <v>564.9717514124294</v>
      </c>
      <c r="DN22" s="870">
        <v>213.62952090395484</v>
      </c>
      <c r="DO22" s="870">
        <v>2713.4650319209045</v>
      </c>
      <c r="DP22" s="870">
        <v>173.0225988700565</v>
      </c>
      <c r="DQ22" s="781">
        <f>PPH_Data_Base28[[#This Row],[NEMA 4X For Electrical Panel]]</f>
        <v>173.0225988700565</v>
      </c>
      <c r="DR22" s="870">
        <v>173.0225988700565</v>
      </c>
      <c r="DS22" s="870">
        <v>132.06214689265536</v>
      </c>
      <c r="DT22" s="870">
        <f>PPH_Data_Base28[[#This Row],[NO Condenser Fans]]*350</f>
        <v>1050</v>
      </c>
      <c r="DU22" s="870">
        <v>357.41164131355953</v>
      </c>
      <c r="DV22" s="870">
        <f>150*PPH_Data_Base28[[#This Row],[NO Condenser Fans]]</f>
        <v>450</v>
      </c>
      <c r="DW22" s="781">
        <v>757.4152542372882</v>
      </c>
      <c r="DX22" s="781">
        <v>250</v>
      </c>
      <c r="DY22" s="870">
        <v>700</v>
      </c>
      <c r="DZ22" s="870">
        <v>100</v>
      </c>
      <c r="EA22" s="870">
        <v>540</v>
      </c>
      <c r="EB22" s="870">
        <v>4.186805084745763</v>
      </c>
      <c r="EC22" s="870">
        <v>23.305084745762713</v>
      </c>
      <c r="ED22" s="870">
        <v>58.361196822033918</v>
      </c>
      <c r="EE22" s="870">
        <v>350</v>
      </c>
      <c r="EF22" s="870">
        <v>350</v>
      </c>
      <c r="EG22" s="870">
        <v>286</v>
      </c>
      <c r="EH22" s="870">
        <v>375</v>
      </c>
      <c r="EI22" s="870">
        <v>138</v>
      </c>
      <c r="EJ22" s="870">
        <v>81</v>
      </c>
      <c r="EK22" s="870">
        <v>33.75</v>
      </c>
      <c r="EL22" s="870">
        <v>67.5</v>
      </c>
      <c r="EM22" s="870">
        <v>337.5</v>
      </c>
      <c r="EN22" s="870">
        <v>67</v>
      </c>
      <c r="EO22" s="870">
        <v>371</v>
      </c>
      <c r="EP22" s="870">
        <v>385.53092711864412</v>
      </c>
      <c r="EQ22" s="870">
        <v>26</v>
      </c>
      <c r="ER22" s="870">
        <v>324</v>
      </c>
      <c r="ES22" s="870">
        <v>22</v>
      </c>
      <c r="ET22" s="870">
        <v>65</v>
      </c>
      <c r="EU22" s="870">
        <v>203</v>
      </c>
      <c r="EV22" s="870">
        <v>250</v>
      </c>
      <c r="EW22" s="847">
        <v>0</v>
      </c>
      <c r="EX22" s="781">
        <v>92.768903954802283</v>
      </c>
      <c r="EY22" s="781">
        <v>666.23951186440684</v>
      </c>
      <c r="EZ22" s="870">
        <v>38.418079096045197</v>
      </c>
      <c r="FA22" s="870">
        <v>40</v>
      </c>
      <c r="FB22" s="870">
        <v>40</v>
      </c>
      <c r="FC22" s="870">
        <v>22.775173728813563</v>
      </c>
      <c r="FD22" s="870">
        <v>22.775173728813563</v>
      </c>
      <c r="FE22" s="870">
        <v>39.548022598870062</v>
      </c>
      <c r="FF22" s="870">
        <v>52.259887005649723</v>
      </c>
      <c r="FG22" s="870">
        <v>300</v>
      </c>
      <c r="FH22" s="870">
        <v>414.03598433475634</v>
      </c>
      <c r="FI22" s="870">
        <v>251.4833065659428</v>
      </c>
      <c r="FJ22" s="870">
        <v>26</v>
      </c>
      <c r="FK22" s="870">
        <f>PPH_Data_Base28[[#This Row],[Differential Pressure Switch]]*2</f>
        <v>52</v>
      </c>
      <c r="FL22" s="870">
        <v>42</v>
      </c>
      <c r="FM22" s="872">
        <f>PPH_Data_Base28[[#This Row],[STD PETRA DIAL DIFF.PRESS.GAUGE NOT DWYER]]*2</f>
        <v>84</v>
      </c>
      <c r="FN22" s="872">
        <v>150</v>
      </c>
      <c r="FO22" s="872">
        <f>PPH_Data_Base28[[#This Row],[Replaceble Filter Drier ]]</f>
        <v>96.045197740112997</v>
      </c>
      <c r="FP22" s="872">
        <f>PPH_Data_Base28[[#This Row],[2" Pre-Filter]]*2</f>
        <v>69.86576455165256</v>
      </c>
      <c r="FQ22" s="872">
        <f>PPH_Data_Base28[[#This Row],[Bag Filter EU-8]]</f>
        <v>327.29473726824159</v>
      </c>
      <c r="FR22" s="872">
        <v>500</v>
      </c>
      <c r="FS22" s="872">
        <v>30</v>
      </c>
      <c r="FT22" s="176"/>
      <c r="FU22" s="176"/>
      <c r="FV22" s="176"/>
      <c r="FW22" s="176"/>
      <c r="GW22" s="176"/>
      <c r="GX22" s="176"/>
      <c r="HC22" s="176"/>
    </row>
    <row r="23" spans="1:211">
      <c r="A23" s="780" t="s">
        <v>454</v>
      </c>
      <c r="B23" s="781" t="s">
        <v>1583</v>
      </c>
      <c r="C23" s="781" t="s">
        <v>527</v>
      </c>
      <c r="D23" s="870" t="s">
        <v>1584</v>
      </c>
      <c r="E23" s="870" t="s">
        <v>1058</v>
      </c>
      <c r="F23" s="870" t="s">
        <v>1585</v>
      </c>
      <c r="G23" s="851">
        <v>0</v>
      </c>
      <c r="H23" s="870" t="s">
        <v>2248</v>
      </c>
      <c r="I23" s="781" t="s">
        <v>755</v>
      </c>
      <c r="J23" s="781" t="s">
        <v>1562</v>
      </c>
      <c r="K23" s="781">
        <v>1</v>
      </c>
      <c r="L23" s="781" t="s">
        <v>568</v>
      </c>
      <c r="M23" s="781">
        <v>3</v>
      </c>
      <c r="N23" s="300">
        <v>3</v>
      </c>
      <c r="O23" s="781">
        <v>31.138888888888889</v>
      </c>
      <c r="P23" s="781">
        <v>17.7</v>
      </c>
      <c r="Q23" s="781">
        <v>2</v>
      </c>
      <c r="R23" s="781">
        <v>9</v>
      </c>
      <c r="S23" s="781">
        <v>1</v>
      </c>
      <c r="T23" s="781">
        <v>8</v>
      </c>
      <c r="U23" s="781">
        <v>1</v>
      </c>
      <c r="V23" s="781">
        <v>256</v>
      </c>
      <c r="W23" s="781">
        <v>383</v>
      </c>
      <c r="X23" s="870" t="s">
        <v>414</v>
      </c>
      <c r="Y23" s="835">
        <v>0</v>
      </c>
      <c r="Z23" s="782">
        <v>7591</v>
      </c>
      <c r="AA23" s="782">
        <v>8886</v>
      </c>
      <c r="AB23" s="870">
        <v>6078</v>
      </c>
      <c r="AC23" s="834">
        <v>0</v>
      </c>
      <c r="AD23" s="781">
        <v>195.97457627118646</v>
      </c>
      <c r="AE23" s="870">
        <v>169.84463276836161</v>
      </c>
      <c r="AF23" s="870">
        <v>182.90960451977404</v>
      </c>
      <c r="AG23" s="870">
        <v>219.49152542372883</v>
      </c>
      <c r="AH23" s="781">
        <v>235.16949152542375</v>
      </c>
      <c r="AI23" s="870">
        <v>203.81355932203391</v>
      </c>
      <c r="AJ23" s="870">
        <v>219.49152542372883</v>
      </c>
      <c r="AK23" s="870">
        <v>263.38983050847457</v>
      </c>
      <c r="AL23" s="870">
        <f>PPH_Data_Base28[[#This Row],[PPH Unit Basic Price With Cu Tube]]*0.05</f>
        <v>444.3</v>
      </c>
      <c r="AM23" s="781">
        <v>106.90698867212224</v>
      </c>
      <c r="AN23" s="781">
        <v>551.81565877812511</v>
      </c>
      <c r="AO23" s="781">
        <v>1042.9315950906564</v>
      </c>
      <c r="AP23" s="781">
        <v>438.75000000000006</v>
      </c>
      <c r="AQ23" s="781">
        <v>334.8</v>
      </c>
      <c r="AR23" s="781">
        <f>1.5*242</f>
        <v>363</v>
      </c>
      <c r="AS23" s="781">
        <v>445.59605180493645</v>
      </c>
      <c r="AT23" s="781">
        <v>1691.7672422099322</v>
      </c>
      <c r="AU23" s="781">
        <v>34.93288227582628</v>
      </c>
      <c r="AV23" s="781">
        <v>327.29473726824159</v>
      </c>
      <c r="AW23" s="870">
        <v>2171.2400000000002</v>
      </c>
      <c r="AX23" s="870">
        <v>363</v>
      </c>
      <c r="AY23" s="870">
        <v>1666.227403601695</v>
      </c>
      <c r="AZ23" s="870">
        <v>497.91403065413147</v>
      </c>
      <c r="BA23" s="870">
        <f t="shared" ref="BA23:BA25" si="5">10.75*30</f>
        <v>322.5</v>
      </c>
      <c r="BB23" s="870">
        <f>PPH_Data_Base28[[#This Row],[PPH Unit Basic Price With Cu Tube]]*0.1</f>
        <v>888.6</v>
      </c>
      <c r="BC23" s="870">
        <v>87.675614786547882</v>
      </c>
      <c r="BD23" s="870">
        <v>292.25204928849297</v>
      </c>
      <c r="BE23" s="870">
        <v>97.417349762830995</v>
      </c>
      <c r="BF23" s="870">
        <v>97.417349762830995</v>
      </c>
      <c r="BG23" s="870">
        <v>97.417349762830995</v>
      </c>
      <c r="BH23" s="870">
        <f>PPH_Data_Base28[[#This Row],[PPH Unit Basic Price With Cu Tube]]*0.075</f>
        <v>666.44999999999993</v>
      </c>
      <c r="BI23" s="870">
        <v>292.25204928849297</v>
      </c>
      <c r="BJ23" s="870">
        <v>97.417349762830995</v>
      </c>
      <c r="BK23" s="870">
        <v>97.417349762830995</v>
      </c>
      <c r="BL23" s="870">
        <v>97.417349762830995</v>
      </c>
      <c r="BM23" s="781">
        <f>PPH_Data_Base28[[#This Row],[Total Condenser Coil Area]]*Naming!$M$62*4</f>
        <v>2790.0444444444443</v>
      </c>
      <c r="BN23" s="781">
        <f>PPH_Data_Base28[[#This Row],[Total Evaporator  Coil Area]]*Naming!$M$62*4</f>
        <v>1585.9199999999998</v>
      </c>
      <c r="BO23" s="781">
        <f>PPH_Data_Base28[[#This Row],[Total Condenser Coil Area]]*Naming!$D$61*4</f>
        <v>42.348888888888894</v>
      </c>
      <c r="BP23" s="781">
        <f>PPH_Data_Base28[[#This Row],[Total Evaporator  Coil Area]]*Naming!$D$61*6</f>
        <v>36.107999999999997</v>
      </c>
      <c r="BQ23" s="781">
        <f>$G$195*PPH_Data_Base28[[#This Row],[Total Evaporator  Coil Area]]</f>
        <v>79.649999999999991</v>
      </c>
      <c r="BR23" s="781">
        <f>$G$199*PPH_Data_Base28[[#This Row],[Total Evaporator  Coil Area]]</f>
        <v>120.35999999999999</v>
      </c>
      <c r="BS23" s="781">
        <f>$E$185*PPH_Data_Base28[[#This Row],[Total Evaporator  Coil Area]]</f>
        <v>354</v>
      </c>
      <c r="BT23" s="781">
        <f>$E$188*PPH_Data_Base28[[#This Row],[Total Evaporator  Coil Area]]</f>
        <v>495.59999999999997</v>
      </c>
      <c r="BU23" s="781">
        <f>$G$195*PPH_Data_Base28[[#This Row],[Total Condenser Coil Area]]</f>
        <v>140.125</v>
      </c>
      <c r="BV23" s="781">
        <f>$G$199*PPH_Data_Base28[[#This Row],[Total Condenser Coil Area]]</f>
        <v>211.74444444444444</v>
      </c>
      <c r="BW23" s="781">
        <f>$E$185*PPH_Data_Base28[[#This Row],[Total Condenser Coil Area]]</f>
        <v>622.77777777777783</v>
      </c>
      <c r="BX23" s="781">
        <f>$E$188*PPH_Data_Base28[[#This Row],[Total Condenser Coil Area]]</f>
        <v>871.88888888888891</v>
      </c>
      <c r="BY23" s="781">
        <v>231.51080135698533</v>
      </c>
      <c r="BZ23" s="870">
        <v>143.31992532802258</v>
      </c>
      <c r="CA23" s="870">
        <v>228.31636106288136</v>
      </c>
      <c r="CB23" s="870">
        <v>151.00288430084746</v>
      </c>
      <c r="CC23" s="870">
        <v>98.870056497175142</v>
      </c>
      <c r="CD23" s="870">
        <f t="shared" si="4"/>
        <v>96.045197740112997</v>
      </c>
      <c r="CE23" s="870">
        <v>20</v>
      </c>
      <c r="CF23" s="832">
        <v>0</v>
      </c>
      <c r="CG23" s="870">
        <f>PPH_Data_Base28[[#This Row],[PPH Unit Basic Price With Cu Tube]]*0.25</f>
        <v>2221.5</v>
      </c>
      <c r="CH23" s="870">
        <f>PPH_Data_Base28[[#This Row],[DSP Unit Basic Price With Cu Tube]]*0.35</f>
        <v>2127.2999999999997</v>
      </c>
      <c r="CI23" s="781">
        <v>178.38071228813561</v>
      </c>
      <c r="CJ23" s="781">
        <v>259.54695762711867</v>
      </c>
      <c r="CK23" s="781">
        <v>37.192477542372885</v>
      </c>
      <c r="CL23" s="781">
        <v>192.09039548022599</v>
      </c>
      <c r="CM23" s="870">
        <v>28.8135593220339</v>
      </c>
      <c r="CN23" s="781">
        <v>105.64971751412429</v>
      </c>
      <c r="CO23" s="870">
        <v>0</v>
      </c>
      <c r="CP23" s="781">
        <v>172.61319053672315</v>
      </c>
      <c r="CQ23" s="870">
        <v>161.50409632768361</v>
      </c>
      <c r="CR23" s="781">
        <v>248.96402542372883</v>
      </c>
      <c r="CS23" s="870">
        <v>751.57637966101709</v>
      </c>
      <c r="CT23" s="781">
        <v>865.11299435028252</v>
      </c>
      <c r="CU23" s="870">
        <v>184.31171186440676</v>
      </c>
      <c r="CV23" s="870">
        <v>497.17514124293785</v>
      </c>
      <c r="CW23" s="870">
        <f>400*1.35*PPH_Data_Base28[[#This Row],[No. of Unit  Compressors]]</f>
        <v>1080</v>
      </c>
      <c r="CX23" s="835">
        <v>0</v>
      </c>
      <c r="CY23" s="871">
        <f>47*PPH_Data_Base28[[#This Row],[No. of Unit  Compressors]]*1.35</f>
        <v>126.9</v>
      </c>
      <c r="CZ23" s="871">
        <f>30*1.35*PPH_Data_Base28[[#This Row],[NO Condenser Fans]]</f>
        <v>121.5</v>
      </c>
      <c r="DA23" s="781">
        <f>INDEX($B$136:$F$154,MATCH(PPH_Data_Base28[[#This Row],[STD Supply Fan Motor]],$B$136:$B$154,0),5)*PPH_Data_Base28[[#This Row],[Fan QTY]]</f>
        <v>36.69975367231639</v>
      </c>
      <c r="DB23" s="871">
        <f>47*1.35*PPH_Data_Base28[[#This Row],[No. of Unit  Compressors]]</f>
        <v>126.9</v>
      </c>
      <c r="DC23" s="871">
        <f>28*PPH_Data_Base28[[#This Row],[NO Condenser Fans]]</f>
        <v>84</v>
      </c>
      <c r="DD23" s="781">
        <f>INDEX($B$136:$F$154,MATCH(PPH_Data_Base28[[#This Row],[STD Supply Fan Motor]],$B$136:$B$154,0),3)*PPH_Data_Base28[[#This Row],[Fan QTY]]</f>
        <v>24.627741525423726</v>
      </c>
      <c r="DE23" s="870">
        <f>INDEX($B$114:$C$131,MATCH(PPH_Data_Base28[[#This Row],[Compressor 1 HP]],$B$114:$B$131,0),2)*PPH_Data_Base28[[#This Row],[Compressor 1 QTY]]+IFERROR(INDEX($B$114:$C$131,MATCH(PPH_Data_Base28[[#This Row],[Compressor 2 HP]],$B$114:$B$131,0),2)*PPH_Data_Base28[[#This Row],[Compressor 2 QTY]],0)</f>
        <v>72</v>
      </c>
      <c r="DF23" s="870">
        <f>38*PPH_Data_Base28[[#This Row],[NO Condenser Fans]]</f>
        <v>114</v>
      </c>
      <c r="DG23" s="870">
        <f>INDEX($B$136:$F$154,MATCH(PPH_Data_Base28[[#This Row],[STD Supply Fan Motor]],$B$136:$B$154,0),5)*PPH_Data_Base28[[#This Row],[Fan QTY]]</f>
        <v>36.69975367231639</v>
      </c>
      <c r="DH23" s="781">
        <v>139.83050847457628</v>
      </c>
      <c r="DI23" s="781">
        <v>58.262711864406782</v>
      </c>
      <c r="DJ23" s="870">
        <f>INDEX($F$114:$G$124,MATCH(PPH_Data_Base28[[#This Row],[Compressor 1 HP]],$F$114:$F$124,0),2)</f>
        <v>2600</v>
      </c>
      <c r="DK23" s="870">
        <f>INDEX($F$114:$G$124,MATCH(PPH_Data_Base28[[#This Row],[Compressor 1 HP]],$F$114:$F$124,0),2)*PPH_Data_Base28[[#This Row],[Compressor 1 QTY]]+IFERROR(INDEX($F$114:$G$124,MATCH(PPH_Data_Base28[[#This Row],[Compressor 2 HP]],$F$114:$F$124,0),2)*PPH_Data_Base28[[#This Row],[Compressor 2 QTY]],0)</f>
        <v>5100</v>
      </c>
      <c r="DL23" s="870">
        <v>1699</v>
      </c>
      <c r="DM23" s="870">
        <v>564.9717514124294</v>
      </c>
      <c r="DN23" s="870">
        <v>213.62952090395484</v>
      </c>
      <c r="DO23" s="870">
        <v>2713.4650319209045</v>
      </c>
      <c r="DP23" s="870">
        <v>173.0225988700565</v>
      </c>
      <c r="DQ23" s="781">
        <f>PPH_Data_Base28[[#This Row],[NEMA 4X For Electrical Panel]]</f>
        <v>173.0225988700565</v>
      </c>
      <c r="DR23" s="870">
        <v>173.0225988700565</v>
      </c>
      <c r="DS23" s="870">
        <v>132.06214689265536</v>
      </c>
      <c r="DT23" s="870">
        <f>PPH_Data_Base28[[#This Row],[NO Condenser Fans]]*350</f>
        <v>1050</v>
      </c>
      <c r="DU23" s="870">
        <v>357.41164131355953</v>
      </c>
      <c r="DV23" s="870">
        <f>150*PPH_Data_Base28[[#This Row],[NO Condenser Fans]]</f>
        <v>450</v>
      </c>
      <c r="DW23" s="781">
        <v>757.4152542372882</v>
      </c>
      <c r="DX23" s="781">
        <v>250</v>
      </c>
      <c r="DY23" s="870">
        <v>700</v>
      </c>
      <c r="DZ23" s="870">
        <v>100</v>
      </c>
      <c r="EA23" s="870">
        <v>540</v>
      </c>
      <c r="EB23" s="870">
        <v>4.186805084745763</v>
      </c>
      <c r="EC23" s="870">
        <v>23.305084745762713</v>
      </c>
      <c r="ED23" s="870">
        <v>58.361196822033918</v>
      </c>
      <c r="EE23" s="870">
        <v>350</v>
      </c>
      <c r="EF23" s="870">
        <v>350</v>
      </c>
      <c r="EG23" s="870">
        <v>286</v>
      </c>
      <c r="EH23" s="870">
        <v>375</v>
      </c>
      <c r="EI23" s="870">
        <v>138</v>
      </c>
      <c r="EJ23" s="870">
        <v>81</v>
      </c>
      <c r="EK23" s="870">
        <v>33.75</v>
      </c>
      <c r="EL23" s="870">
        <v>67.5</v>
      </c>
      <c r="EM23" s="870">
        <v>337.5</v>
      </c>
      <c r="EN23" s="870">
        <v>67</v>
      </c>
      <c r="EO23" s="870">
        <v>371</v>
      </c>
      <c r="EP23" s="870">
        <v>385.53092711864412</v>
      </c>
      <c r="EQ23" s="870">
        <v>26</v>
      </c>
      <c r="ER23" s="870">
        <v>324</v>
      </c>
      <c r="ES23" s="870">
        <v>22</v>
      </c>
      <c r="ET23" s="870">
        <v>65</v>
      </c>
      <c r="EU23" s="870">
        <v>203</v>
      </c>
      <c r="EV23" s="870">
        <v>250</v>
      </c>
      <c r="EW23" s="847">
        <v>0</v>
      </c>
      <c r="EX23" s="781">
        <v>92.768903954802283</v>
      </c>
      <c r="EY23" s="781">
        <v>666.23951186440684</v>
      </c>
      <c r="EZ23" s="870">
        <v>38.418079096045197</v>
      </c>
      <c r="FA23" s="870">
        <v>40</v>
      </c>
      <c r="FB23" s="870">
        <v>40</v>
      </c>
      <c r="FC23" s="870">
        <v>22.775173728813563</v>
      </c>
      <c r="FD23" s="870">
        <v>22.775173728813563</v>
      </c>
      <c r="FE23" s="870">
        <v>39.548022598870062</v>
      </c>
      <c r="FF23" s="870">
        <v>52.259887005649723</v>
      </c>
      <c r="FG23" s="870">
        <v>300</v>
      </c>
      <c r="FH23" s="870">
        <v>414.03598433475634</v>
      </c>
      <c r="FI23" s="870">
        <v>251.4833065659428</v>
      </c>
      <c r="FJ23" s="870">
        <v>26</v>
      </c>
      <c r="FK23" s="870">
        <f>PPH_Data_Base28[[#This Row],[Differential Pressure Switch]]*2</f>
        <v>52</v>
      </c>
      <c r="FL23" s="870">
        <v>42</v>
      </c>
      <c r="FM23" s="872">
        <f>PPH_Data_Base28[[#This Row],[STD PETRA DIAL DIFF.PRESS.GAUGE NOT DWYER]]*2</f>
        <v>84</v>
      </c>
      <c r="FN23" s="872">
        <v>150</v>
      </c>
      <c r="FO23" s="872">
        <f>PPH_Data_Base28[[#This Row],[Replaceble Filter Drier ]]</f>
        <v>192.09039548022599</v>
      </c>
      <c r="FP23" s="872">
        <f>PPH_Data_Base28[[#This Row],[2" Pre-Filter]]*2</f>
        <v>69.86576455165256</v>
      </c>
      <c r="FQ23" s="872">
        <f>PPH_Data_Base28[[#This Row],[Bag Filter EU-8]]</f>
        <v>327.29473726824159</v>
      </c>
      <c r="FR23" s="872">
        <v>500</v>
      </c>
      <c r="FS23" s="872">
        <v>30</v>
      </c>
      <c r="FT23" s="176"/>
      <c r="FU23" s="176"/>
      <c r="FV23" s="176"/>
      <c r="FW23" s="176"/>
      <c r="GW23" s="176"/>
      <c r="GX23" s="176"/>
      <c r="HC23" s="176"/>
    </row>
    <row r="24" spans="1:211">
      <c r="A24" s="780" t="s">
        <v>455</v>
      </c>
      <c r="B24" s="781" t="s">
        <v>1587</v>
      </c>
      <c r="C24" s="781" t="s">
        <v>528</v>
      </c>
      <c r="D24" s="870" t="s">
        <v>1589</v>
      </c>
      <c r="E24" s="870" t="s">
        <v>1588</v>
      </c>
      <c r="F24" s="870" t="s">
        <v>1590</v>
      </c>
      <c r="G24" s="851">
        <v>0</v>
      </c>
      <c r="H24" s="870" t="s">
        <v>2248</v>
      </c>
      <c r="I24" s="781" t="s">
        <v>755</v>
      </c>
      <c r="J24" s="781" t="s">
        <v>1586</v>
      </c>
      <c r="K24" s="781">
        <v>1</v>
      </c>
      <c r="L24" s="781" t="s">
        <v>568</v>
      </c>
      <c r="M24" s="781">
        <v>3</v>
      </c>
      <c r="N24" s="300">
        <v>3</v>
      </c>
      <c r="O24" s="781">
        <v>31.138888888888889</v>
      </c>
      <c r="P24" s="781">
        <v>17.7</v>
      </c>
      <c r="Q24" s="781">
        <v>2</v>
      </c>
      <c r="R24" s="781">
        <v>10</v>
      </c>
      <c r="S24" s="781">
        <v>1</v>
      </c>
      <c r="T24" s="781">
        <v>8</v>
      </c>
      <c r="U24" s="781">
        <v>1</v>
      </c>
      <c r="V24" s="781">
        <v>256</v>
      </c>
      <c r="W24" s="781">
        <v>454</v>
      </c>
      <c r="X24" s="870" t="s">
        <v>415</v>
      </c>
      <c r="Y24" s="835">
        <v>0</v>
      </c>
      <c r="Z24" s="782">
        <v>7794</v>
      </c>
      <c r="AA24" s="782">
        <v>9218</v>
      </c>
      <c r="AB24" s="870">
        <v>6297</v>
      </c>
      <c r="AC24" s="834">
        <v>0</v>
      </c>
      <c r="AD24" s="781">
        <v>195.97457627118646</v>
      </c>
      <c r="AE24" s="870">
        <v>169.84463276836161</v>
      </c>
      <c r="AF24" s="870">
        <v>182.90960451977404</v>
      </c>
      <c r="AG24" s="870">
        <v>219.49152542372883</v>
      </c>
      <c r="AH24" s="781">
        <v>235.16949152542375</v>
      </c>
      <c r="AI24" s="870">
        <v>203.81355932203391</v>
      </c>
      <c r="AJ24" s="870">
        <v>219.49152542372883</v>
      </c>
      <c r="AK24" s="870">
        <v>263.38983050847457</v>
      </c>
      <c r="AL24" s="870">
        <f>PPH_Data_Base28[[#This Row],[PPH Unit Basic Price With Cu Tube]]*0.05</f>
        <v>460.90000000000003</v>
      </c>
      <c r="AM24" s="781">
        <v>106.90698867212224</v>
      </c>
      <c r="AN24" s="781">
        <v>551.81565877812511</v>
      </c>
      <c r="AO24" s="781">
        <v>1042.9315950906564</v>
      </c>
      <c r="AP24" s="781">
        <v>567</v>
      </c>
      <c r="AQ24" s="781">
        <v>359.1</v>
      </c>
      <c r="AR24" s="781">
        <f>1.5*242</f>
        <v>363</v>
      </c>
      <c r="AS24" s="781">
        <v>445.59605180493645</v>
      </c>
      <c r="AT24" s="781">
        <v>1691.7672422099322</v>
      </c>
      <c r="AU24" s="781">
        <v>34.93288227582628</v>
      </c>
      <c r="AV24" s="781">
        <v>327.29473726824159</v>
      </c>
      <c r="AW24" s="870">
        <v>2147.44</v>
      </c>
      <c r="AX24" s="870">
        <v>363</v>
      </c>
      <c r="AY24" s="870">
        <v>1666.227403601695</v>
      </c>
      <c r="AZ24" s="870">
        <v>497.91403065413147</v>
      </c>
      <c r="BA24" s="870">
        <f t="shared" si="5"/>
        <v>322.5</v>
      </c>
      <c r="BB24" s="870">
        <f>PPH_Data_Base28[[#This Row],[PPH Unit Basic Price With Cu Tube]]*0.1</f>
        <v>921.80000000000007</v>
      </c>
      <c r="BC24" s="870">
        <v>91.670835195091954</v>
      </c>
      <c r="BD24" s="870">
        <v>305.56945065030652</v>
      </c>
      <c r="BE24" s="870">
        <v>101.85648355010217</v>
      </c>
      <c r="BF24" s="870">
        <v>101.85648355010217</v>
      </c>
      <c r="BG24" s="870">
        <v>101.85648355010217</v>
      </c>
      <c r="BH24" s="870">
        <f>PPH_Data_Base28[[#This Row],[PPH Unit Basic Price With Cu Tube]]*0.075</f>
        <v>691.35</v>
      </c>
      <c r="BI24" s="870">
        <v>305.56945065030652</v>
      </c>
      <c r="BJ24" s="870">
        <v>101.85648355010217</v>
      </c>
      <c r="BK24" s="870">
        <v>101.85648355010217</v>
      </c>
      <c r="BL24" s="870">
        <v>101.85648355010217</v>
      </c>
      <c r="BM24" s="781">
        <f>PPH_Data_Base28[[#This Row],[Total Condenser Coil Area]]*Naming!$M$62*4</f>
        <v>2790.0444444444443</v>
      </c>
      <c r="BN24" s="781">
        <f>PPH_Data_Base28[[#This Row],[Total Evaporator  Coil Area]]*Naming!$M$62*4</f>
        <v>1585.9199999999998</v>
      </c>
      <c r="BO24" s="781">
        <f>PPH_Data_Base28[[#This Row],[Total Condenser Coil Area]]*Naming!$D$61*4</f>
        <v>42.348888888888894</v>
      </c>
      <c r="BP24" s="781">
        <f>PPH_Data_Base28[[#This Row],[Total Evaporator  Coil Area]]*Naming!$D$61*6</f>
        <v>36.107999999999997</v>
      </c>
      <c r="BQ24" s="781">
        <f>$G$195*PPH_Data_Base28[[#This Row],[Total Evaporator  Coil Area]]</f>
        <v>79.649999999999991</v>
      </c>
      <c r="BR24" s="781">
        <f>$G$199*PPH_Data_Base28[[#This Row],[Total Evaporator  Coil Area]]</f>
        <v>120.35999999999999</v>
      </c>
      <c r="BS24" s="781">
        <f>$E$185*PPH_Data_Base28[[#This Row],[Total Evaporator  Coil Area]]</f>
        <v>354</v>
      </c>
      <c r="BT24" s="781">
        <f>$E$188*PPH_Data_Base28[[#This Row],[Total Evaporator  Coil Area]]</f>
        <v>495.59999999999997</v>
      </c>
      <c r="BU24" s="781">
        <f>$G$195*PPH_Data_Base28[[#This Row],[Total Condenser Coil Area]]</f>
        <v>140.125</v>
      </c>
      <c r="BV24" s="781">
        <f>$G$199*PPH_Data_Base28[[#This Row],[Total Condenser Coil Area]]</f>
        <v>211.74444444444444</v>
      </c>
      <c r="BW24" s="781">
        <f>$E$185*PPH_Data_Base28[[#This Row],[Total Condenser Coil Area]]</f>
        <v>622.77777777777783</v>
      </c>
      <c r="BX24" s="781">
        <f>$E$188*PPH_Data_Base28[[#This Row],[Total Condenser Coil Area]]</f>
        <v>871.88888888888891</v>
      </c>
      <c r="BY24" s="781">
        <v>231.51080135698533</v>
      </c>
      <c r="BZ24" s="870">
        <v>143.31992532802258</v>
      </c>
      <c r="CA24" s="870">
        <v>228.31636106288136</v>
      </c>
      <c r="CB24" s="870">
        <v>151.00288430084746</v>
      </c>
      <c r="CC24" s="870">
        <v>98.870056497175142</v>
      </c>
      <c r="CD24" s="870">
        <f t="shared" si="4"/>
        <v>96.045197740112997</v>
      </c>
      <c r="CE24" s="870">
        <v>20</v>
      </c>
      <c r="CF24" s="832">
        <v>0</v>
      </c>
      <c r="CG24" s="870">
        <f>PPH_Data_Base28[[#This Row],[PPH Unit Basic Price With Cu Tube]]*0.25</f>
        <v>2304.5</v>
      </c>
      <c r="CH24" s="870">
        <f>PPH_Data_Base28[[#This Row],[DSP Unit Basic Price With Cu Tube]]*0.35</f>
        <v>2203.9499999999998</v>
      </c>
      <c r="CI24" s="781">
        <v>178.38071228813561</v>
      </c>
      <c r="CJ24" s="781">
        <v>259.54695762711867</v>
      </c>
      <c r="CK24" s="781">
        <v>37.192477542372885</v>
      </c>
      <c r="CL24" s="781">
        <v>192.09039548022599</v>
      </c>
      <c r="CM24" s="870">
        <v>28.8135593220339</v>
      </c>
      <c r="CN24" s="781">
        <v>105.64971751412429</v>
      </c>
      <c r="CO24" s="870">
        <v>0</v>
      </c>
      <c r="CP24" s="781">
        <v>172.61319053672315</v>
      </c>
      <c r="CQ24" s="870">
        <v>161.50409632768361</v>
      </c>
      <c r="CR24" s="781">
        <v>248.96402542372883</v>
      </c>
      <c r="CS24" s="870">
        <v>741.97996101694923</v>
      </c>
      <c r="CT24" s="781">
        <v>865.11299435028252</v>
      </c>
      <c r="CU24" s="870">
        <v>184.31171186440676</v>
      </c>
      <c r="CV24" s="870">
        <v>497.17514124293785</v>
      </c>
      <c r="CW24" s="870">
        <f>400*1.35*PPH_Data_Base28[[#This Row],[No. of Unit  Compressors]]</f>
        <v>1080</v>
      </c>
      <c r="CX24" s="835">
        <v>0</v>
      </c>
      <c r="CY24" s="871">
        <f>47*PPH_Data_Base28[[#This Row],[No. of Unit  Compressors]]*1.35</f>
        <v>126.9</v>
      </c>
      <c r="CZ24" s="871">
        <f>30*1.35*PPH_Data_Base28[[#This Row],[NO Condenser Fans]]</f>
        <v>121.5</v>
      </c>
      <c r="DA24" s="781">
        <f>INDEX($B$136:$F$154,MATCH(PPH_Data_Base28[[#This Row],[STD Supply Fan Motor]],$B$136:$B$154,0),5)*PPH_Data_Base28[[#This Row],[Fan QTY]]</f>
        <v>43.509511864406782</v>
      </c>
      <c r="DB24" s="871">
        <f>47*1.35*PPH_Data_Base28[[#This Row],[No. of Unit  Compressors]]</f>
        <v>126.9</v>
      </c>
      <c r="DC24" s="871">
        <f>28*PPH_Data_Base28[[#This Row],[NO Condenser Fans]]</f>
        <v>84</v>
      </c>
      <c r="DD24" s="781">
        <f>INDEX($B$136:$F$154,MATCH(PPH_Data_Base28[[#This Row],[STD Supply Fan Motor]],$B$136:$B$154,0),3)*PPH_Data_Base28[[#This Row],[Fan QTY]]</f>
        <v>27.333113841807918</v>
      </c>
      <c r="DE24" s="870">
        <f>INDEX($B$114:$C$131,MATCH(PPH_Data_Base28[[#This Row],[Compressor 1 HP]],$B$114:$B$131,0),2)*PPH_Data_Base28[[#This Row],[Compressor 1 QTY]]+IFERROR(INDEX($B$114:$C$131,MATCH(PPH_Data_Base28[[#This Row],[Compressor 2 HP]],$B$114:$B$131,0),2)*PPH_Data_Base28[[#This Row],[Compressor 2 QTY]],0)</f>
        <v>72</v>
      </c>
      <c r="DF24" s="870">
        <f>38*PPH_Data_Base28[[#This Row],[NO Condenser Fans]]</f>
        <v>114</v>
      </c>
      <c r="DG24" s="870">
        <f>INDEX($B$136:$F$154,MATCH(PPH_Data_Base28[[#This Row],[STD Supply Fan Motor]],$B$136:$B$154,0),5)*PPH_Data_Base28[[#This Row],[Fan QTY]]</f>
        <v>43.509511864406782</v>
      </c>
      <c r="DH24" s="781">
        <v>139.83050847457628</v>
      </c>
      <c r="DI24" s="781">
        <v>58.262711864406782</v>
      </c>
      <c r="DJ24" s="870">
        <f>INDEX($F$114:$G$124,MATCH(PPH_Data_Base28[[#This Row],[Compressor 1 HP]],$F$114:$F$124,0),2)</f>
        <v>2600</v>
      </c>
      <c r="DK24" s="870">
        <f>INDEX($F$114:$G$124,MATCH(PPH_Data_Base28[[#This Row],[Compressor 1 HP]],$F$114:$F$124,0),2)*PPH_Data_Base28[[#This Row],[Compressor 1 QTY]]+IFERROR(INDEX($F$114:$G$124,MATCH(PPH_Data_Base28[[#This Row],[Compressor 2 HP]],$F$114:$F$124,0),2)*PPH_Data_Base28[[#This Row],[Compressor 2 QTY]],0)</f>
        <v>5100</v>
      </c>
      <c r="DL24" s="870">
        <v>1699</v>
      </c>
      <c r="DM24" s="870">
        <v>564.9717514124294</v>
      </c>
      <c r="DN24" s="870">
        <v>213.62952090395484</v>
      </c>
      <c r="DO24" s="870">
        <v>2713.4650319209045</v>
      </c>
      <c r="DP24" s="870">
        <v>173.0225988700565</v>
      </c>
      <c r="DQ24" s="781">
        <f>PPH_Data_Base28[[#This Row],[NEMA 4X For Electrical Panel]]</f>
        <v>173.0225988700565</v>
      </c>
      <c r="DR24" s="870">
        <v>173.0225988700565</v>
      </c>
      <c r="DS24" s="870">
        <v>132.06214689265536</v>
      </c>
      <c r="DT24" s="870">
        <f>PPH_Data_Base28[[#This Row],[NO Condenser Fans]]*350</f>
        <v>1050</v>
      </c>
      <c r="DU24" s="870">
        <v>357.41164131355953</v>
      </c>
      <c r="DV24" s="870">
        <f>150*PPH_Data_Base28[[#This Row],[NO Condenser Fans]]</f>
        <v>450</v>
      </c>
      <c r="DW24" s="781">
        <v>757.4152542372882</v>
      </c>
      <c r="DX24" s="781">
        <v>250</v>
      </c>
      <c r="DY24" s="870">
        <v>700</v>
      </c>
      <c r="DZ24" s="870">
        <v>100</v>
      </c>
      <c r="EA24" s="870">
        <v>540</v>
      </c>
      <c r="EB24" s="870">
        <v>4.186805084745763</v>
      </c>
      <c r="EC24" s="870">
        <v>23.305084745762713</v>
      </c>
      <c r="ED24" s="870">
        <v>58.361196822033918</v>
      </c>
      <c r="EE24" s="870">
        <v>350</v>
      </c>
      <c r="EF24" s="870">
        <v>350</v>
      </c>
      <c r="EG24" s="870">
        <v>286</v>
      </c>
      <c r="EH24" s="870">
        <v>375</v>
      </c>
      <c r="EI24" s="870">
        <v>138</v>
      </c>
      <c r="EJ24" s="870">
        <v>81</v>
      </c>
      <c r="EK24" s="870">
        <v>33.75</v>
      </c>
      <c r="EL24" s="870">
        <v>67.5</v>
      </c>
      <c r="EM24" s="870">
        <v>337.5</v>
      </c>
      <c r="EN24" s="870">
        <v>67</v>
      </c>
      <c r="EO24" s="870">
        <v>371</v>
      </c>
      <c r="EP24" s="870">
        <v>385.53092711864412</v>
      </c>
      <c r="EQ24" s="870">
        <v>26</v>
      </c>
      <c r="ER24" s="870">
        <v>324</v>
      </c>
      <c r="ES24" s="870">
        <v>22</v>
      </c>
      <c r="ET24" s="870">
        <v>65</v>
      </c>
      <c r="EU24" s="870">
        <v>203</v>
      </c>
      <c r="EV24" s="870">
        <v>250</v>
      </c>
      <c r="EW24" s="847">
        <v>0</v>
      </c>
      <c r="EX24" s="781">
        <v>92.768903954802283</v>
      </c>
      <c r="EY24" s="781">
        <v>666.23951186440684</v>
      </c>
      <c r="EZ24" s="870">
        <v>38.418079096045197</v>
      </c>
      <c r="FA24" s="870">
        <v>40</v>
      </c>
      <c r="FB24" s="870">
        <v>40</v>
      </c>
      <c r="FC24" s="870">
        <v>22.775173728813563</v>
      </c>
      <c r="FD24" s="870">
        <v>22.775173728813563</v>
      </c>
      <c r="FE24" s="870">
        <v>39.548022598870062</v>
      </c>
      <c r="FF24" s="870">
        <v>52.259887005649723</v>
      </c>
      <c r="FG24" s="870">
        <v>300</v>
      </c>
      <c r="FH24" s="870">
        <v>414.03598433475634</v>
      </c>
      <c r="FI24" s="870">
        <v>251.4833065659428</v>
      </c>
      <c r="FJ24" s="870">
        <v>26</v>
      </c>
      <c r="FK24" s="870">
        <f>PPH_Data_Base28[[#This Row],[Differential Pressure Switch]]*2</f>
        <v>52</v>
      </c>
      <c r="FL24" s="870">
        <v>42</v>
      </c>
      <c r="FM24" s="872">
        <f>PPH_Data_Base28[[#This Row],[STD PETRA DIAL DIFF.PRESS.GAUGE NOT DWYER]]*2</f>
        <v>84</v>
      </c>
      <c r="FN24" s="872">
        <v>150</v>
      </c>
      <c r="FO24" s="872">
        <f>PPH_Data_Base28[[#This Row],[Replaceble Filter Drier ]]</f>
        <v>192.09039548022599</v>
      </c>
      <c r="FP24" s="872">
        <f>PPH_Data_Base28[[#This Row],[2" Pre-Filter]]*2</f>
        <v>69.86576455165256</v>
      </c>
      <c r="FQ24" s="872">
        <f>PPH_Data_Base28[[#This Row],[Bag Filter EU-8]]</f>
        <v>327.29473726824159</v>
      </c>
      <c r="FR24" s="872">
        <v>500</v>
      </c>
      <c r="FS24" s="872">
        <v>30</v>
      </c>
      <c r="FT24" s="176"/>
      <c r="FU24" s="176"/>
      <c r="FV24" s="176"/>
      <c r="FW24" s="176"/>
      <c r="GW24" s="176"/>
      <c r="GX24" s="176"/>
      <c r="HC24" s="176"/>
    </row>
    <row r="25" spans="1:211">
      <c r="A25" s="780" t="s">
        <v>456</v>
      </c>
      <c r="B25" s="781" t="s">
        <v>1591</v>
      </c>
      <c r="C25" s="781" t="s">
        <v>529</v>
      </c>
      <c r="D25" s="870" t="s">
        <v>1592</v>
      </c>
      <c r="E25" s="870" t="s">
        <v>1062</v>
      </c>
      <c r="F25" s="870" t="s">
        <v>1593</v>
      </c>
      <c r="G25" s="851">
        <v>0</v>
      </c>
      <c r="H25" s="870" t="s">
        <v>2248</v>
      </c>
      <c r="I25" s="781" t="s">
        <v>759</v>
      </c>
      <c r="J25" s="781" t="s">
        <v>1586</v>
      </c>
      <c r="K25" s="781">
        <v>1</v>
      </c>
      <c r="L25" s="781" t="s">
        <v>568</v>
      </c>
      <c r="M25" s="781">
        <v>3</v>
      </c>
      <c r="N25" s="300">
        <v>3</v>
      </c>
      <c r="O25" s="781">
        <v>31.138888888888889</v>
      </c>
      <c r="P25" s="781">
        <v>17.7</v>
      </c>
      <c r="Q25" s="781">
        <v>2</v>
      </c>
      <c r="R25" s="781">
        <v>10</v>
      </c>
      <c r="S25" s="781">
        <v>2</v>
      </c>
      <c r="T25" s="781"/>
      <c r="U25" s="781"/>
      <c r="V25" s="781">
        <v>326</v>
      </c>
      <c r="W25" s="781">
        <v>454</v>
      </c>
      <c r="X25" s="870"/>
      <c r="Y25" s="835">
        <v>0</v>
      </c>
      <c r="Z25" s="782">
        <v>7855</v>
      </c>
      <c r="AA25" s="782">
        <v>9271</v>
      </c>
      <c r="AB25" s="870">
        <v>6339</v>
      </c>
      <c r="AC25" s="834">
        <v>0</v>
      </c>
      <c r="AD25" s="781">
        <v>195.97457627118646</v>
      </c>
      <c r="AE25" s="870">
        <v>169.84463276836161</v>
      </c>
      <c r="AF25" s="870">
        <v>182.90960451977404</v>
      </c>
      <c r="AG25" s="870">
        <v>219.49152542372883</v>
      </c>
      <c r="AH25" s="781">
        <v>235.16949152542375</v>
      </c>
      <c r="AI25" s="870">
        <v>203.81355932203391</v>
      </c>
      <c r="AJ25" s="870">
        <v>219.49152542372883</v>
      </c>
      <c r="AK25" s="870">
        <v>263.38983050847457</v>
      </c>
      <c r="AL25" s="870">
        <f>PPH_Data_Base28[[#This Row],[PPH Unit Basic Price With Cu Tube]]*0.05</f>
        <v>463.55</v>
      </c>
      <c r="AM25" s="781">
        <v>106.90698867212224</v>
      </c>
      <c r="AN25" s="781">
        <v>551.81565877812511</v>
      </c>
      <c r="AO25" s="781">
        <v>1042.9315950906564</v>
      </c>
      <c r="AP25" s="781">
        <v>567</v>
      </c>
      <c r="AQ25" s="781">
        <v>449.55</v>
      </c>
      <c r="AR25" s="781">
        <f>1.5*242</f>
        <v>363</v>
      </c>
      <c r="AS25" s="781">
        <v>445.59605180493645</v>
      </c>
      <c r="AT25" s="781">
        <v>1691.7672422099322</v>
      </c>
      <c r="AU25" s="781">
        <v>34.93288227582628</v>
      </c>
      <c r="AV25" s="781">
        <v>327.29473726824159</v>
      </c>
      <c r="AW25" s="870">
        <v>2147.44</v>
      </c>
      <c r="AX25" s="870">
        <v>363</v>
      </c>
      <c r="AY25" s="870">
        <v>1666.227403601695</v>
      </c>
      <c r="AZ25" s="870">
        <v>497.91403065413147</v>
      </c>
      <c r="BA25" s="870">
        <f t="shared" si="5"/>
        <v>322.5</v>
      </c>
      <c r="BB25" s="870">
        <f>PPH_Data_Base28[[#This Row],[PPH Unit Basic Price With Cu Tube]]*0.1</f>
        <v>927.1</v>
      </c>
      <c r="BC25" s="870">
        <v>95.331871984724756</v>
      </c>
      <c r="BD25" s="870">
        <v>317.77290661574921</v>
      </c>
      <c r="BE25" s="870">
        <v>105.92430220524973</v>
      </c>
      <c r="BF25" s="870">
        <v>105.92430220524973</v>
      </c>
      <c r="BG25" s="870">
        <v>105.92430220524973</v>
      </c>
      <c r="BH25" s="870">
        <f>PPH_Data_Base28[[#This Row],[PPH Unit Basic Price With Cu Tube]]*0.075</f>
        <v>695.32499999999993</v>
      </c>
      <c r="BI25" s="870">
        <v>317.77290661574921</v>
      </c>
      <c r="BJ25" s="870">
        <v>105.92430220524973</v>
      </c>
      <c r="BK25" s="870">
        <v>105.92430220524973</v>
      </c>
      <c r="BL25" s="870">
        <v>105.92430220524973</v>
      </c>
      <c r="BM25" s="781">
        <f>PPH_Data_Base28[[#This Row],[Total Condenser Coil Area]]*Naming!$M$62*4</f>
        <v>2790.0444444444443</v>
      </c>
      <c r="BN25" s="781">
        <f>PPH_Data_Base28[[#This Row],[Total Evaporator  Coil Area]]*Naming!$M$62*4</f>
        <v>1585.9199999999998</v>
      </c>
      <c r="BO25" s="781">
        <f>PPH_Data_Base28[[#This Row],[Total Condenser Coil Area]]*Naming!$D$61*4</f>
        <v>42.348888888888894</v>
      </c>
      <c r="BP25" s="781">
        <f>PPH_Data_Base28[[#This Row],[Total Evaporator  Coil Area]]*Naming!$D$61*6</f>
        <v>36.107999999999997</v>
      </c>
      <c r="BQ25" s="781">
        <f>$G$195*PPH_Data_Base28[[#This Row],[Total Evaporator  Coil Area]]</f>
        <v>79.649999999999991</v>
      </c>
      <c r="BR25" s="781">
        <f>$G$199*PPH_Data_Base28[[#This Row],[Total Evaporator  Coil Area]]</f>
        <v>120.35999999999999</v>
      </c>
      <c r="BS25" s="781">
        <f>$E$185*PPH_Data_Base28[[#This Row],[Total Evaporator  Coil Area]]</f>
        <v>354</v>
      </c>
      <c r="BT25" s="781">
        <f>$E$188*PPH_Data_Base28[[#This Row],[Total Evaporator  Coil Area]]</f>
        <v>495.59999999999997</v>
      </c>
      <c r="BU25" s="781">
        <f>$G$195*PPH_Data_Base28[[#This Row],[Total Condenser Coil Area]]</f>
        <v>140.125</v>
      </c>
      <c r="BV25" s="781">
        <f>$G$199*PPH_Data_Base28[[#This Row],[Total Condenser Coil Area]]</f>
        <v>211.74444444444444</v>
      </c>
      <c r="BW25" s="781">
        <f>$E$185*PPH_Data_Base28[[#This Row],[Total Condenser Coil Area]]</f>
        <v>622.77777777777783</v>
      </c>
      <c r="BX25" s="781">
        <f>$E$188*PPH_Data_Base28[[#This Row],[Total Condenser Coil Area]]</f>
        <v>871.88888888888891</v>
      </c>
      <c r="BY25" s="781">
        <v>231.51080135698533</v>
      </c>
      <c r="BZ25" s="870">
        <v>143.31992532802258</v>
      </c>
      <c r="CA25" s="870">
        <v>228.31636106288136</v>
      </c>
      <c r="CB25" s="870">
        <v>151.00288430084746</v>
      </c>
      <c r="CC25" s="870">
        <v>98.870056497175142</v>
      </c>
      <c r="CD25" s="870">
        <f t="shared" si="4"/>
        <v>96.045197740112997</v>
      </c>
      <c r="CE25" s="870">
        <v>20</v>
      </c>
      <c r="CF25" s="832">
        <v>0</v>
      </c>
      <c r="CG25" s="870">
        <f>PPH_Data_Base28[[#This Row],[PPH Unit Basic Price With Cu Tube]]*0.25</f>
        <v>2317.75</v>
      </c>
      <c r="CH25" s="870">
        <f>PPH_Data_Base28[[#This Row],[DSP Unit Basic Price With Cu Tube]]*0.35</f>
        <v>2218.6499999999996</v>
      </c>
      <c r="CI25" s="781">
        <v>178.38071228813561</v>
      </c>
      <c r="CJ25" s="781">
        <v>259.54695762711867</v>
      </c>
      <c r="CK25" s="781">
        <v>37.192477542372885</v>
      </c>
      <c r="CL25" s="781">
        <v>192.09039548022599</v>
      </c>
      <c r="CM25" s="870">
        <v>28.8135593220339</v>
      </c>
      <c r="CN25" s="781">
        <v>105.64971751412429</v>
      </c>
      <c r="CO25" s="870">
        <v>0</v>
      </c>
      <c r="CP25" s="781">
        <v>172.61319053672315</v>
      </c>
      <c r="CQ25" s="870">
        <v>161.50409632768361</v>
      </c>
      <c r="CR25" s="781">
        <v>248.96402542372883</v>
      </c>
      <c r="CS25" s="870">
        <v>766.5780677966103</v>
      </c>
      <c r="CT25" s="781">
        <v>865.11299435028252</v>
      </c>
      <c r="CU25" s="870">
        <v>184.31171186440676</v>
      </c>
      <c r="CV25" s="870">
        <v>497.17514124293785</v>
      </c>
      <c r="CW25" s="870">
        <f>400*1.35*PPH_Data_Base28[[#This Row],[No. of Unit  Compressors]]</f>
        <v>1080</v>
      </c>
      <c r="CX25" s="835">
        <v>0</v>
      </c>
      <c r="CY25" s="871">
        <f>47*PPH_Data_Base28[[#This Row],[No. of Unit  Compressors]]*1.35</f>
        <v>126.9</v>
      </c>
      <c r="CZ25" s="871">
        <f>30*1.35*PPH_Data_Base28[[#This Row],[NO Condenser Fans]]</f>
        <v>121.5</v>
      </c>
      <c r="DA25" s="781">
        <f>INDEX($B$136:$F$154,MATCH(PPH_Data_Base28[[#This Row],[STD Supply Fan Motor]],$B$136:$B$154,0),5)*PPH_Data_Base28[[#This Row],[Fan QTY]]</f>
        <v>43.509511864406782</v>
      </c>
      <c r="DB25" s="871">
        <f>47*1.35*PPH_Data_Base28[[#This Row],[No. of Unit  Compressors]]</f>
        <v>126.9</v>
      </c>
      <c r="DC25" s="871">
        <f>28*PPH_Data_Base28[[#This Row],[NO Condenser Fans]]</f>
        <v>84</v>
      </c>
      <c r="DD25" s="781">
        <f>INDEX($B$136:$F$154,MATCH(PPH_Data_Base28[[#This Row],[STD Supply Fan Motor]],$B$136:$B$154,0),3)*PPH_Data_Base28[[#This Row],[Fan QTY]]</f>
        <v>27.333113841807918</v>
      </c>
      <c r="DE25" s="870">
        <f>INDEX($B$114:$C$131,MATCH(PPH_Data_Base28[[#This Row],[Compressor 1 HP]],$B$114:$B$131,0),2)*PPH_Data_Base28[[#This Row],[Compressor 1 QTY]]+IFERROR(INDEX($B$114:$C$131,MATCH(PPH_Data_Base28[[#This Row],[Compressor 2 HP]],$B$114:$B$131,0),2)*PPH_Data_Base28[[#This Row],[Compressor 2 QTY]],0)</f>
        <v>84</v>
      </c>
      <c r="DF25" s="870">
        <f>38*PPH_Data_Base28[[#This Row],[NO Condenser Fans]]</f>
        <v>114</v>
      </c>
      <c r="DG25" s="870">
        <f>INDEX($B$136:$F$154,MATCH(PPH_Data_Base28[[#This Row],[STD Supply Fan Motor]],$B$136:$B$154,0),5)*PPH_Data_Base28[[#This Row],[Fan QTY]]</f>
        <v>43.509511864406782</v>
      </c>
      <c r="DH25" s="781">
        <v>256.35593220338978</v>
      </c>
      <c r="DI25" s="781">
        <v>58.262711864406782</v>
      </c>
      <c r="DJ25" s="870">
        <f>INDEX($F$114:$G$124,MATCH(PPH_Data_Base28[[#This Row],[Compressor 1 HP]],$F$114:$F$124,0),2)</f>
        <v>2600</v>
      </c>
      <c r="DK25" s="870">
        <f>INDEX($F$114:$G$124,MATCH(PPH_Data_Base28[[#This Row],[Compressor 1 HP]],$F$114:$F$124,0),2)*PPH_Data_Base28[[#This Row],[Compressor 1 QTY]]+IFERROR(INDEX($F$114:$G$124,MATCH(PPH_Data_Base28[[#This Row],[Compressor 2 HP]],$F$114:$F$124,0),2)*PPH_Data_Base28[[#This Row],[Compressor 2 QTY]],0)</f>
        <v>5200</v>
      </c>
      <c r="DL25" s="870">
        <v>1699</v>
      </c>
      <c r="DM25" s="870">
        <v>564.9717514124294</v>
      </c>
      <c r="DN25" s="870">
        <v>213.62952090395484</v>
      </c>
      <c r="DO25" s="870">
        <v>2713.4650319209045</v>
      </c>
      <c r="DP25" s="870">
        <v>173.0225988700565</v>
      </c>
      <c r="DQ25" s="781">
        <f>PPH_Data_Base28[[#This Row],[NEMA 4X For Electrical Panel]]</f>
        <v>173.0225988700565</v>
      </c>
      <c r="DR25" s="870">
        <v>173.0225988700565</v>
      </c>
      <c r="DS25" s="870">
        <v>132.06214689265536</v>
      </c>
      <c r="DT25" s="870">
        <f>PPH_Data_Base28[[#This Row],[NO Condenser Fans]]*350</f>
        <v>1050</v>
      </c>
      <c r="DU25" s="870">
        <v>357.41164131355953</v>
      </c>
      <c r="DV25" s="870">
        <f>150*PPH_Data_Base28[[#This Row],[NO Condenser Fans]]</f>
        <v>450</v>
      </c>
      <c r="DW25" s="781">
        <v>757.4152542372882</v>
      </c>
      <c r="DX25" s="781">
        <v>250</v>
      </c>
      <c r="DY25" s="870">
        <v>700</v>
      </c>
      <c r="DZ25" s="870">
        <v>100</v>
      </c>
      <c r="EA25" s="870">
        <v>540</v>
      </c>
      <c r="EB25" s="870">
        <v>4.186805084745763</v>
      </c>
      <c r="EC25" s="870">
        <v>23.305084745762713</v>
      </c>
      <c r="ED25" s="870">
        <v>58.361196822033918</v>
      </c>
      <c r="EE25" s="870">
        <v>350</v>
      </c>
      <c r="EF25" s="870">
        <v>350</v>
      </c>
      <c r="EG25" s="870">
        <v>286</v>
      </c>
      <c r="EH25" s="870">
        <v>375</v>
      </c>
      <c r="EI25" s="870">
        <v>138</v>
      </c>
      <c r="EJ25" s="870">
        <v>81</v>
      </c>
      <c r="EK25" s="870">
        <v>33.75</v>
      </c>
      <c r="EL25" s="870">
        <v>67.5</v>
      </c>
      <c r="EM25" s="870">
        <v>337.5</v>
      </c>
      <c r="EN25" s="870">
        <v>67</v>
      </c>
      <c r="EO25" s="870">
        <v>371</v>
      </c>
      <c r="EP25" s="870">
        <v>385.53092711864412</v>
      </c>
      <c r="EQ25" s="870">
        <v>26</v>
      </c>
      <c r="ER25" s="870">
        <v>324</v>
      </c>
      <c r="ES25" s="870">
        <v>22</v>
      </c>
      <c r="ET25" s="870">
        <v>65</v>
      </c>
      <c r="EU25" s="870">
        <v>203</v>
      </c>
      <c r="EV25" s="870">
        <v>250</v>
      </c>
      <c r="EW25" s="847">
        <v>0</v>
      </c>
      <c r="EX25" s="781">
        <v>92.768903954802283</v>
      </c>
      <c r="EY25" s="781">
        <v>666.23951186440684</v>
      </c>
      <c r="EZ25" s="870">
        <v>38.418079096045197</v>
      </c>
      <c r="FA25" s="870">
        <v>40</v>
      </c>
      <c r="FB25" s="870">
        <v>40</v>
      </c>
      <c r="FC25" s="870">
        <v>22.775173728813563</v>
      </c>
      <c r="FD25" s="870">
        <v>22.775173728813563</v>
      </c>
      <c r="FE25" s="870">
        <v>39.548022598870062</v>
      </c>
      <c r="FF25" s="870">
        <v>52.259887005649723</v>
      </c>
      <c r="FG25" s="870">
        <v>300</v>
      </c>
      <c r="FH25" s="870">
        <v>414.03598433475634</v>
      </c>
      <c r="FI25" s="870">
        <v>251.4833065659428</v>
      </c>
      <c r="FJ25" s="870">
        <v>26</v>
      </c>
      <c r="FK25" s="870">
        <f>PPH_Data_Base28[[#This Row],[Differential Pressure Switch]]*2</f>
        <v>52</v>
      </c>
      <c r="FL25" s="870">
        <v>42</v>
      </c>
      <c r="FM25" s="872">
        <f>PPH_Data_Base28[[#This Row],[STD PETRA DIAL DIFF.PRESS.GAUGE NOT DWYER]]*2</f>
        <v>84</v>
      </c>
      <c r="FN25" s="872">
        <v>150</v>
      </c>
      <c r="FO25" s="872">
        <f>PPH_Data_Base28[[#This Row],[Replaceble Filter Drier ]]</f>
        <v>192.09039548022599</v>
      </c>
      <c r="FP25" s="872">
        <f>PPH_Data_Base28[[#This Row],[2" Pre-Filter]]*2</f>
        <v>69.86576455165256</v>
      </c>
      <c r="FQ25" s="872">
        <f>PPH_Data_Base28[[#This Row],[Bag Filter EU-8]]</f>
        <v>327.29473726824159</v>
      </c>
      <c r="FR25" s="872">
        <v>500</v>
      </c>
      <c r="FS25" s="872">
        <v>30</v>
      </c>
      <c r="FT25" s="176"/>
      <c r="FU25" s="176"/>
      <c r="FV25" s="176"/>
      <c r="FW25" s="176"/>
      <c r="GW25" s="176"/>
      <c r="GX25" s="176"/>
      <c r="HC25" s="176"/>
    </row>
    <row r="26" spans="1:211">
      <c r="A26" s="780" t="s">
        <v>457</v>
      </c>
      <c r="B26" s="781" t="s">
        <v>1595</v>
      </c>
      <c r="C26" s="781" t="s">
        <v>530</v>
      </c>
      <c r="D26" s="870" t="s">
        <v>1596</v>
      </c>
      <c r="E26" s="870" t="s">
        <v>1067</v>
      </c>
      <c r="F26" s="870" t="s">
        <v>1067</v>
      </c>
      <c r="G26" s="851">
        <v>0</v>
      </c>
      <c r="H26" s="870" t="s">
        <v>2248</v>
      </c>
      <c r="I26" s="781" t="s">
        <v>759</v>
      </c>
      <c r="J26" s="781" t="s">
        <v>1594</v>
      </c>
      <c r="K26" s="781">
        <v>1</v>
      </c>
      <c r="L26" s="781" t="s">
        <v>568</v>
      </c>
      <c r="M26" s="781">
        <v>3</v>
      </c>
      <c r="N26" s="300">
        <v>3</v>
      </c>
      <c r="O26" s="781">
        <v>35.659722222222221</v>
      </c>
      <c r="P26" s="781">
        <v>20.100000000000001</v>
      </c>
      <c r="Q26" s="781">
        <v>2</v>
      </c>
      <c r="R26" s="781">
        <v>12</v>
      </c>
      <c r="S26" s="781">
        <v>2</v>
      </c>
      <c r="T26" s="781"/>
      <c r="U26" s="781"/>
      <c r="V26" s="781">
        <v>326</v>
      </c>
      <c r="W26" s="781">
        <v>560</v>
      </c>
      <c r="X26" s="870" t="s">
        <v>416</v>
      </c>
      <c r="Y26" s="835">
        <v>0</v>
      </c>
      <c r="Z26" s="782">
        <v>8233</v>
      </c>
      <c r="AA26" s="782">
        <v>10210</v>
      </c>
      <c r="AB26" s="870">
        <v>7045</v>
      </c>
      <c r="AC26" s="834">
        <v>0</v>
      </c>
      <c r="AD26" s="781">
        <v>195.97457627118646</v>
      </c>
      <c r="AE26" s="870">
        <v>169.84463276836161</v>
      </c>
      <c r="AF26" s="870">
        <v>182.90960451977404</v>
      </c>
      <c r="AG26" s="870">
        <v>219.49152542372883</v>
      </c>
      <c r="AH26" s="781">
        <v>235.16949152542375</v>
      </c>
      <c r="AI26" s="870">
        <v>203.81355932203391</v>
      </c>
      <c r="AJ26" s="870">
        <v>219.49152542372883</v>
      </c>
      <c r="AK26" s="870">
        <v>263.38983050847457</v>
      </c>
      <c r="AL26" s="870">
        <f>PPH_Data_Base28[[#This Row],[PPH Unit Basic Price With Cu Tube]]*0.05</f>
        <v>510.5</v>
      </c>
      <c r="AM26" s="781">
        <v>122.42805237095176</v>
      </c>
      <c r="AN26" s="781">
        <v>631.92984117432468</v>
      </c>
      <c r="AO26" s="781">
        <v>1194.3473998194738</v>
      </c>
      <c r="AP26" s="781">
        <v>573.75</v>
      </c>
      <c r="AQ26" s="781">
        <v>449.55</v>
      </c>
      <c r="AR26" s="781">
        <f>2*242</f>
        <v>484</v>
      </c>
      <c r="AS26" s="781">
        <v>516.84276722470543</v>
      </c>
      <c r="AT26" s="781">
        <v>1805.7619868815627</v>
      </c>
      <c r="AU26" s="781">
        <v>64.461933184512702</v>
      </c>
      <c r="AV26" s="781">
        <v>415.46178602245976</v>
      </c>
      <c r="AW26" s="870">
        <v>3063.4</v>
      </c>
      <c r="AX26" s="870">
        <v>363</v>
      </c>
      <c r="AY26" s="870">
        <v>1666.227403601695</v>
      </c>
      <c r="AZ26" s="870">
        <v>497.91403065413147</v>
      </c>
      <c r="BA26" s="870">
        <f>11.2*30</f>
        <v>336</v>
      </c>
      <c r="BB26" s="870">
        <f>PPH_Data_Base28[[#This Row],[PPH Unit Basic Price With Cu Tube]]*0.1</f>
        <v>1021</v>
      </c>
      <c r="BC26" s="870">
        <v>102.4276945758609</v>
      </c>
      <c r="BD26" s="870">
        <v>341.42564858620301</v>
      </c>
      <c r="BE26" s="870">
        <v>113.80854952873433</v>
      </c>
      <c r="BF26" s="870">
        <v>113.80854952873433</v>
      </c>
      <c r="BG26" s="870">
        <v>113.80854952873433</v>
      </c>
      <c r="BH26" s="870">
        <f>PPH_Data_Base28[[#This Row],[PPH Unit Basic Price With Cu Tube]]*0.075</f>
        <v>765.75</v>
      </c>
      <c r="BI26" s="870">
        <v>341.42564858620301</v>
      </c>
      <c r="BJ26" s="870">
        <v>113.80854952873433</v>
      </c>
      <c r="BK26" s="870">
        <v>113.80854952873433</v>
      </c>
      <c r="BL26" s="870">
        <v>113.80854952873433</v>
      </c>
      <c r="BM26" s="781">
        <f>PPH_Data_Base28[[#This Row],[Total Condenser Coil Area]]*Naming!$M$62*4</f>
        <v>3195.1111111111109</v>
      </c>
      <c r="BN26" s="781">
        <f>PPH_Data_Base28[[#This Row],[Total Evaporator  Coil Area]]*Naming!$M$62*4</f>
        <v>1800.96</v>
      </c>
      <c r="BO26" s="781">
        <f>PPH_Data_Base28[[#This Row],[Total Condenser Coil Area]]*Naming!$D$61*4</f>
        <v>48.497222222222227</v>
      </c>
      <c r="BP26" s="781">
        <f>PPH_Data_Base28[[#This Row],[Total Evaporator  Coil Area]]*Naming!$D$61*6</f>
        <v>41.004000000000005</v>
      </c>
      <c r="BQ26" s="781">
        <f>$G$195*PPH_Data_Base28[[#This Row],[Total Evaporator  Coil Area]]</f>
        <v>90.45</v>
      </c>
      <c r="BR26" s="781">
        <f>$G$199*PPH_Data_Base28[[#This Row],[Total Evaporator  Coil Area]]</f>
        <v>136.68</v>
      </c>
      <c r="BS26" s="781">
        <f>$E$185*PPH_Data_Base28[[#This Row],[Total Evaporator  Coil Area]]</f>
        <v>402</v>
      </c>
      <c r="BT26" s="781">
        <f>$E$188*PPH_Data_Base28[[#This Row],[Total Evaporator  Coil Area]]</f>
        <v>562.80000000000007</v>
      </c>
      <c r="BU26" s="781">
        <f>$G$195*PPH_Data_Base28[[#This Row],[Total Condenser Coil Area]]</f>
        <v>160.46875</v>
      </c>
      <c r="BV26" s="781">
        <f>$G$199*PPH_Data_Base28[[#This Row],[Total Condenser Coil Area]]</f>
        <v>242.48611111111109</v>
      </c>
      <c r="BW26" s="781">
        <f>$E$185*PPH_Data_Base28[[#This Row],[Total Condenser Coil Area]]</f>
        <v>713.19444444444446</v>
      </c>
      <c r="BX26" s="781">
        <f>$E$188*PPH_Data_Base28[[#This Row],[Total Condenser Coil Area]]</f>
        <v>998.47222222222217</v>
      </c>
      <c r="BY26" s="781">
        <v>231.51080135698533</v>
      </c>
      <c r="BZ26" s="870">
        <v>143.31992532802258</v>
      </c>
      <c r="CA26" s="870">
        <v>236.61877419244072</v>
      </c>
      <c r="CB26" s="870">
        <v>156.49389827542373</v>
      </c>
      <c r="CC26" s="870">
        <v>98.870056497175142</v>
      </c>
      <c r="CD26" s="870">
        <f t="shared" si="4"/>
        <v>96.045197740112997</v>
      </c>
      <c r="CE26" s="870">
        <v>30</v>
      </c>
      <c r="CF26" s="832">
        <v>0</v>
      </c>
      <c r="CG26" s="870">
        <f>PPH_Data_Base28[[#This Row],[PPH Unit Basic Price With Cu Tube]]*0.25</f>
        <v>2552.5</v>
      </c>
      <c r="CH26" s="870">
        <f>PPH_Data_Base28[[#This Row],[DSP Unit Basic Price With Cu Tube]]*0.35</f>
        <v>2465.75</v>
      </c>
      <c r="CI26" s="781">
        <v>178.38071228813561</v>
      </c>
      <c r="CJ26" s="781">
        <v>259.54695762711867</v>
      </c>
      <c r="CK26" s="781">
        <v>37.192477542372885</v>
      </c>
      <c r="CL26" s="781">
        <v>192.09039548022599</v>
      </c>
      <c r="CM26" s="870">
        <v>28.8135593220339</v>
      </c>
      <c r="CN26" s="781">
        <v>105.64971751412429</v>
      </c>
      <c r="CO26" s="870">
        <v>0</v>
      </c>
      <c r="CP26" s="781">
        <v>172.61319053672315</v>
      </c>
      <c r="CQ26" s="870">
        <v>256.73744802259887</v>
      </c>
      <c r="CR26" s="781">
        <v>248.96402542372883</v>
      </c>
      <c r="CS26" s="870">
        <v>861.1609623305086</v>
      </c>
      <c r="CT26" s="781">
        <v>865.11299435028252</v>
      </c>
      <c r="CU26" s="870">
        <v>184.31171186440676</v>
      </c>
      <c r="CV26" s="870">
        <v>497.17514124293785</v>
      </c>
      <c r="CW26" s="870">
        <f>400*1.35*PPH_Data_Base28[[#This Row],[No. of Unit  Compressors]]</f>
        <v>1080</v>
      </c>
      <c r="CX26" s="835">
        <v>0</v>
      </c>
      <c r="CY26" s="871">
        <f>47*PPH_Data_Base28[[#This Row],[No. of Unit  Compressors]]*1.35</f>
        <v>126.9</v>
      </c>
      <c r="CZ26" s="871">
        <f>30*1.35*PPH_Data_Base28[[#This Row],[NO Condenser Fans]]</f>
        <v>121.5</v>
      </c>
      <c r="DA26" s="781">
        <f>INDEX($B$136:$F$154,MATCH(PPH_Data_Base28[[#This Row],[STD Supply Fan Motor]],$B$136:$B$154,0),5)*PPH_Data_Base28[[#This Row],[Fan QTY]]</f>
        <v>49.088431038135589</v>
      </c>
      <c r="DB26" s="871">
        <f>47*1.35*PPH_Data_Base28[[#This Row],[No. of Unit  Compressors]]</f>
        <v>126.9</v>
      </c>
      <c r="DC26" s="871">
        <f>28*PPH_Data_Base28[[#This Row],[NO Condenser Fans]]</f>
        <v>84</v>
      </c>
      <c r="DD26" s="781">
        <f>INDEX($B$136:$F$154,MATCH(PPH_Data_Base28[[#This Row],[STD Supply Fan Motor]],$B$136:$B$154,0),3)*PPH_Data_Base28[[#This Row],[Fan QTY]]</f>
        <v>27.333113841807918</v>
      </c>
      <c r="DE26" s="870">
        <f>INDEX($B$114:$C$131,MATCH(PPH_Data_Base28[[#This Row],[Compressor 1 HP]],$B$114:$B$131,0),2)*PPH_Data_Base28[[#This Row],[Compressor 1 QTY]]+IFERROR(INDEX($B$114:$C$131,MATCH(PPH_Data_Base28[[#This Row],[Compressor 2 HP]],$B$114:$B$131,0),2)*PPH_Data_Base28[[#This Row],[Compressor 2 QTY]],0)</f>
        <v>108</v>
      </c>
      <c r="DF26" s="870">
        <f>38*PPH_Data_Base28[[#This Row],[NO Condenser Fans]]</f>
        <v>114</v>
      </c>
      <c r="DG26" s="870">
        <f>INDEX($B$136:$F$154,MATCH(PPH_Data_Base28[[#This Row],[STD Supply Fan Motor]],$B$136:$B$154,0),5)*PPH_Data_Base28[[#This Row],[Fan QTY]]</f>
        <v>49.088431038135589</v>
      </c>
      <c r="DH26" s="781">
        <v>256.35593220338978</v>
      </c>
      <c r="DI26" s="781">
        <v>58.262711864406782</v>
      </c>
      <c r="DJ26" s="870">
        <f>INDEX($F$114:$G$124,MATCH(PPH_Data_Base28[[#This Row],[Compressor 1 HP]],$F$114:$F$124,0),2)</f>
        <v>2600</v>
      </c>
      <c r="DK26" s="870">
        <f>INDEX($F$114:$G$124,MATCH(PPH_Data_Base28[[#This Row],[Compressor 1 HP]],$F$114:$F$124,0),2)*PPH_Data_Base28[[#This Row],[Compressor 1 QTY]]+IFERROR(INDEX($F$114:$G$124,MATCH(PPH_Data_Base28[[#This Row],[Compressor 2 HP]],$F$114:$F$124,0),2)*PPH_Data_Base28[[#This Row],[Compressor 2 QTY]],0)</f>
        <v>5200</v>
      </c>
      <c r="DL26" s="870">
        <v>1707</v>
      </c>
      <c r="DM26" s="870">
        <v>564.9717514124294</v>
      </c>
      <c r="DN26" s="870">
        <v>213.62952090395484</v>
      </c>
      <c r="DO26" s="870">
        <v>2713.4650319209045</v>
      </c>
      <c r="DP26" s="870">
        <v>173.0225988700565</v>
      </c>
      <c r="DQ26" s="781">
        <f>PPH_Data_Base28[[#This Row],[NEMA 4X For Electrical Panel]]</f>
        <v>173.0225988700565</v>
      </c>
      <c r="DR26" s="870">
        <v>173.0225988700565</v>
      </c>
      <c r="DS26" s="870">
        <v>132.06214689265536</v>
      </c>
      <c r="DT26" s="870">
        <f>PPH_Data_Base28[[#This Row],[NO Condenser Fans]]*350</f>
        <v>1050</v>
      </c>
      <c r="DU26" s="870">
        <v>357.41164131355953</v>
      </c>
      <c r="DV26" s="870">
        <f>150*PPH_Data_Base28[[#This Row],[NO Condenser Fans]]</f>
        <v>450</v>
      </c>
      <c r="DW26" s="781">
        <v>757.4152542372882</v>
      </c>
      <c r="DX26" s="781">
        <v>250</v>
      </c>
      <c r="DY26" s="870">
        <v>700</v>
      </c>
      <c r="DZ26" s="870">
        <v>100</v>
      </c>
      <c r="EA26" s="870">
        <v>540</v>
      </c>
      <c r="EB26" s="870">
        <v>4.186805084745763</v>
      </c>
      <c r="EC26" s="870">
        <v>23.305084745762713</v>
      </c>
      <c r="ED26" s="870">
        <v>58.361196822033918</v>
      </c>
      <c r="EE26" s="870">
        <v>350</v>
      </c>
      <c r="EF26" s="870">
        <v>350</v>
      </c>
      <c r="EG26" s="870">
        <v>286</v>
      </c>
      <c r="EH26" s="870">
        <v>375</v>
      </c>
      <c r="EI26" s="870">
        <v>138</v>
      </c>
      <c r="EJ26" s="870">
        <v>81</v>
      </c>
      <c r="EK26" s="870">
        <v>33.75</v>
      </c>
      <c r="EL26" s="870">
        <v>67.5</v>
      </c>
      <c r="EM26" s="870">
        <v>337.5</v>
      </c>
      <c r="EN26" s="870">
        <v>67</v>
      </c>
      <c r="EO26" s="870">
        <v>371</v>
      </c>
      <c r="EP26" s="870">
        <v>385.53092711864412</v>
      </c>
      <c r="EQ26" s="870">
        <v>26</v>
      </c>
      <c r="ER26" s="870">
        <v>324</v>
      </c>
      <c r="ES26" s="870">
        <v>22</v>
      </c>
      <c r="ET26" s="870">
        <v>65</v>
      </c>
      <c r="EU26" s="870">
        <v>203</v>
      </c>
      <c r="EV26" s="870">
        <v>250</v>
      </c>
      <c r="EW26" s="847">
        <v>0</v>
      </c>
      <c r="EX26" s="781">
        <v>92.768903954802283</v>
      </c>
      <c r="EY26" s="781">
        <v>666.23951186440684</v>
      </c>
      <c r="EZ26" s="870">
        <v>38.418079096045197</v>
      </c>
      <c r="FA26" s="870">
        <v>40</v>
      </c>
      <c r="FB26" s="870">
        <v>40</v>
      </c>
      <c r="FC26" s="870">
        <v>22.775173728813563</v>
      </c>
      <c r="FD26" s="870">
        <v>22.775173728813563</v>
      </c>
      <c r="FE26" s="870">
        <v>39.548022598870062</v>
      </c>
      <c r="FF26" s="870">
        <v>52.259887005649723</v>
      </c>
      <c r="FG26" s="870">
        <v>300</v>
      </c>
      <c r="FH26" s="870">
        <v>414.03598433475634</v>
      </c>
      <c r="FI26" s="870">
        <v>251.4833065659428</v>
      </c>
      <c r="FJ26" s="870">
        <v>26</v>
      </c>
      <c r="FK26" s="870">
        <f>PPH_Data_Base28[[#This Row],[Differential Pressure Switch]]*2</f>
        <v>52</v>
      </c>
      <c r="FL26" s="870">
        <v>42</v>
      </c>
      <c r="FM26" s="872">
        <f>PPH_Data_Base28[[#This Row],[STD PETRA DIAL DIFF.PRESS.GAUGE NOT DWYER]]*2</f>
        <v>84</v>
      </c>
      <c r="FN26" s="872">
        <v>150</v>
      </c>
      <c r="FO26" s="872">
        <f>PPH_Data_Base28[[#This Row],[Replaceble Filter Drier ]]</f>
        <v>192.09039548022599</v>
      </c>
      <c r="FP26" s="872">
        <f>PPH_Data_Base28[[#This Row],[2" Pre-Filter]]*2</f>
        <v>128.9238663690254</v>
      </c>
      <c r="FQ26" s="872">
        <f>PPH_Data_Base28[[#This Row],[Bag Filter EU-8]]</f>
        <v>415.46178602245976</v>
      </c>
      <c r="FR26" s="872">
        <v>500</v>
      </c>
      <c r="FS26" s="872">
        <v>30</v>
      </c>
      <c r="FT26" s="176"/>
      <c r="FU26" s="176"/>
      <c r="FV26" s="176"/>
      <c r="FW26" s="176"/>
      <c r="GW26" s="176"/>
      <c r="GX26" s="176"/>
      <c r="HC26" s="176"/>
    </row>
    <row r="27" spans="1:211">
      <c r="A27" s="780" t="s">
        <v>458</v>
      </c>
      <c r="B27" s="781" t="s">
        <v>1598</v>
      </c>
      <c r="C27" s="781" t="s">
        <v>531</v>
      </c>
      <c r="D27" s="870" t="s">
        <v>1600</v>
      </c>
      <c r="E27" s="870" t="s">
        <v>1599</v>
      </c>
      <c r="F27" s="870" t="s">
        <v>1599</v>
      </c>
      <c r="G27" s="851">
        <v>0</v>
      </c>
      <c r="H27" s="870" t="s">
        <v>2248</v>
      </c>
      <c r="I27" s="781" t="s">
        <v>759</v>
      </c>
      <c r="J27" s="781" t="s">
        <v>1597</v>
      </c>
      <c r="K27" s="781">
        <v>1</v>
      </c>
      <c r="L27" s="781" t="s">
        <v>568</v>
      </c>
      <c r="M27" s="781">
        <v>4</v>
      </c>
      <c r="N27" s="300">
        <v>2</v>
      </c>
      <c r="O27" s="781">
        <v>42.2</v>
      </c>
      <c r="P27" s="781">
        <v>20.100000000000001</v>
      </c>
      <c r="Q27" s="781">
        <v>2</v>
      </c>
      <c r="R27" s="781">
        <v>15</v>
      </c>
      <c r="S27" s="781">
        <v>2</v>
      </c>
      <c r="T27" s="781"/>
      <c r="U27" s="781"/>
      <c r="V27" s="781">
        <v>326</v>
      </c>
      <c r="W27" s="781">
        <v>710</v>
      </c>
      <c r="X27" s="870"/>
      <c r="Y27" s="835">
        <v>0</v>
      </c>
      <c r="Z27" s="782">
        <v>11420</v>
      </c>
      <c r="AA27" s="782">
        <v>13987</v>
      </c>
      <c r="AB27" s="870">
        <v>9977</v>
      </c>
      <c r="AC27" s="834">
        <v>0</v>
      </c>
      <c r="AD27" s="781">
        <v>195.97457627118646</v>
      </c>
      <c r="AE27" s="870">
        <v>169.84463276836161</v>
      </c>
      <c r="AF27" s="870">
        <v>182.90960451977404</v>
      </c>
      <c r="AG27" s="870">
        <v>219.49152542372883</v>
      </c>
      <c r="AH27" s="781">
        <v>235.16949152542375</v>
      </c>
      <c r="AI27" s="870">
        <v>203.81355932203391</v>
      </c>
      <c r="AJ27" s="870">
        <v>219.49152542372883</v>
      </c>
      <c r="AK27" s="870">
        <v>263.38983050847457</v>
      </c>
      <c r="AL27" s="870">
        <f>PPH_Data_Base28[[#This Row],[PPH Unit Basic Price With Cu Tube]]*0.05</f>
        <v>699.35</v>
      </c>
      <c r="AM27" s="781">
        <v>145.03015434712751</v>
      </c>
      <c r="AN27" s="781">
        <v>748.59381185266147</v>
      </c>
      <c r="AO27" s="781">
        <v>1414.8423044015306</v>
      </c>
      <c r="AP27" s="781">
        <v>573.75</v>
      </c>
      <c r="AQ27" s="781">
        <v>499.50000000000006</v>
      </c>
      <c r="AR27" s="781">
        <f>2.5*242</f>
        <v>605</v>
      </c>
      <c r="AS27" s="781">
        <v>516.84276722470543</v>
      </c>
      <c r="AT27" s="781">
        <v>1805.7619868815627</v>
      </c>
      <c r="AU27" s="781">
        <v>64.461933184512702</v>
      </c>
      <c r="AV27" s="781">
        <v>415.46178602245976</v>
      </c>
      <c r="AW27" s="870">
        <v>3063.4</v>
      </c>
      <c r="AX27" s="870">
        <v>363</v>
      </c>
      <c r="AY27" s="870">
        <v>1666.227403601695</v>
      </c>
      <c r="AZ27" s="870">
        <v>497.91403065413147</v>
      </c>
      <c r="BA27" s="870">
        <f>11.2*30</f>
        <v>336</v>
      </c>
      <c r="BB27" s="870">
        <f>PPH_Data_Base28[[#This Row],[PPH Unit Basic Price With Cu Tube]]*0.1</f>
        <v>1398.7</v>
      </c>
      <c r="BC27" s="870">
        <v>137.10630835315644</v>
      </c>
      <c r="BD27" s="870">
        <v>457.02102784385482</v>
      </c>
      <c r="BE27" s="870">
        <v>152.34034261461827</v>
      </c>
      <c r="BF27" s="870">
        <v>152.34034261461827</v>
      </c>
      <c r="BG27" s="870">
        <v>152.34034261461827</v>
      </c>
      <c r="BH27" s="870">
        <f>PPH_Data_Base28[[#This Row],[PPH Unit Basic Price With Cu Tube]]*0.075</f>
        <v>1049.0249999999999</v>
      </c>
      <c r="BI27" s="870">
        <v>457.02102784385482</v>
      </c>
      <c r="BJ27" s="870">
        <v>152.34034261461827</v>
      </c>
      <c r="BK27" s="870">
        <v>152.34034261461827</v>
      </c>
      <c r="BL27" s="870">
        <v>152.34034261461827</v>
      </c>
      <c r="BM27" s="781">
        <f>PPH_Data_Base28[[#This Row],[Total Condenser Coil Area]]*Naming!$M$62*4</f>
        <v>3781.12</v>
      </c>
      <c r="BN27" s="781">
        <f>PPH_Data_Base28[[#This Row],[Total Evaporator  Coil Area]]*Naming!$M$62*4</f>
        <v>1800.96</v>
      </c>
      <c r="BO27" s="781">
        <f>PPH_Data_Base28[[#This Row],[Total Condenser Coil Area]]*Naming!$D$61*4</f>
        <v>57.39200000000001</v>
      </c>
      <c r="BP27" s="781">
        <f>PPH_Data_Base28[[#This Row],[Total Evaporator  Coil Area]]*Naming!$D$61*6</f>
        <v>41.004000000000005</v>
      </c>
      <c r="BQ27" s="781">
        <f>$G$195*PPH_Data_Base28[[#This Row],[Total Evaporator  Coil Area]]</f>
        <v>90.45</v>
      </c>
      <c r="BR27" s="781">
        <f>$G$199*PPH_Data_Base28[[#This Row],[Total Evaporator  Coil Area]]</f>
        <v>136.68</v>
      </c>
      <c r="BS27" s="781">
        <f>$E$185*PPH_Data_Base28[[#This Row],[Total Evaporator  Coil Area]]</f>
        <v>402</v>
      </c>
      <c r="BT27" s="781">
        <f>$E$188*PPH_Data_Base28[[#This Row],[Total Evaporator  Coil Area]]</f>
        <v>562.80000000000007</v>
      </c>
      <c r="BU27" s="781">
        <f>$G$195*PPH_Data_Base28[[#This Row],[Total Condenser Coil Area]]</f>
        <v>189.9</v>
      </c>
      <c r="BV27" s="781">
        <f>$G$199*PPH_Data_Base28[[#This Row],[Total Condenser Coil Area]]</f>
        <v>286.96000000000004</v>
      </c>
      <c r="BW27" s="781">
        <f>$E$185*PPH_Data_Base28[[#This Row],[Total Condenser Coil Area]]</f>
        <v>844</v>
      </c>
      <c r="BX27" s="781">
        <f>$E$188*PPH_Data_Base28[[#This Row],[Total Condenser Coil Area]]</f>
        <v>1181.6000000000001</v>
      </c>
      <c r="BY27" s="781">
        <v>231.51080135698533</v>
      </c>
      <c r="BZ27" s="870">
        <v>143.31992532802258</v>
      </c>
      <c r="CA27" s="870">
        <v>257.37480701633905</v>
      </c>
      <c r="CB27" s="870">
        <v>170.22143321186439</v>
      </c>
      <c r="CC27" s="870">
        <v>98.870056497175142</v>
      </c>
      <c r="CD27" s="870">
        <f t="shared" si="4"/>
        <v>96.045197740112997</v>
      </c>
      <c r="CE27" s="870">
        <v>30</v>
      </c>
      <c r="CF27" s="832">
        <v>0</v>
      </c>
      <c r="CG27" s="870">
        <f>PPH_Data_Base28[[#This Row],[PPH Unit Basic Price With Cu Tube]]*0.25</f>
        <v>3496.75</v>
      </c>
      <c r="CH27" s="870">
        <f>PPH_Data_Base28[[#This Row],[DSP Unit Basic Price With Cu Tube]]*0.35</f>
        <v>3491.95</v>
      </c>
      <c r="CI27" s="781">
        <v>178.38071228813561</v>
      </c>
      <c r="CJ27" s="781">
        <v>259.54695762711867</v>
      </c>
      <c r="CK27" s="781">
        <v>37.192477542372885</v>
      </c>
      <c r="CL27" s="781">
        <v>192.09039548022599</v>
      </c>
      <c r="CM27" s="870">
        <v>43.220338983050844</v>
      </c>
      <c r="CN27" s="781">
        <v>182.4858757062147</v>
      </c>
      <c r="CO27" s="870">
        <v>0</v>
      </c>
      <c r="CP27" s="781">
        <v>199.13348347457622</v>
      </c>
      <c r="CQ27" s="870">
        <v>256.73744802259887</v>
      </c>
      <c r="CR27" s="781">
        <v>248.96402542372883</v>
      </c>
      <c r="CS27" s="870">
        <v>1031.3883762711869</v>
      </c>
      <c r="CT27" s="781">
        <v>865.11299435028252</v>
      </c>
      <c r="CU27" s="870">
        <v>184.31171186440676</v>
      </c>
      <c r="CV27" s="870">
        <v>497.17514124293785</v>
      </c>
      <c r="CW27" s="870">
        <f>400*1.35*PPH_Data_Base28[[#This Row],[No. of Unit  Compressors]]</f>
        <v>1080</v>
      </c>
      <c r="CX27" s="835">
        <v>0</v>
      </c>
      <c r="CY27" s="871">
        <f>47*PPH_Data_Base28[[#This Row],[No. of Unit  Compressors]]*1.35</f>
        <v>126.9</v>
      </c>
      <c r="CZ27" s="871">
        <f>30*1.35*PPH_Data_Base28[[#This Row],[NO Condenser Fans]]</f>
        <v>81</v>
      </c>
      <c r="DA27" s="781">
        <f>INDEX($B$136:$F$154,MATCH(PPH_Data_Base28[[#This Row],[STD Supply Fan Motor]],$B$136:$B$154,0),5)*PPH_Data_Base28[[#This Row],[Fan QTY]]</f>
        <v>49.088431038135589</v>
      </c>
      <c r="DB27" s="871">
        <f>47*1.35*PPH_Data_Base28[[#This Row],[No. of Unit  Compressors]]</f>
        <v>126.9</v>
      </c>
      <c r="DC27" s="871">
        <f>28*PPH_Data_Base28[[#This Row],[NO Condenser Fans]]</f>
        <v>56</v>
      </c>
      <c r="DD27" s="781">
        <f>INDEX($B$136:$F$154,MATCH(PPH_Data_Base28[[#This Row],[STD Supply Fan Motor]],$B$136:$B$154,0),3)*PPH_Data_Base28[[#This Row],[Fan QTY]]</f>
        <v>31.756799576271195</v>
      </c>
      <c r="DE27" s="870">
        <f>INDEX($B$114:$C$131,MATCH(PPH_Data_Base28[[#This Row],[Compressor 1 HP]],$B$114:$B$131,0),2)*PPH_Data_Base28[[#This Row],[Compressor 1 QTY]]+IFERROR(INDEX($B$114:$C$131,MATCH(PPH_Data_Base28[[#This Row],[Compressor 2 HP]],$B$114:$B$131,0),2)*PPH_Data_Base28[[#This Row],[Compressor 2 QTY]],0)</f>
        <v>90</v>
      </c>
      <c r="DF27" s="870">
        <f>40*PPH_Data_Base28[[#This Row],[NO Condenser Fans]]</f>
        <v>80</v>
      </c>
      <c r="DG27" s="870">
        <f>INDEX($B$136:$F$154,MATCH(PPH_Data_Base28[[#This Row],[STD Supply Fan Motor]],$B$136:$B$154,0),5)*PPH_Data_Base28[[#This Row],[Fan QTY]]</f>
        <v>49.088431038135589</v>
      </c>
      <c r="DH27" s="781">
        <v>256.35593220338978</v>
      </c>
      <c r="DI27" s="781">
        <v>93.220338983050851</v>
      </c>
      <c r="DJ27" s="870">
        <f>INDEX($F$114:$G$124,MATCH(PPH_Data_Base28[[#This Row],[Compressor 1 HP]],$F$114:$F$124,0),2)</f>
        <v>3000</v>
      </c>
      <c r="DK27" s="870">
        <f>INDEX($F$114:$G$124,MATCH(PPH_Data_Base28[[#This Row],[Compressor 1 HP]],$F$114:$F$124,0),2)*PPH_Data_Base28[[#This Row],[Compressor 1 QTY]]+IFERROR(INDEX($F$114:$G$124,MATCH(PPH_Data_Base28[[#This Row],[Compressor 2 HP]],$F$114:$F$124,0),2)*PPH_Data_Base28[[#This Row],[Compressor 2 QTY]],0)</f>
        <v>6000</v>
      </c>
      <c r="DL27" s="870">
        <v>1780</v>
      </c>
      <c r="DM27" s="870">
        <v>564.9717514124294</v>
      </c>
      <c r="DN27" s="870">
        <v>213.62952090395484</v>
      </c>
      <c r="DO27" s="870">
        <v>2713.4650319209045</v>
      </c>
      <c r="DP27" s="870">
        <v>173.0225988700565</v>
      </c>
      <c r="DQ27" s="781">
        <f>PPH_Data_Base28[[#This Row],[NEMA 4X For Electrical Panel]]</f>
        <v>173.0225988700565</v>
      </c>
      <c r="DR27" s="870">
        <v>173.0225988700565</v>
      </c>
      <c r="DS27" s="870">
        <v>132.06214689265536</v>
      </c>
      <c r="DT27" s="870">
        <f>PPH_Data_Base28[[#This Row],[NO Condenser Fans]]*350</f>
        <v>700</v>
      </c>
      <c r="DU27" s="870" t="s">
        <v>1208</v>
      </c>
      <c r="DV27" s="870">
        <f>150*PPH_Data_Base28[[#This Row],[NO Condenser Fans]]</f>
        <v>300</v>
      </c>
      <c r="DW27" s="781">
        <v>757.4152542372882</v>
      </c>
      <c r="DX27" s="781">
        <v>250</v>
      </c>
      <c r="DY27" s="870">
        <v>700</v>
      </c>
      <c r="DZ27" s="870">
        <v>100</v>
      </c>
      <c r="EA27" s="870">
        <v>540</v>
      </c>
      <c r="EB27" s="870">
        <v>4.186805084745763</v>
      </c>
      <c r="EC27" s="870">
        <v>23.305084745762713</v>
      </c>
      <c r="ED27" s="870">
        <v>58.361196822033918</v>
      </c>
      <c r="EE27" s="870">
        <v>350</v>
      </c>
      <c r="EF27" s="870">
        <v>350</v>
      </c>
      <c r="EG27" s="870">
        <v>286</v>
      </c>
      <c r="EH27" s="870">
        <v>375</v>
      </c>
      <c r="EI27" s="870">
        <v>138</v>
      </c>
      <c r="EJ27" s="870">
        <v>81</v>
      </c>
      <c r="EK27" s="870">
        <v>33.75</v>
      </c>
      <c r="EL27" s="870">
        <v>67.5</v>
      </c>
      <c r="EM27" s="870">
        <v>337.5</v>
      </c>
      <c r="EN27" s="870">
        <v>67</v>
      </c>
      <c r="EO27" s="870">
        <v>371</v>
      </c>
      <c r="EP27" s="870">
        <v>385.53092711864412</v>
      </c>
      <c r="EQ27" s="870">
        <v>26</v>
      </c>
      <c r="ER27" s="870">
        <v>324</v>
      </c>
      <c r="ES27" s="870">
        <v>22</v>
      </c>
      <c r="ET27" s="870">
        <v>65</v>
      </c>
      <c r="EU27" s="870">
        <v>203</v>
      </c>
      <c r="EV27" s="870">
        <v>250</v>
      </c>
      <c r="EW27" s="847">
        <v>0</v>
      </c>
      <c r="EX27" s="781">
        <v>92.768903954802283</v>
      </c>
      <c r="EY27" s="781">
        <v>666.23951186440684</v>
      </c>
      <c r="EZ27" s="870">
        <v>38.418079096045197</v>
      </c>
      <c r="FA27" s="870">
        <v>40</v>
      </c>
      <c r="FB27" s="870">
        <v>40</v>
      </c>
      <c r="FC27" s="870">
        <v>22.775173728813563</v>
      </c>
      <c r="FD27" s="870">
        <v>22.775173728813563</v>
      </c>
      <c r="FE27" s="870">
        <v>39.548022598870062</v>
      </c>
      <c r="FF27" s="870">
        <v>52.259887005649723</v>
      </c>
      <c r="FG27" s="870">
        <v>300</v>
      </c>
      <c r="FH27" s="870">
        <v>414.03598433475634</v>
      </c>
      <c r="FI27" s="870">
        <v>251.4833065659428</v>
      </c>
      <c r="FJ27" s="870">
        <v>26</v>
      </c>
      <c r="FK27" s="870">
        <f>PPH_Data_Base28[[#This Row],[Differential Pressure Switch]]*2</f>
        <v>52</v>
      </c>
      <c r="FL27" s="870">
        <v>42</v>
      </c>
      <c r="FM27" s="872">
        <f>PPH_Data_Base28[[#This Row],[STD PETRA DIAL DIFF.PRESS.GAUGE NOT DWYER]]*2</f>
        <v>84</v>
      </c>
      <c r="FN27" s="872">
        <v>150</v>
      </c>
      <c r="FO27" s="872">
        <f>PPH_Data_Base28[[#This Row],[Replaceble Filter Drier ]]</f>
        <v>192.09039548022599</v>
      </c>
      <c r="FP27" s="872">
        <f>PPH_Data_Base28[[#This Row],[2" Pre-Filter]]*2</f>
        <v>128.9238663690254</v>
      </c>
      <c r="FQ27" s="872">
        <f>PPH_Data_Base28[[#This Row],[Bag Filter EU-8]]</f>
        <v>415.46178602245976</v>
      </c>
      <c r="FR27" s="872">
        <v>500</v>
      </c>
      <c r="FS27" s="872">
        <v>30</v>
      </c>
      <c r="FT27" s="176"/>
      <c r="FU27" s="176"/>
      <c r="FV27" s="176"/>
      <c r="FW27" s="176"/>
      <c r="GW27" s="176"/>
      <c r="GX27" s="176"/>
      <c r="HC27" s="176"/>
    </row>
    <row r="28" spans="1:211">
      <c r="A28" s="780" t="s">
        <v>2480</v>
      </c>
      <c r="B28" s="781" t="s">
        <v>2476</v>
      </c>
      <c r="C28" s="781" t="s">
        <v>2477</v>
      </c>
      <c r="D28" s="870" t="s">
        <v>2478</v>
      </c>
      <c r="E28" s="870" t="s">
        <v>2479</v>
      </c>
      <c r="F28" s="870" t="s">
        <v>2479</v>
      </c>
      <c r="G28" s="851">
        <v>0</v>
      </c>
      <c r="H28" s="870" t="s">
        <v>2248</v>
      </c>
      <c r="I28" s="781" t="s">
        <v>759</v>
      </c>
      <c r="J28" s="781" t="s">
        <v>1597</v>
      </c>
      <c r="K28" s="781">
        <v>1</v>
      </c>
      <c r="L28" s="781" t="s">
        <v>568</v>
      </c>
      <c r="M28" s="781">
        <v>2</v>
      </c>
      <c r="N28" s="300">
        <v>2</v>
      </c>
      <c r="O28" s="781">
        <v>61.83</v>
      </c>
      <c r="P28" s="781">
        <v>27.44</v>
      </c>
      <c r="Q28" s="781">
        <v>2</v>
      </c>
      <c r="R28" s="781">
        <v>20</v>
      </c>
      <c r="S28" s="781">
        <v>1</v>
      </c>
      <c r="T28" s="781">
        <v>15</v>
      </c>
      <c r="U28" s="781">
        <v>1</v>
      </c>
      <c r="V28" s="781">
        <v>396</v>
      </c>
      <c r="W28" s="781">
        <v>710</v>
      </c>
      <c r="X28" s="870"/>
      <c r="Y28" s="835">
        <v>0</v>
      </c>
      <c r="Z28" s="782">
        <v>13976</v>
      </c>
      <c r="AA28" s="782">
        <v>16919</v>
      </c>
      <c r="AB28" s="870">
        <v>12381</v>
      </c>
      <c r="AC28" s="834">
        <v>0</v>
      </c>
      <c r="AD28" s="781">
        <v>195.97457627118646</v>
      </c>
      <c r="AE28" s="870">
        <v>169.84463276836161</v>
      </c>
      <c r="AF28" s="870">
        <v>182.90960451977404</v>
      </c>
      <c r="AG28" s="870">
        <v>219.49152542372883</v>
      </c>
      <c r="AH28" s="781">
        <v>235.16949152542375</v>
      </c>
      <c r="AI28" s="870">
        <v>203.81355932203391</v>
      </c>
      <c r="AJ28" s="870">
        <v>219.49152542372883</v>
      </c>
      <c r="AK28" s="870">
        <v>263.38983050847457</v>
      </c>
      <c r="AL28" s="870">
        <f>PPH_Data_Base28[[#This Row],[PPH Unit Basic Price With Cu Tube]]*0.05</f>
        <v>845.95</v>
      </c>
      <c r="AM28" s="781">
        <v>212.86030215537633</v>
      </c>
      <c r="AN28" s="781">
        <v>1098.7087871478814</v>
      </c>
      <c r="AO28" s="781">
        <v>2076.559607709496</v>
      </c>
      <c r="AP28" s="781">
        <v>573.75</v>
      </c>
      <c r="AQ28" s="781">
        <v>499.50000000000006</v>
      </c>
      <c r="AR28" s="781">
        <f>3.2*242</f>
        <v>774.40000000000009</v>
      </c>
      <c r="AS28" s="781">
        <v>516.84276722470543</v>
      </c>
      <c r="AT28" s="781">
        <v>1805.7619868815627</v>
      </c>
      <c r="AU28" s="781">
        <v>64.461933184512702</v>
      </c>
      <c r="AV28" s="781">
        <v>415.46178602245976</v>
      </c>
      <c r="AW28" s="870">
        <v>3063.4</v>
      </c>
      <c r="AX28" s="870">
        <v>363</v>
      </c>
      <c r="AY28" s="870">
        <v>1666.227403601695</v>
      </c>
      <c r="AZ28" s="870">
        <v>497.91403065413147</v>
      </c>
      <c r="BA28" s="870">
        <f>12.56*30</f>
        <v>376.8</v>
      </c>
      <c r="BB28" s="870">
        <f>PPH_Data_Base28[[#This Row],[PPH Unit Basic Price With Cu Tube]]*0.1</f>
        <v>1691.9</v>
      </c>
      <c r="BC28" s="870">
        <v>195.1249411248437</v>
      </c>
      <c r="BD28" s="870">
        <v>650.41647041614567</v>
      </c>
      <c r="BE28" s="870">
        <v>216.80549013871521</v>
      </c>
      <c r="BF28" s="870">
        <v>216.80549013871521</v>
      </c>
      <c r="BG28" s="870">
        <v>216.80549013871521</v>
      </c>
      <c r="BH28" s="870">
        <f>PPH_Data_Base28[[#This Row],[PPH Unit Basic Price With Cu Tube]]*0.075</f>
        <v>1268.925</v>
      </c>
      <c r="BI28" s="870">
        <v>650.41647041614567</v>
      </c>
      <c r="BJ28" s="870">
        <v>216.80549013871521</v>
      </c>
      <c r="BK28" s="870">
        <v>216.80549013871521</v>
      </c>
      <c r="BL28" s="870">
        <v>216.80549013871521</v>
      </c>
      <c r="BM28" s="781">
        <f>PPH_Data_Base28[[#This Row],[Total Condenser Coil Area]]*Naming!$M$62*4</f>
        <v>5539.9679999999998</v>
      </c>
      <c r="BN28" s="781">
        <f>PPH_Data_Base28[[#This Row],[Total Evaporator  Coil Area]]*Naming!$M$62*4</f>
        <v>2458.6239999999998</v>
      </c>
      <c r="BO28" s="781">
        <f>PPH_Data_Base28[[#This Row],[Total Condenser Coil Area]]*Naming!$D$61*4</f>
        <v>84.088800000000006</v>
      </c>
      <c r="BP28" s="781">
        <f>PPH_Data_Base28[[#This Row],[Total Evaporator  Coil Area]]*Naming!$D$61*6</f>
        <v>55.97760000000001</v>
      </c>
      <c r="BQ28" s="781">
        <f>$G$195*PPH_Data_Base28[[#This Row],[Total Evaporator  Coil Area]]</f>
        <v>123.48</v>
      </c>
      <c r="BR28" s="781">
        <f>$G$199*PPH_Data_Base28[[#This Row],[Total Evaporator  Coil Area]]</f>
        <v>186.59200000000001</v>
      </c>
      <c r="BS28" s="781">
        <f>$E$185*PPH_Data_Base28[[#This Row],[Total Evaporator  Coil Area]]</f>
        <v>548.80000000000007</v>
      </c>
      <c r="BT28" s="781">
        <f>$E$188*PPH_Data_Base28[[#This Row],[Total Evaporator  Coil Area]]</f>
        <v>768.32</v>
      </c>
      <c r="BU28" s="781">
        <f>$G$195*PPH_Data_Base28[[#This Row],[Total Condenser Coil Area]]</f>
        <v>278.23500000000001</v>
      </c>
      <c r="BV28" s="781">
        <f>$G$199*PPH_Data_Base28[[#This Row],[Total Condenser Coil Area]]</f>
        <v>420.44399999999996</v>
      </c>
      <c r="BW28" s="781">
        <f>$E$185*PPH_Data_Base28[[#This Row],[Total Condenser Coil Area]]</f>
        <v>1236.5999999999999</v>
      </c>
      <c r="BX28" s="781">
        <f>$E$188*PPH_Data_Base28[[#This Row],[Total Condenser Coil Area]]</f>
        <v>1731.24</v>
      </c>
      <c r="BY28" s="781">
        <v>231.51080135698533</v>
      </c>
      <c r="BZ28" s="870">
        <v>143.31992532802258</v>
      </c>
      <c r="CA28" s="870">
        <v>265.67722014589827</v>
      </c>
      <c r="CB28" s="870">
        <v>175.71244718644064</v>
      </c>
      <c r="CC28" s="870">
        <v>98.870056497175142</v>
      </c>
      <c r="CD28" s="870">
        <f t="shared" si="4"/>
        <v>96.045197740112997</v>
      </c>
      <c r="CE28" s="870">
        <v>30</v>
      </c>
      <c r="CF28" s="832">
        <v>0</v>
      </c>
      <c r="CG28" s="870">
        <f>PPH_Data_Base28[[#This Row],[PPH Unit Basic Price With Cu Tube]]*0.25</f>
        <v>4229.75</v>
      </c>
      <c r="CH28" s="870">
        <f>PPH_Data_Base28[[#This Row],[DSP Unit Basic Price With Cu Tube]]*0.35</f>
        <v>4333.3499999999995</v>
      </c>
      <c r="CI28" s="781">
        <v>178.38071228813561</v>
      </c>
      <c r="CJ28" s="781">
        <v>259.54695762711867</v>
      </c>
      <c r="CK28" s="781">
        <v>37.192477542372885</v>
      </c>
      <c r="CL28" s="781">
        <v>192.09039548022599</v>
      </c>
      <c r="CM28" s="870">
        <v>43.220338983050844</v>
      </c>
      <c r="CN28" s="781">
        <v>182.4858757062147</v>
      </c>
      <c r="CO28" s="870">
        <v>0</v>
      </c>
      <c r="CP28" s="781">
        <v>199.13348347457622</v>
      </c>
      <c r="CQ28" s="870">
        <v>268.1590108757062</v>
      </c>
      <c r="CR28" s="781">
        <v>248.96402542372883</v>
      </c>
      <c r="CS28" s="870">
        <v>1283</v>
      </c>
      <c r="CT28" s="781">
        <v>865.11299435028252</v>
      </c>
      <c r="CU28" s="870">
        <v>228</v>
      </c>
      <c r="CV28" s="870">
        <v>249</v>
      </c>
      <c r="CW28" s="870">
        <f>400*1.35*PPH_Data_Base28[[#This Row],[No. of Unit  Compressors]]</f>
        <v>1080</v>
      </c>
      <c r="CX28" s="835">
        <v>0</v>
      </c>
      <c r="CY28" s="871">
        <f>47*PPH_Data_Base28[[#This Row],[No. of Unit  Compressors]]*1.35</f>
        <v>126.9</v>
      </c>
      <c r="CZ28" s="871">
        <f>30*1.35*PPH_Data_Base28[[#This Row],[NO Condenser Fans]]</f>
        <v>81</v>
      </c>
      <c r="DA28" s="781">
        <f>INDEX($B$136:$F$154,MATCH(PPH_Data_Base28[[#This Row],[STD Supply Fan Motor]],$B$136:$B$154,0),5)*PPH_Data_Base28[[#This Row],[Fan QTY]]</f>
        <v>49.088431038135589</v>
      </c>
      <c r="DB28" s="871">
        <f>47*1.35*PPH_Data_Base28[[#This Row],[No. of Unit  Compressors]]</f>
        <v>126.9</v>
      </c>
      <c r="DC28" s="871">
        <f>28*PPH_Data_Base28[[#This Row],[NO Condenser Fans]]</f>
        <v>56</v>
      </c>
      <c r="DD28" s="781">
        <f>INDEX($B$136:$F$154,MATCH(PPH_Data_Base28[[#This Row],[STD Supply Fan Motor]],$B$136:$B$154,0),3)*PPH_Data_Base28[[#This Row],[Fan QTY]]</f>
        <v>31.756799576271195</v>
      </c>
      <c r="DE28" s="870">
        <f>INDEX($B$114:$C$131,MATCH(PPH_Data_Base28[[#This Row],[Compressor 1 HP]],$B$114:$B$131,0),2)*PPH_Data_Base28[[#This Row],[Compressor 1 QTY]]+IFERROR(INDEX($B$114:$C$131,MATCH(PPH_Data_Base28[[#This Row],[Compressor 2 HP]],$B$114:$B$131,0),2)*PPH_Data_Base28[[#This Row],[Compressor 2 QTY]],0)</f>
        <v>156.43641666666667</v>
      </c>
      <c r="DF28" s="870">
        <f>40*PPH_Data_Base28[[#This Row],[NO Condenser Fans]]</f>
        <v>80</v>
      </c>
      <c r="DG28" s="870">
        <f>INDEX($B$136:$F$154,MATCH(PPH_Data_Base28[[#This Row],[STD Supply Fan Motor]],$B$136:$B$154,0),5)*PPH_Data_Base28[[#This Row],[Fan QTY]]</f>
        <v>49.088431038135589</v>
      </c>
      <c r="DH28" s="781">
        <v>256.35593220338978</v>
      </c>
      <c r="DI28" s="781">
        <v>291.31355932203388</v>
      </c>
      <c r="DJ28" s="870">
        <f>INDEX($F$114:$G$124,MATCH(PPH_Data_Base28[[#This Row],[Compressor 1 HP]],$F$114:$F$124,0),2)</f>
        <v>3200</v>
      </c>
      <c r="DK28" s="870">
        <f>INDEX($F$114:$G$124,MATCH(PPH_Data_Base28[[#This Row],[Compressor 1 HP]],$F$114:$F$124,0),2)*PPH_Data_Base28[[#This Row],[Compressor 1 QTY]]+IFERROR(INDEX($F$114:$G$124,MATCH(PPH_Data_Base28[[#This Row],[Compressor 2 HP]],$F$114:$F$124,0),2)*PPH_Data_Base28[[#This Row],[Compressor 2 QTY]],0)</f>
        <v>6200</v>
      </c>
      <c r="DL28" s="870">
        <v>1780</v>
      </c>
      <c r="DM28" s="870">
        <v>564.9717514124294</v>
      </c>
      <c r="DN28" s="870">
        <v>213.62952090395484</v>
      </c>
      <c r="DO28" s="870">
        <v>2713.4650319209045</v>
      </c>
      <c r="DP28" s="870">
        <v>173.0225988700565</v>
      </c>
      <c r="DQ28" s="781">
        <f>PPH_Data_Base28[[#This Row],[NEMA 4X For Electrical Panel]]</f>
        <v>173.0225988700565</v>
      </c>
      <c r="DR28" s="870">
        <v>173.0225988700565</v>
      </c>
      <c r="DS28" s="870">
        <v>132.06214689265536</v>
      </c>
      <c r="DT28" s="870">
        <f>PPH_Data_Base28[[#This Row],[NO Condenser Fans]]*350</f>
        <v>700</v>
      </c>
      <c r="DU28" s="870" t="s">
        <v>1208</v>
      </c>
      <c r="DV28" s="870">
        <f>150*PPH_Data_Base28[[#This Row],[NO Condenser Fans]]</f>
        <v>300</v>
      </c>
      <c r="DW28" s="781">
        <v>757.4152542372882</v>
      </c>
      <c r="DX28" s="781">
        <v>250</v>
      </c>
      <c r="DY28" s="870">
        <v>700</v>
      </c>
      <c r="DZ28" s="870">
        <v>100</v>
      </c>
      <c r="EA28" s="870">
        <v>540</v>
      </c>
      <c r="EB28" s="870">
        <v>4.186805084745763</v>
      </c>
      <c r="EC28" s="870">
        <v>34.957627118644069</v>
      </c>
      <c r="ED28" s="870">
        <v>58.361196822033918</v>
      </c>
      <c r="EE28" s="870">
        <v>350</v>
      </c>
      <c r="EF28" s="870">
        <v>350</v>
      </c>
      <c r="EG28" s="870">
        <v>286</v>
      </c>
      <c r="EH28" s="870">
        <v>375</v>
      </c>
      <c r="EI28" s="870">
        <v>138</v>
      </c>
      <c r="EJ28" s="870">
        <v>81</v>
      </c>
      <c r="EK28" s="870">
        <v>33.75</v>
      </c>
      <c r="EL28" s="870">
        <v>67.5</v>
      </c>
      <c r="EM28" s="870">
        <v>337.5</v>
      </c>
      <c r="EN28" s="870">
        <v>67</v>
      </c>
      <c r="EO28" s="870">
        <v>371</v>
      </c>
      <c r="EP28" s="870">
        <v>385.53092711864412</v>
      </c>
      <c r="EQ28" s="870">
        <v>26</v>
      </c>
      <c r="ER28" s="870">
        <v>324</v>
      </c>
      <c r="ES28" s="870">
        <v>22</v>
      </c>
      <c r="ET28" s="870">
        <v>65</v>
      </c>
      <c r="EU28" s="870">
        <v>203</v>
      </c>
      <c r="EV28" s="870">
        <v>250</v>
      </c>
      <c r="EW28" s="847">
        <v>0</v>
      </c>
      <c r="EX28" s="781">
        <v>92.768903954802283</v>
      </c>
      <c r="EY28" s="781">
        <v>666.23951186440684</v>
      </c>
      <c r="EZ28" s="870">
        <v>38.418079096045197</v>
      </c>
      <c r="FA28" s="870">
        <v>40</v>
      </c>
      <c r="FB28" s="870">
        <v>40</v>
      </c>
      <c r="FC28" s="870">
        <v>22.775173728813563</v>
      </c>
      <c r="FD28" s="870">
        <v>22.775173728813563</v>
      </c>
      <c r="FE28" s="870">
        <v>39.548022598870062</v>
      </c>
      <c r="FF28" s="870">
        <v>91.454802259887018</v>
      </c>
      <c r="FG28" s="870">
        <v>300</v>
      </c>
      <c r="FH28" s="870">
        <v>414.03598433475634</v>
      </c>
      <c r="FI28" s="870">
        <v>251.4833065659428</v>
      </c>
      <c r="FJ28" s="870">
        <v>26</v>
      </c>
      <c r="FK28" s="870">
        <f>PPH_Data_Base28[[#This Row],[Differential Pressure Switch]]*2</f>
        <v>52</v>
      </c>
      <c r="FL28" s="870">
        <v>42</v>
      </c>
      <c r="FM28" s="872">
        <f>PPH_Data_Base28[[#This Row],[STD PETRA DIAL DIFF.PRESS.GAUGE NOT DWYER]]*2</f>
        <v>84</v>
      </c>
      <c r="FN28" s="872">
        <v>150</v>
      </c>
      <c r="FO28" s="872">
        <f>PPH_Data_Base28[[#This Row],[Replaceble Filter Drier ]]</f>
        <v>192.09039548022599</v>
      </c>
      <c r="FP28" s="872">
        <f>PPH_Data_Base28[[#This Row],[2" Pre-Filter]]*2</f>
        <v>128.9238663690254</v>
      </c>
      <c r="FQ28" s="872">
        <f>PPH_Data_Base28[[#This Row],[Bag Filter EU-8]]</f>
        <v>415.46178602245976</v>
      </c>
      <c r="FR28" s="872">
        <v>500</v>
      </c>
      <c r="FS28" s="872">
        <v>30</v>
      </c>
      <c r="FT28" s="176"/>
      <c r="FU28" s="176"/>
      <c r="FV28" s="176"/>
      <c r="FW28" s="176"/>
      <c r="GW28" s="176"/>
      <c r="GX28" s="176"/>
      <c r="HC28" s="176"/>
    </row>
    <row r="29" spans="1:211">
      <c r="A29" s="780" t="s">
        <v>459</v>
      </c>
      <c r="B29" s="781" t="s">
        <v>1601</v>
      </c>
      <c r="C29" s="781" t="s">
        <v>532</v>
      </c>
      <c r="D29" s="870" t="s">
        <v>1602</v>
      </c>
      <c r="E29" s="870" t="s">
        <v>1072</v>
      </c>
      <c r="F29" s="870" t="s">
        <v>1072</v>
      </c>
      <c r="G29" s="851">
        <v>0</v>
      </c>
      <c r="H29" s="870" t="s">
        <v>2248</v>
      </c>
      <c r="I29" s="781" t="s">
        <v>764</v>
      </c>
      <c r="J29" s="781" t="s">
        <v>1597</v>
      </c>
      <c r="K29" s="781">
        <v>1</v>
      </c>
      <c r="L29" s="781" t="s">
        <v>568</v>
      </c>
      <c r="M29" s="781">
        <v>6</v>
      </c>
      <c r="N29" s="300">
        <v>2</v>
      </c>
      <c r="O29" s="781">
        <v>68.611111111111114</v>
      </c>
      <c r="P29" s="781">
        <v>31.7</v>
      </c>
      <c r="Q29" s="781">
        <v>2</v>
      </c>
      <c r="R29" s="781">
        <v>20</v>
      </c>
      <c r="S29" s="781">
        <v>2</v>
      </c>
      <c r="T29" s="781"/>
      <c r="U29" s="781"/>
      <c r="V29" s="781">
        <v>396</v>
      </c>
      <c r="W29" s="781">
        <v>710</v>
      </c>
      <c r="X29" s="870" t="s">
        <v>417</v>
      </c>
      <c r="Y29" s="835">
        <v>0</v>
      </c>
      <c r="Z29" s="782">
        <v>17086</v>
      </c>
      <c r="AA29" s="782">
        <v>20668</v>
      </c>
      <c r="AB29" s="870">
        <v>15364</v>
      </c>
      <c r="AC29" s="834">
        <v>0</v>
      </c>
      <c r="AD29" s="781">
        <v>195.97457627118646</v>
      </c>
      <c r="AE29" s="870">
        <v>169.84463276836161</v>
      </c>
      <c r="AF29" s="870">
        <v>209.03954802259889</v>
      </c>
      <c r="AG29" s="870">
        <v>250.84745762711867</v>
      </c>
      <c r="AH29" s="781">
        <v>235.16949152542375</v>
      </c>
      <c r="AI29" s="870">
        <v>203.81355932203391</v>
      </c>
      <c r="AJ29" s="870">
        <v>250.84745762711867</v>
      </c>
      <c r="AK29" s="870">
        <v>301.0169491525424</v>
      </c>
      <c r="AL29" s="870">
        <f>PPH_Data_Base28[[#This Row],[PPH Unit Basic Price With Cu Tube]]*0.05</f>
        <v>1033.4000000000001</v>
      </c>
      <c r="AM29" s="781">
        <v>462.11264621468928</v>
      </c>
      <c r="AN29" s="781">
        <v>1636.4650794491527</v>
      </c>
      <c r="AO29" s="781">
        <v>2960.9666747351703</v>
      </c>
      <c r="AP29" s="781">
        <v>573.75</v>
      </c>
      <c r="AQ29" s="781">
        <v>499.50000000000006</v>
      </c>
      <c r="AR29" s="781">
        <f>3.2*242</f>
        <v>774.40000000000009</v>
      </c>
      <c r="AS29" s="781">
        <v>694.93183200785177</v>
      </c>
      <c r="AT29" s="781">
        <v>2090.704490534597</v>
      </c>
      <c r="AU29" s="781">
        <v>96.71129632067796</v>
      </c>
      <c r="AV29" s="781">
        <v>567.62490498571196</v>
      </c>
      <c r="AW29" s="870">
        <v>3129.36</v>
      </c>
      <c r="AX29" s="870">
        <v>363</v>
      </c>
      <c r="AY29" s="870">
        <v>3397.236965466102</v>
      </c>
      <c r="AZ29" s="870">
        <v>1131.6964413003179</v>
      </c>
      <c r="BA29" s="870">
        <f>12.56*30</f>
        <v>376.8</v>
      </c>
      <c r="BB29" s="870">
        <f>PPH_Data_Base28[[#This Row],[PPH Unit Basic Price With Cu Tube]]*0.1</f>
        <v>2066.8000000000002</v>
      </c>
      <c r="BC29" s="870">
        <v>195.1249411248437</v>
      </c>
      <c r="BD29" s="870">
        <v>650.41647041614567</v>
      </c>
      <c r="BE29" s="870">
        <v>216.80549013871521</v>
      </c>
      <c r="BF29" s="870">
        <v>216.80549013871521</v>
      </c>
      <c r="BG29" s="870">
        <v>216.80549013871521</v>
      </c>
      <c r="BH29" s="870">
        <f>PPH_Data_Base28[[#This Row],[PPH Unit Basic Price With Cu Tube]]*0.075</f>
        <v>1550.1</v>
      </c>
      <c r="BI29" s="870">
        <v>650.41647041614567</v>
      </c>
      <c r="BJ29" s="870">
        <v>216.80549013871521</v>
      </c>
      <c r="BK29" s="870">
        <v>216.80549013871521</v>
      </c>
      <c r="BL29" s="870">
        <v>216.80549013871521</v>
      </c>
      <c r="BM29" s="781">
        <f>PPH_Data_Base28[[#This Row],[Total Condenser Coil Area]]*Naming!$M$62*4</f>
        <v>6147.5555555555557</v>
      </c>
      <c r="BN29" s="781">
        <f>PPH_Data_Base28[[#This Row],[Total Evaporator  Coil Area]]*Naming!$M$62*4</f>
        <v>2840.3199999999997</v>
      </c>
      <c r="BO29" s="781">
        <f>PPH_Data_Base28[[#This Row],[Total Condenser Coil Area]]*Naming!$D$61*4</f>
        <v>93.311111111111117</v>
      </c>
      <c r="BP29" s="781">
        <f>PPH_Data_Base28[[#This Row],[Total Evaporator  Coil Area]]*Naming!$D$61*6</f>
        <v>64.668000000000006</v>
      </c>
      <c r="BQ29" s="781">
        <f>$G$195*PPH_Data_Base28[[#This Row],[Total Evaporator  Coil Area]]</f>
        <v>142.65</v>
      </c>
      <c r="BR29" s="781">
        <f>$G$199*PPH_Data_Base28[[#This Row],[Total Evaporator  Coil Area]]</f>
        <v>215.56</v>
      </c>
      <c r="BS29" s="781">
        <f>$E$185*PPH_Data_Base28[[#This Row],[Total Evaporator  Coil Area]]</f>
        <v>634</v>
      </c>
      <c r="BT29" s="781">
        <f>$E$188*PPH_Data_Base28[[#This Row],[Total Evaporator  Coil Area]]</f>
        <v>887.6</v>
      </c>
      <c r="BU29" s="781">
        <f>$G$195*PPH_Data_Base28[[#This Row],[Total Condenser Coil Area]]</f>
        <v>308.75</v>
      </c>
      <c r="BV29" s="781">
        <f>$G$199*PPH_Data_Base28[[#This Row],[Total Condenser Coil Area]]</f>
        <v>466.55555555555554</v>
      </c>
      <c r="BW29" s="781">
        <f>$E$185*PPH_Data_Base28[[#This Row],[Total Condenser Coil Area]]</f>
        <v>1372.2222222222222</v>
      </c>
      <c r="BX29" s="781">
        <f>$E$188*PPH_Data_Base28[[#This Row],[Total Condenser Coil Area]]</f>
        <v>1921.1111111111113</v>
      </c>
      <c r="BY29" s="781">
        <v>231.51080135698533</v>
      </c>
      <c r="BZ29" s="870">
        <v>143.31992532802258</v>
      </c>
      <c r="CA29" s="870">
        <v>282.28204640501696</v>
      </c>
      <c r="CB29" s="870">
        <v>186.69447513559317</v>
      </c>
      <c r="CC29" s="870">
        <v>123.58757062146893</v>
      </c>
      <c r="CD29" s="870">
        <f>2*85.233103090452</f>
        <v>170.46620618090401</v>
      </c>
      <c r="CE29" s="870">
        <v>30</v>
      </c>
      <c r="CF29" s="832">
        <v>0</v>
      </c>
      <c r="CG29" s="870">
        <f>PPH_Data_Base28[[#This Row],[PPH Unit Basic Price With Cu Tube]]*0.25</f>
        <v>5167</v>
      </c>
      <c r="CH29" s="870">
        <f>PPH_Data_Base28[[#This Row],[DSP Unit Basic Price With Cu Tube]]*0.35</f>
        <v>5377.4</v>
      </c>
      <c r="CI29" s="781">
        <v>178.38071228813561</v>
      </c>
      <c r="CJ29" s="781">
        <v>259.54695762711867</v>
      </c>
      <c r="CK29" s="781">
        <v>37.192477542372885</v>
      </c>
      <c r="CL29" s="781">
        <v>192.09039548022599</v>
      </c>
      <c r="CM29" s="870">
        <v>43.220338983050844</v>
      </c>
      <c r="CN29" s="781">
        <v>182.4858757062147</v>
      </c>
      <c r="CO29" s="870">
        <v>0</v>
      </c>
      <c r="CP29" s="781">
        <v>199.13348347457622</v>
      </c>
      <c r="CQ29" s="870">
        <v>279.58057372881353</v>
      </c>
      <c r="CR29" s="781">
        <v>248.96402542372883</v>
      </c>
      <c r="CS29" s="870">
        <v>1531.1622271186443</v>
      </c>
      <c r="CT29" s="781">
        <v>865.11299435028252</v>
      </c>
      <c r="CU29" s="870">
        <v>272.22446694915254</v>
      </c>
      <c r="CV29" s="870" t="s">
        <v>1208</v>
      </c>
      <c r="CW29" s="870">
        <f>400*1.35*PPH_Data_Base28[[#This Row],[No. of Unit  Compressors]]</f>
        <v>1080</v>
      </c>
      <c r="CX29" s="835">
        <v>0</v>
      </c>
      <c r="CY29" s="871">
        <f>47*PPH_Data_Base28[[#This Row],[No. of Unit  Compressors]]*1.35</f>
        <v>126.9</v>
      </c>
      <c r="CZ29" s="871">
        <f>30*1.35*PPH_Data_Base28[[#This Row],[NO Condenser Fans]]</f>
        <v>81</v>
      </c>
      <c r="DA29" s="781">
        <f>INDEX($B$136:$F$154,MATCH(PPH_Data_Base28[[#This Row],[STD Supply Fan Motor]],$B$136:$B$154,0),5)*PPH_Data_Base28[[#This Row],[Fan QTY]]</f>
        <v>49.088431038135589</v>
      </c>
      <c r="DB29" s="871">
        <f>47*1.35*PPH_Data_Base28[[#This Row],[No. of Unit  Compressors]]</f>
        <v>126.9</v>
      </c>
      <c r="DC29" s="871">
        <f>28*PPH_Data_Base28[[#This Row],[NO Condenser Fans]]</f>
        <v>56</v>
      </c>
      <c r="DD29" s="781">
        <f>INDEX($B$136:$F$154,MATCH(PPH_Data_Base28[[#This Row],[STD Supply Fan Motor]],$B$136:$B$154,0),3)*PPH_Data_Base28[[#This Row],[Fan QTY]]</f>
        <v>31.756799576271195</v>
      </c>
      <c r="DE29" s="870">
        <f>INDEX($B$114:$C$131,MATCH(PPH_Data_Base28[[#This Row],[Compressor 1 HP]],$B$114:$B$131,0),2)*PPH_Data_Base28[[#This Row],[Compressor 1 QTY]]+IFERROR(INDEX($B$114:$C$131,MATCH(PPH_Data_Base28[[#This Row],[Compressor 2 HP]],$B$114:$B$131,0),2)*PPH_Data_Base28[[#This Row],[Compressor 2 QTY]],0)</f>
        <v>222.87283333333338</v>
      </c>
      <c r="DF29" s="870">
        <f>40*PPH_Data_Base28[[#This Row],[NO Condenser Fans]]</f>
        <v>80</v>
      </c>
      <c r="DG29" s="870">
        <f>INDEX($B$136:$F$154,MATCH(PPH_Data_Base28[[#This Row],[STD Supply Fan Motor]],$B$136:$B$154,0),5)*PPH_Data_Base28[[#This Row],[Fan QTY]]</f>
        <v>49.088431038135589</v>
      </c>
      <c r="DH29" s="781">
        <v>256.35593220338978</v>
      </c>
      <c r="DI29" s="781">
        <v>291.31355932203388</v>
      </c>
      <c r="DJ29" s="870">
        <f>INDEX($F$114:$G$124,MATCH(PPH_Data_Base28[[#This Row],[Compressor 1 HP]],$F$114:$F$124,0),2)</f>
        <v>3200</v>
      </c>
      <c r="DK29" s="870">
        <f>INDEX($F$114:$G$124,MATCH(PPH_Data_Base28[[#This Row],[Compressor 1 HP]],$F$114:$F$124,0),2)*PPH_Data_Base28[[#This Row],[Compressor 1 QTY]]+IFERROR(INDEX($F$114:$G$124,MATCH(PPH_Data_Base28[[#This Row],[Compressor 2 HP]],$F$114:$F$124,0),2)*PPH_Data_Base28[[#This Row],[Compressor 2 QTY]],0)</f>
        <v>6400</v>
      </c>
      <c r="DL29" s="870">
        <v>1780</v>
      </c>
      <c r="DM29" s="870">
        <v>564.9717514124294</v>
      </c>
      <c r="DN29" s="870">
        <v>213.62952090395484</v>
      </c>
      <c r="DO29" s="870">
        <v>2713.4650319209045</v>
      </c>
      <c r="DP29" s="870">
        <v>173.0225988700565</v>
      </c>
      <c r="DQ29" s="781">
        <f>PPH_Data_Base28[[#This Row],[NEMA 4X For Electrical Panel]]</f>
        <v>173.0225988700565</v>
      </c>
      <c r="DR29" s="870">
        <v>173.0225988700565</v>
      </c>
      <c r="DS29" s="870" t="s">
        <v>1208</v>
      </c>
      <c r="DT29" s="870">
        <f>PPH_Data_Base28[[#This Row],[NO Condenser Fans]]*350</f>
        <v>700</v>
      </c>
      <c r="DU29" s="870" t="s">
        <v>1208</v>
      </c>
      <c r="DV29" s="870">
        <f>150*PPH_Data_Base28[[#This Row],[NO Condenser Fans]]</f>
        <v>300</v>
      </c>
      <c r="DW29" s="781">
        <v>757.4152542372882</v>
      </c>
      <c r="DX29" s="781">
        <v>250</v>
      </c>
      <c r="DY29" s="870">
        <v>700</v>
      </c>
      <c r="DZ29" s="870">
        <v>100</v>
      </c>
      <c r="EA29" s="870">
        <v>540</v>
      </c>
      <c r="EB29" s="870">
        <v>4.186805084745763</v>
      </c>
      <c r="EC29" s="870">
        <v>34.957627118644069</v>
      </c>
      <c r="ED29" s="870">
        <v>58.361196822033918</v>
      </c>
      <c r="EE29" s="870">
        <v>350</v>
      </c>
      <c r="EF29" s="870">
        <v>350</v>
      </c>
      <c r="EG29" s="870">
        <v>286</v>
      </c>
      <c r="EH29" s="870">
        <v>375</v>
      </c>
      <c r="EI29" s="870">
        <v>138</v>
      </c>
      <c r="EJ29" s="870">
        <v>81</v>
      </c>
      <c r="EK29" s="870">
        <v>33.75</v>
      </c>
      <c r="EL29" s="870">
        <v>67.5</v>
      </c>
      <c r="EM29" s="870">
        <v>337.5</v>
      </c>
      <c r="EN29" s="870">
        <v>67</v>
      </c>
      <c r="EO29" s="870">
        <v>371</v>
      </c>
      <c r="EP29" s="870">
        <v>385.53092711864412</v>
      </c>
      <c r="EQ29" s="870">
        <v>26</v>
      </c>
      <c r="ER29" s="870">
        <v>324</v>
      </c>
      <c r="ES29" s="870">
        <v>22</v>
      </c>
      <c r="ET29" s="870">
        <v>65</v>
      </c>
      <c r="EU29" s="870">
        <v>203</v>
      </c>
      <c r="EV29" s="870">
        <v>250</v>
      </c>
      <c r="EW29" s="847">
        <v>0</v>
      </c>
      <c r="EX29" s="781">
        <v>92.768903954802283</v>
      </c>
      <c r="EY29" s="781">
        <v>666.23951186440684</v>
      </c>
      <c r="EZ29" s="870">
        <v>38.418079096045197</v>
      </c>
      <c r="FA29" s="870">
        <v>40</v>
      </c>
      <c r="FB29" s="870">
        <v>40</v>
      </c>
      <c r="FC29" s="870">
        <v>22.775173728813563</v>
      </c>
      <c r="FD29" s="870">
        <v>22.775173728813563</v>
      </c>
      <c r="FE29" s="870">
        <v>39.548022598870062</v>
      </c>
      <c r="FF29" s="870">
        <v>91.454802259887018</v>
      </c>
      <c r="FG29" s="870">
        <v>300</v>
      </c>
      <c r="FH29" s="870">
        <v>414.03598433475634</v>
      </c>
      <c r="FI29" s="870">
        <v>251.4833065659428</v>
      </c>
      <c r="FJ29" s="870">
        <v>26</v>
      </c>
      <c r="FK29" s="870">
        <f>PPH_Data_Base28[[#This Row],[Differential Pressure Switch]]*2</f>
        <v>52</v>
      </c>
      <c r="FL29" s="870">
        <v>42</v>
      </c>
      <c r="FM29" s="872">
        <f>PPH_Data_Base28[[#This Row],[STD PETRA DIAL DIFF.PRESS.GAUGE NOT DWYER]]*2</f>
        <v>84</v>
      </c>
      <c r="FN29" s="872">
        <v>150</v>
      </c>
      <c r="FO29" s="872">
        <f>PPH_Data_Base28[[#This Row],[Replaceble Filter Drier ]]</f>
        <v>192.09039548022599</v>
      </c>
      <c r="FP29" s="872">
        <f>PPH_Data_Base28[[#This Row],[2" Pre-Filter]]*2</f>
        <v>193.42259264135592</v>
      </c>
      <c r="FQ29" s="872">
        <f>PPH_Data_Base28[[#This Row],[Bag Filter EU-8]]</f>
        <v>567.62490498571196</v>
      </c>
      <c r="FR29" s="872">
        <v>500</v>
      </c>
      <c r="FS29" s="872">
        <v>30</v>
      </c>
      <c r="FT29" s="176"/>
      <c r="FU29" s="176"/>
      <c r="FV29" s="176"/>
      <c r="FW29" s="176"/>
      <c r="GW29" s="176"/>
      <c r="GX29" s="176"/>
      <c r="HC29" s="176"/>
    </row>
    <row r="30" spans="1:211">
      <c r="A30" s="780" t="s">
        <v>546</v>
      </c>
      <c r="B30" s="781" t="s">
        <v>1605</v>
      </c>
      <c r="C30" s="781" t="s">
        <v>533</v>
      </c>
      <c r="D30" s="870" t="s">
        <v>1607</v>
      </c>
      <c r="E30" s="870" t="s">
        <v>1606</v>
      </c>
      <c r="F30" s="870" t="s">
        <v>1606</v>
      </c>
      <c r="G30" s="851">
        <v>0</v>
      </c>
      <c r="H30" s="870" t="s">
        <v>2248</v>
      </c>
      <c r="I30" s="781" t="s">
        <v>1603</v>
      </c>
      <c r="J30" s="781" t="s">
        <v>1604</v>
      </c>
      <c r="K30" s="781">
        <v>1</v>
      </c>
      <c r="L30" s="781" t="s">
        <v>568</v>
      </c>
      <c r="M30" s="781">
        <v>6</v>
      </c>
      <c r="N30" s="300">
        <v>2</v>
      </c>
      <c r="O30" s="781">
        <v>68.611111111111114</v>
      </c>
      <c r="P30" s="781">
        <v>31.7</v>
      </c>
      <c r="Q30" s="781">
        <v>2</v>
      </c>
      <c r="R30" s="781">
        <v>25</v>
      </c>
      <c r="S30" s="781">
        <v>2</v>
      </c>
      <c r="T30" s="781"/>
      <c r="U30" s="781"/>
      <c r="V30" s="781">
        <v>1066</v>
      </c>
      <c r="W30" s="781">
        <v>883</v>
      </c>
      <c r="X30" s="870"/>
      <c r="Y30" s="835">
        <v>0</v>
      </c>
      <c r="Z30" s="782">
        <v>17728</v>
      </c>
      <c r="AA30" s="782">
        <v>22173</v>
      </c>
      <c r="AB30" s="870">
        <v>16351</v>
      </c>
      <c r="AC30" s="834">
        <v>0</v>
      </c>
      <c r="AD30" s="781">
        <v>195.97457627118646</v>
      </c>
      <c r="AE30" s="870">
        <v>169.84463276836161</v>
      </c>
      <c r="AF30" s="870">
        <v>209.03954802259889</v>
      </c>
      <c r="AG30" s="870">
        <v>250.84745762711867</v>
      </c>
      <c r="AH30" s="781">
        <v>235.16949152542375</v>
      </c>
      <c r="AI30" s="870">
        <v>203.81355932203391</v>
      </c>
      <c r="AJ30" s="870">
        <v>250.84745762711867</v>
      </c>
      <c r="AK30" s="870">
        <v>301.0169491525424</v>
      </c>
      <c r="AL30" s="870">
        <f>PPH_Data_Base28[[#This Row],[PPH Unit Basic Price With Cu Tube]]*0.05</f>
        <v>1108.6500000000001</v>
      </c>
      <c r="AM30" s="781">
        <v>462.11264621468928</v>
      </c>
      <c r="AN30" s="781">
        <v>1636.4650794491527</v>
      </c>
      <c r="AO30" s="781">
        <v>2960.9666747351703</v>
      </c>
      <c r="AP30" s="781">
        <v>850.5</v>
      </c>
      <c r="AQ30" s="781">
        <v>607.5</v>
      </c>
      <c r="AR30" s="781">
        <f>3.2*242</f>
        <v>774.40000000000009</v>
      </c>
      <c r="AS30" s="781">
        <v>694.93183200785177</v>
      </c>
      <c r="AT30" s="781">
        <v>2090.704490534597</v>
      </c>
      <c r="AU30" s="781">
        <v>96.71129632067796</v>
      </c>
      <c r="AV30" s="781">
        <v>567.62490498571196</v>
      </c>
      <c r="AW30" s="870">
        <v>3129.36</v>
      </c>
      <c r="AX30" s="870">
        <v>363</v>
      </c>
      <c r="AY30" s="870">
        <v>3397.236965466102</v>
      </c>
      <c r="AZ30" s="870">
        <v>1131.6964413003179</v>
      </c>
      <c r="BA30" s="870">
        <f>12.56*30</f>
        <v>376.8</v>
      </c>
      <c r="BB30" s="870">
        <f>PPH_Data_Base28[[#This Row],[PPH Unit Basic Price With Cu Tube]]*0.1</f>
        <v>2217.3000000000002</v>
      </c>
      <c r="BC30" s="870">
        <v>214.057880870037</v>
      </c>
      <c r="BD30" s="870">
        <v>713.52626956679001</v>
      </c>
      <c r="BE30" s="870">
        <v>237.84208985559667</v>
      </c>
      <c r="BF30" s="870">
        <v>237.84208985559667</v>
      </c>
      <c r="BG30" s="870">
        <v>237.84208985559667</v>
      </c>
      <c r="BH30" s="870">
        <f>PPH_Data_Base28[[#This Row],[PPH Unit Basic Price With Cu Tube]]*0.075</f>
        <v>1662.9749999999999</v>
      </c>
      <c r="BI30" s="870">
        <v>713.52626956679001</v>
      </c>
      <c r="BJ30" s="870">
        <v>237.84208985559667</v>
      </c>
      <c r="BK30" s="870">
        <v>237.84208985559667</v>
      </c>
      <c r="BL30" s="870">
        <v>237.84208985559667</v>
      </c>
      <c r="BM30" s="781">
        <f>PPH_Data_Base28[[#This Row],[Total Condenser Coil Area]]*Naming!$M$62*4</f>
        <v>6147.5555555555557</v>
      </c>
      <c r="BN30" s="781">
        <f>PPH_Data_Base28[[#This Row],[Total Evaporator  Coil Area]]*Naming!$M$62*4</f>
        <v>2840.3199999999997</v>
      </c>
      <c r="BO30" s="781">
        <f>PPH_Data_Base28[[#This Row],[Total Condenser Coil Area]]*Naming!$D$61*4</f>
        <v>93.311111111111117</v>
      </c>
      <c r="BP30" s="781">
        <f>PPH_Data_Base28[[#This Row],[Total Evaporator  Coil Area]]*Naming!$D$61*6</f>
        <v>64.668000000000006</v>
      </c>
      <c r="BQ30" s="781">
        <f>$G$195*PPH_Data_Base28[[#This Row],[Total Evaporator  Coil Area]]</f>
        <v>142.65</v>
      </c>
      <c r="BR30" s="781">
        <f>$G$199*PPH_Data_Base28[[#This Row],[Total Evaporator  Coil Area]]</f>
        <v>215.56</v>
      </c>
      <c r="BS30" s="781">
        <f>$E$185*PPH_Data_Base28[[#This Row],[Total Evaporator  Coil Area]]</f>
        <v>634</v>
      </c>
      <c r="BT30" s="781">
        <f>$E$188*PPH_Data_Base28[[#This Row],[Total Evaporator  Coil Area]]</f>
        <v>887.6</v>
      </c>
      <c r="BU30" s="781">
        <f>$G$195*PPH_Data_Base28[[#This Row],[Total Condenser Coil Area]]</f>
        <v>308.75</v>
      </c>
      <c r="BV30" s="781">
        <f>$G$199*PPH_Data_Base28[[#This Row],[Total Condenser Coil Area]]</f>
        <v>466.55555555555554</v>
      </c>
      <c r="BW30" s="781">
        <f>$E$185*PPH_Data_Base28[[#This Row],[Total Condenser Coil Area]]</f>
        <v>1372.2222222222222</v>
      </c>
      <c r="BX30" s="781">
        <f>$E$188*PPH_Data_Base28[[#This Row],[Total Condenser Coil Area]]</f>
        <v>1921.1111111111113</v>
      </c>
      <c r="BY30" s="781">
        <v>231.51080135698533</v>
      </c>
      <c r="BZ30" s="870">
        <v>143.31992532802258</v>
      </c>
      <c r="CA30" s="870">
        <v>282.28204640501696</v>
      </c>
      <c r="CB30" s="870">
        <v>186.69447513559317</v>
      </c>
      <c r="CC30" s="870">
        <v>123.58757062146893</v>
      </c>
      <c r="CD30" s="870">
        <f t="shared" ref="CD30:CD42" si="6">2*85.233103090452</f>
        <v>170.46620618090401</v>
      </c>
      <c r="CE30" s="870">
        <v>30</v>
      </c>
      <c r="CF30" s="832">
        <v>0</v>
      </c>
      <c r="CG30" s="870">
        <f>PPH_Data_Base28[[#This Row],[PPH Unit Basic Price With Cu Tube]]*0.25</f>
        <v>5543.25</v>
      </c>
      <c r="CH30" s="870">
        <f>PPH_Data_Base28[[#This Row],[DSP Unit Basic Price With Cu Tube]]*0.35</f>
        <v>5722.8499999999995</v>
      </c>
      <c r="CI30" s="781">
        <v>178.38071228813561</v>
      </c>
      <c r="CJ30" s="781">
        <v>259.54695762711867</v>
      </c>
      <c r="CK30" s="781">
        <v>37.192477542372885</v>
      </c>
      <c r="CL30" s="781">
        <v>192.09039548022599</v>
      </c>
      <c r="CM30" s="870">
        <v>43.220338983050844</v>
      </c>
      <c r="CN30" s="781">
        <v>254.51977401129943</v>
      </c>
      <c r="CO30" s="870">
        <v>0</v>
      </c>
      <c r="CP30" s="781">
        <v>237.59286200564972</v>
      </c>
      <c r="CQ30" s="870">
        <v>279.58057372881353</v>
      </c>
      <c r="CR30" s="781">
        <v>456.61870677966101</v>
      </c>
      <c r="CS30" s="870">
        <v>1616.4929745762713</v>
      </c>
      <c r="CT30" s="781">
        <v>865.11299435028252</v>
      </c>
      <c r="CU30" s="870">
        <v>272.22446694915254</v>
      </c>
      <c r="CV30" s="870" t="s">
        <v>1208</v>
      </c>
      <c r="CW30" s="870">
        <f>400*1.35*PPH_Data_Base28[[#This Row],[No. of Unit  Compressors]]</f>
        <v>1080</v>
      </c>
      <c r="CX30" s="835">
        <v>0</v>
      </c>
      <c r="CY30" s="871">
        <f>47*PPH_Data_Base28[[#This Row],[No. of Unit  Compressors]]*1.35</f>
        <v>126.9</v>
      </c>
      <c r="CZ30" s="871">
        <f>30*1.35*PPH_Data_Base28[[#This Row],[NO Condenser Fans]]</f>
        <v>81</v>
      </c>
      <c r="DA30" s="781">
        <f>INDEX($B$136:$F$154,MATCH(PPH_Data_Base28[[#This Row],[STD Supply Fan Motor]],$B$136:$B$154,0),5)*PPH_Data_Base28[[#This Row],[Fan QTY]]</f>
        <v>48.428298587570623</v>
      </c>
      <c r="DB30" s="871">
        <f>47*1.35*PPH_Data_Base28[[#This Row],[No. of Unit  Compressors]]</f>
        <v>126.9</v>
      </c>
      <c r="DC30" s="871">
        <f>28*PPH_Data_Base28[[#This Row],[NO Condenser Fans]]</f>
        <v>56</v>
      </c>
      <c r="DD30" s="781">
        <f>INDEX($B$136:$F$154,MATCH(PPH_Data_Base28[[#This Row],[STD Supply Fan Motor]],$B$136:$B$154,0),3)*PPH_Data_Base28[[#This Row],[Fan QTY]]</f>
        <v>31.842349435028254</v>
      </c>
      <c r="DE30" s="870">
        <f>INDEX($B$114:$C$131,MATCH(PPH_Data_Base28[[#This Row],[Compressor 1 HP]],$B$114:$B$131,0),2)*PPH_Data_Base28[[#This Row],[Compressor 1 QTY]]+IFERROR(INDEX($B$114:$C$131,MATCH(PPH_Data_Base28[[#This Row],[Compressor 2 HP]],$B$114:$B$131,0),2)*PPH_Data_Base28[[#This Row],[Compressor 2 QTY]],0)</f>
        <v>222.87283333333338</v>
      </c>
      <c r="DF30" s="870">
        <f>40*PPH_Data_Base28[[#This Row],[NO Condenser Fans]]</f>
        <v>80</v>
      </c>
      <c r="DG30" s="870">
        <f>INDEX($B$136:$F$154,MATCH(PPH_Data_Base28[[#This Row],[STD Supply Fan Motor]],$B$136:$B$154,0),5)*PPH_Data_Base28[[#This Row],[Fan QTY]]</f>
        <v>48.428298587570623</v>
      </c>
      <c r="DH30" s="781">
        <v>932.20338983050851</v>
      </c>
      <c r="DI30" s="781">
        <v>291.31355932203388</v>
      </c>
      <c r="DJ30" s="870">
        <f>INDEX($F$114:$G$124,MATCH(PPH_Data_Base28[[#This Row],[Compressor 1 HP]],$F$114:$F$124,0),2)</f>
        <v>3800</v>
      </c>
      <c r="DK30" s="870">
        <f>INDEX($F$114:$G$124,MATCH(PPH_Data_Base28[[#This Row],[Compressor 1 HP]],$F$114:$F$124,0),2)*PPH_Data_Base28[[#This Row],[Compressor 1 QTY]]+IFERROR(INDEX($F$114:$G$124,MATCH(PPH_Data_Base28[[#This Row],[Compressor 2 HP]],$F$114:$F$124,0),2)*PPH_Data_Base28[[#This Row],[Compressor 2 QTY]],0)</f>
        <v>7600</v>
      </c>
      <c r="DL30" s="870">
        <v>2173</v>
      </c>
      <c r="DM30" s="870">
        <v>564.9717514124294</v>
      </c>
      <c r="DN30" s="870">
        <v>213.62952090395484</v>
      </c>
      <c r="DO30" s="870">
        <v>2713.4650319209045</v>
      </c>
      <c r="DP30" s="870">
        <v>173.0225988700565</v>
      </c>
      <c r="DQ30" s="781">
        <f>PPH_Data_Base28[[#This Row],[NEMA 4X For Electrical Panel]]</f>
        <v>173.0225988700565</v>
      </c>
      <c r="DR30" s="870">
        <v>173.0225988700565</v>
      </c>
      <c r="DS30" s="870" t="s">
        <v>1208</v>
      </c>
      <c r="DT30" s="870">
        <f>PPH_Data_Base28[[#This Row],[NO Condenser Fans]]*350</f>
        <v>700</v>
      </c>
      <c r="DU30" s="870" t="s">
        <v>1208</v>
      </c>
      <c r="DV30" s="870">
        <f>150*PPH_Data_Base28[[#This Row],[NO Condenser Fans]]</f>
        <v>300</v>
      </c>
      <c r="DW30" s="781">
        <v>757.4152542372882</v>
      </c>
      <c r="DX30" s="781">
        <v>250</v>
      </c>
      <c r="DY30" s="870">
        <v>700</v>
      </c>
      <c r="DZ30" s="870">
        <v>100</v>
      </c>
      <c r="EA30" s="870">
        <v>540</v>
      </c>
      <c r="EB30" s="870">
        <v>4.186805084745763</v>
      </c>
      <c r="EC30" s="870">
        <v>34.957627118644069</v>
      </c>
      <c r="ED30" s="870">
        <v>58.361196822033918</v>
      </c>
      <c r="EE30" s="870">
        <v>350</v>
      </c>
      <c r="EF30" s="870">
        <v>350</v>
      </c>
      <c r="EG30" s="870">
        <v>286</v>
      </c>
      <c r="EH30" s="870">
        <v>375</v>
      </c>
      <c r="EI30" s="870">
        <v>138</v>
      </c>
      <c r="EJ30" s="870">
        <v>81</v>
      </c>
      <c r="EK30" s="870">
        <v>33.75</v>
      </c>
      <c r="EL30" s="870">
        <v>67.5</v>
      </c>
      <c r="EM30" s="870">
        <v>337.5</v>
      </c>
      <c r="EN30" s="870">
        <v>67</v>
      </c>
      <c r="EO30" s="870">
        <v>371</v>
      </c>
      <c r="EP30" s="870">
        <v>385.53092711864412</v>
      </c>
      <c r="EQ30" s="870">
        <v>26</v>
      </c>
      <c r="ER30" s="870">
        <v>324</v>
      </c>
      <c r="ES30" s="870">
        <v>22</v>
      </c>
      <c r="ET30" s="870">
        <v>65</v>
      </c>
      <c r="EU30" s="870">
        <v>203</v>
      </c>
      <c r="EV30" s="870">
        <v>250</v>
      </c>
      <c r="EW30" s="847">
        <v>0</v>
      </c>
      <c r="EX30" s="781">
        <v>92.768903954802283</v>
      </c>
      <c r="EY30" s="781">
        <v>666.23951186440684</v>
      </c>
      <c r="EZ30" s="870">
        <v>38.418079096045197</v>
      </c>
      <c r="FA30" s="870">
        <v>40</v>
      </c>
      <c r="FB30" s="870">
        <v>40</v>
      </c>
      <c r="FC30" s="870">
        <v>22.775173728813563</v>
      </c>
      <c r="FD30" s="870">
        <v>22.775173728813563</v>
      </c>
      <c r="FE30" s="870">
        <v>39.548022598870062</v>
      </c>
      <c r="FF30" s="870">
        <v>91.454802259887018</v>
      </c>
      <c r="FG30" s="870">
        <v>400</v>
      </c>
      <c r="FH30" s="870">
        <v>414.03598433475634</v>
      </c>
      <c r="FI30" s="870">
        <v>251.4833065659428</v>
      </c>
      <c r="FJ30" s="870">
        <v>26</v>
      </c>
      <c r="FK30" s="870">
        <f>PPH_Data_Base28[[#This Row],[Differential Pressure Switch]]*2</f>
        <v>52</v>
      </c>
      <c r="FL30" s="870">
        <v>42</v>
      </c>
      <c r="FM30" s="872">
        <f>PPH_Data_Base28[[#This Row],[STD PETRA DIAL DIFF.PRESS.GAUGE NOT DWYER]]*2</f>
        <v>84</v>
      </c>
      <c r="FN30" s="872">
        <v>150</v>
      </c>
      <c r="FO30" s="872">
        <f>PPH_Data_Base28[[#This Row],[Replaceble Filter Drier ]]</f>
        <v>192.09039548022599</v>
      </c>
      <c r="FP30" s="872">
        <f>PPH_Data_Base28[[#This Row],[2" Pre-Filter]]*2</f>
        <v>193.42259264135592</v>
      </c>
      <c r="FQ30" s="872">
        <f>PPH_Data_Base28[[#This Row],[Bag Filter EU-8]]</f>
        <v>567.62490498571196</v>
      </c>
      <c r="FR30" s="872">
        <v>500</v>
      </c>
      <c r="FS30" s="872">
        <v>30</v>
      </c>
      <c r="FT30" s="176"/>
      <c r="FU30" s="176"/>
      <c r="FV30" s="176"/>
      <c r="FW30" s="176"/>
      <c r="GW30" s="176"/>
      <c r="GX30" s="176"/>
      <c r="HC30" s="176"/>
    </row>
    <row r="31" spans="1:211">
      <c r="A31" s="780" t="s">
        <v>460</v>
      </c>
      <c r="B31" s="781" t="s">
        <v>1609</v>
      </c>
      <c r="C31" s="781" t="s">
        <v>534</v>
      </c>
      <c r="D31" s="870" t="s">
        <v>1611</v>
      </c>
      <c r="E31" s="870" t="s">
        <v>1610</v>
      </c>
      <c r="F31" s="870" t="s">
        <v>1610</v>
      </c>
      <c r="G31" s="851">
        <v>0</v>
      </c>
      <c r="H31" s="870" t="s">
        <v>2248</v>
      </c>
      <c r="I31" s="781" t="s">
        <v>1603</v>
      </c>
      <c r="J31" s="781" t="s">
        <v>1608</v>
      </c>
      <c r="K31" s="781">
        <v>1</v>
      </c>
      <c r="L31" s="781" t="s">
        <v>568</v>
      </c>
      <c r="M31" s="781">
        <v>6</v>
      </c>
      <c r="N31" s="300">
        <v>2</v>
      </c>
      <c r="O31" s="781">
        <v>68.611111111111114</v>
      </c>
      <c r="P31" s="781">
        <v>31.7</v>
      </c>
      <c r="Q31" s="781">
        <v>2</v>
      </c>
      <c r="R31" s="781">
        <v>30</v>
      </c>
      <c r="S31" s="781">
        <v>2</v>
      </c>
      <c r="T31" s="781"/>
      <c r="U31" s="781"/>
      <c r="V31" s="781">
        <v>1066</v>
      </c>
      <c r="W31" s="781">
        <v>1304</v>
      </c>
      <c r="X31" s="870" t="s">
        <v>418</v>
      </c>
      <c r="Y31" s="835">
        <v>0</v>
      </c>
      <c r="Z31" s="782">
        <v>20254</v>
      </c>
      <c r="AA31" s="782">
        <v>24762</v>
      </c>
      <c r="AB31" s="870">
        <v>17292</v>
      </c>
      <c r="AC31" s="834">
        <v>0</v>
      </c>
      <c r="AD31" s="781">
        <v>195.97457627118646</v>
      </c>
      <c r="AE31" s="870">
        <v>169.84463276836161</v>
      </c>
      <c r="AF31" s="870">
        <v>209.03954802259889</v>
      </c>
      <c r="AG31" s="870">
        <v>250.84745762711867</v>
      </c>
      <c r="AH31" s="781">
        <v>235.16949152542375</v>
      </c>
      <c r="AI31" s="870">
        <v>203.81355932203391</v>
      </c>
      <c r="AJ31" s="870">
        <v>250.84745762711867</v>
      </c>
      <c r="AK31" s="870">
        <v>301.0169491525424</v>
      </c>
      <c r="AL31" s="870">
        <f>PPH_Data_Base28[[#This Row],[PPH Unit Basic Price With Cu Tube]]*0.05</f>
        <v>1238.1000000000001</v>
      </c>
      <c r="AM31" s="781">
        <v>462.11264621468928</v>
      </c>
      <c r="AN31" s="781">
        <v>1636.4650794491527</v>
      </c>
      <c r="AO31" s="781">
        <v>2960.9666747351703</v>
      </c>
      <c r="AP31" s="781">
        <v>850.5</v>
      </c>
      <c r="AQ31" s="781">
        <v>607.5</v>
      </c>
      <c r="AR31" s="781">
        <f>3.2*242</f>
        <v>774.40000000000009</v>
      </c>
      <c r="AS31" s="781">
        <v>694.93183200785177</v>
      </c>
      <c r="AT31" s="781">
        <v>2090.704490534597</v>
      </c>
      <c r="AU31" s="781">
        <v>96.71129632067796</v>
      </c>
      <c r="AV31" s="781">
        <v>567.62490498571196</v>
      </c>
      <c r="AW31" s="870">
        <v>3575.44</v>
      </c>
      <c r="AX31" s="870">
        <v>363</v>
      </c>
      <c r="AY31" s="870">
        <v>3397.236965466102</v>
      </c>
      <c r="AZ31" s="870">
        <v>1131.6964413003179</v>
      </c>
      <c r="BA31" s="870">
        <f>12.56*30</f>
        <v>376.8</v>
      </c>
      <c r="BB31" s="870">
        <f>PPH_Data_Base28[[#This Row],[PPH Unit Basic Price With Cu Tube]]*0.1</f>
        <v>2476.2000000000003</v>
      </c>
      <c r="BC31" s="870">
        <v>239.55758708151154</v>
      </c>
      <c r="BD31" s="870">
        <v>798.52529027170522</v>
      </c>
      <c r="BE31" s="870">
        <v>266.17509675723505</v>
      </c>
      <c r="BF31" s="870">
        <v>266.17509675723505</v>
      </c>
      <c r="BG31" s="870">
        <v>266.17509675723505</v>
      </c>
      <c r="BH31" s="870">
        <f>PPH_Data_Base28[[#This Row],[PPH Unit Basic Price With Cu Tube]]*0.075</f>
        <v>1857.1499999999999</v>
      </c>
      <c r="BI31" s="870">
        <v>798.52529027170522</v>
      </c>
      <c r="BJ31" s="870">
        <v>266.17509675723505</v>
      </c>
      <c r="BK31" s="870">
        <v>266.17509675723505</v>
      </c>
      <c r="BL31" s="870">
        <v>266.17509675723505</v>
      </c>
      <c r="BM31" s="781">
        <f>PPH_Data_Base28[[#This Row],[Total Condenser Coil Area]]*Naming!$M$62*4</f>
        <v>6147.5555555555557</v>
      </c>
      <c r="BN31" s="781">
        <f>PPH_Data_Base28[[#This Row],[Total Evaporator  Coil Area]]*Naming!$M$62*4</f>
        <v>2840.3199999999997</v>
      </c>
      <c r="BO31" s="781">
        <f>PPH_Data_Base28[[#This Row],[Total Condenser Coil Area]]*Naming!$D$61*4</f>
        <v>93.311111111111117</v>
      </c>
      <c r="BP31" s="781">
        <f>PPH_Data_Base28[[#This Row],[Total Evaporator  Coil Area]]*Naming!$D$61*6</f>
        <v>64.668000000000006</v>
      </c>
      <c r="BQ31" s="781">
        <f>$G$195*PPH_Data_Base28[[#This Row],[Total Evaporator  Coil Area]]</f>
        <v>142.65</v>
      </c>
      <c r="BR31" s="781">
        <f>$G$199*PPH_Data_Base28[[#This Row],[Total Evaporator  Coil Area]]</f>
        <v>215.56</v>
      </c>
      <c r="BS31" s="781">
        <f>$E$185*PPH_Data_Base28[[#This Row],[Total Evaporator  Coil Area]]</f>
        <v>634</v>
      </c>
      <c r="BT31" s="781">
        <f>$E$188*PPH_Data_Base28[[#This Row],[Total Evaporator  Coil Area]]</f>
        <v>887.6</v>
      </c>
      <c r="BU31" s="781">
        <f>$G$195*PPH_Data_Base28[[#This Row],[Total Condenser Coil Area]]</f>
        <v>308.75</v>
      </c>
      <c r="BV31" s="781">
        <f>$G$199*PPH_Data_Base28[[#This Row],[Total Condenser Coil Area]]</f>
        <v>466.55555555555554</v>
      </c>
      <c r="BW31" s="781">
        <f>$E$185*PPH_Data_Base28[[#This Row],[Total Condenser Coil Area]]</f>
        <v>1372.2222222222222</v>
      </c>
      <c r="BX31" s="781">
        <f>$E$188*PPH_Data_Base28[[#This Row],[Total Condenser Coil Area]]</f>
        <v>1921.1111111111113</v>
      </c>
      <c r="BY31" s="781">
        <v>231.51080135698533</v>
      </c>
      <c r="BZ31" s="870">
        <v>143.31992532802258</v>
      </c>
      <c r="CA31" s="870">
        <v>423.42306960752546</v>
      </c>
      <c r="CB31" s="870">
        <v>280.04171270338981</v>
      </c>
      <c r="CC31" s="870">
        <v>123.58757062146893</v>
      </c>
      <c r="CD31" s="870">
        <f t="shared" si="6"/>
        <v>170.46620618090401</v>
      </c>
      <c r="CE31" s="870">
        <v>30</v>
      </c>
      <c r="CF31" s="832">
        <v>0</v>
      </c>
      <c r="CG31" s="870">
        <f>PPH_Data_Base28[[#This Row],[PPH Unit Basic Price With Cu Tube]]*0.25</f>
        <v>6190.5</v>
      </c>
      <c r="CH31" s="870">
        <f>PPH_Data_Base28[[#This Row],[DSP Unit Basic Price With Cu Tube]]*0.35</f>
        <v>6052.2</v>
      </c>
      <c r="CI31" s="781">
        <v>178.38071228813561</v>
      </c>
      <c r="CJ31" s="781">
        <v>259.54695762711867</v>
      </c>
      <c r="CK31" s="781">
        <v>37.192477542372885</v>
      </c>
      <c r="CL31" s="781">
        <v>192.09039548022599</v>
      </c>
      <c r="CM31" s="870">
        <v>43.220338983050844</v>
      </c>
      <c r="CN31" s="781">
        <v>254.51977401129943</v>
      </c>
      <c r="CO31" s="870">
        <v>0</v>
      </c>
      <c r="CP31" s="781">
        <v>619.50122838983054</v>
      </c>
      <c r="CQ31" s="870">
        <v>279.58057372881353</v>
      </c>
      <c r="CR31" s="781">
        <v>456.61870677966101</v>
      </c>
      <c r="CS31" s="870">
        <v>2276.1427411016957</v>
      </c>
      <c r="CT31" s="781">
        <v>865.11299435028252</v>
      </c>
      <c r="CU31" s="870">
        <v>272.22446694915254</v>
      </c>
      <c r="CV31" s="870" t="s">
        <v>1208</v>
      </c>
      <c r="CW31" s="870">
        <f>400*1.35*PPH_Data_Base28[[#This Row],[No. of Unit  Compressors]]</f>
        <v>1080</v>
      </c>
      <c r="CX31" s="835">
        <v>0</v>
      </c>
      <c r="CY31" s="871">
        <f>47*PPH_Data_Base28[[#This Row],[No. of Unit  Compressors]]*1.35</f>
        <v>126.9</v>
      </c>
      <c r="CZ31" s="871">
        <f>30*1.35*PPH_Data_Base28[[#This Row],[NO Condenser Fans]]</f>
        <v>81</v>
      </c>
      <c r="DA31" s="781">
        <f>INDEX($B$136:$F$154,MATCH(PPH_Data_Base28[[#This Row],[STD Supply Fan Motor]],$B$136:$B$154,0),5)*PPH_Data_Base28[[#This Row],[Fan QTY]]</f>
        <v>53.871794632768371</v>
      </c>
      <c r="DB31" s="871">
        <f>47*1.35*PPH_Data_Base28[[#This Row],[No. of Unit  Compressors]]</f>
        <v>126.9</v>
      </c>
      <c r="DC31" s="871">
        <f>28*PPH_Data_Base28[[#This Row],[NO Condenser Fans]]</f>
        <v>56</v>
      </c>
      <c r="DD31" s="781">
        <f>INDEX($B$136:$F$154,MATCH(PPH_Data_Base28[[#This Row],[STD Supply Fan Motor]],$B$136:$B$154,0),3)*PPH_Data_Base28[[#This Row],[Fan QTY]]</f>
        <v>34.411195903954805</v>
      </c>
      <c r="DE31" s="870">
        <f>INDEX($B$114:$C$131,MATCH(PPH_Data_Base28[[#This Row],[Compressor 1 HP]],$B$114:$B$131,0),2)*PPH_Data_Base28[[#This Row],[Compressor 1 QTY]]+IFERROR(INDEX($B$114:$C$131,MATCH(PPH_Data_Base28[[#This Row],[Compressor 2 HP]],$B$114:$B$131,0),2)*PPH_Data_Base28[[#This Row],[Compressor 2 QTY]],0)</f>
        <v>222.87283333333338</v>
      </c>
      <c r="DF31" s="870">
        <f>40*PPH_Data_Base28[[#This Row],[NO Condenser Fans]]</f>
        <v>80</v>
      </c>
      <c r="DG31" s="870">
        <f>INDEX($B$136:$F$154,MATCH(PPH_Data_Base28[[#This Row],[STD Supply Fan Motor]],$B$136:$B$154,0),5)*PPH_Data_Base28[[#This Row],[Fan QTY]]</f>
        <v>53.871794632768371</v>
      </c>
      <c r="DH31" s="781">
        <v>932.20338983050851</v>
      </c>
      <c r="DI31" s="781">
        <v>349.57627118644069</v>
      </c>
      <c r="DJ31" s="870" t="str">
        <f>INDEX($F$114:$G$124,MATCH(PPH_Data_Base28[[#This Row],[Compressor 1 HP]],$F$114:$F$124,0),2)</f>
        <v>N/A</v>
      </c>
      <c r="DK31" s="870" t="e">
        <f>INDEX($F$114:$G$124,MATCH(PPH_Data_Base28[[#This Row],[Compressor 1 HP]],$F$114:$F$124,0),2)*PPH_Data_Base28[[#This Row],[Compressor 1 QTY]]+IFERROR(INDEX($F$114:$G$124,MATCH(PPH_Data_Base28[[#This Row],[Compressor 2 HP]],$F$114:$F$124,0),2)*PPH_Data_Base28[[#This Row],[Compressor 2 QTY]],0)</f>
        <v>#VALUE!</v>
      </c>
      <c r="DL31" s="870">
        <v>2460</v>
      </c>
      <c r="DM31" s="870">
        <v>564.9717514124294</v>
      </c>
      <c r="DN31" s="870">
        <v>213.62952090395484</v>
      </c>
      <c r="DO31" s="870">
        <v>2713.4650319209045</v>
      </c>
      <c r="DP31" s="870">
        <v>173.0225988700565</v>
      </c>
      <c r="DQ31" s="781">
        <f>PPH_Data_Base28[[#This Row],[NEMA 4X For Electrical Panel]]</f>
        <v>173.0225988700565</v>
      </c>
      <c r="DR31" s="870">
        <v>173.0225988700565</v>
      </c>
      <c r="DS31" s="870" t="s">
        <v>1208</v>
      </c>
      <c r="DT31" s="870">
        <f>PPH_Data_Base28[[#This Row],[NO Condenser Fans]]*350</f>
        <v>700</v>
      </c>
      <c r="DU31" s="870" t="s">
        <v>1208</v>
      </c>
      <c r="DV31" s="870">
        <f>150*PPH_Data_Base28[[#This Row],[NO Condenser Fans]]</f>
        <v>300</v>
      </c>
      <c r="DW31" s="781">
        <v>757.4152542372882</v>
      </c>
      <c r="DX31" s="781">
        <v>250</v>
      </c>
      <c r="DY31" s="870">
        <v>700</v>
      </c>
      <c r="DZ31" s="870">
        <v>100</v>
      </c>
      <c r="EA31" s="870">
        <v>540</v>
      </c>
      <c r="EB31" s="870">
        <v>4.186805084745763</v>
      </c>
      <c r="EC31" s="870">
        <v>34.957627118644069</v>
      </c>
      <c r="ED31" s="870">
        <v>58.361196822033918</v>
      </c>
      <c r="EE31" s="870">
        <v>350</v>
      </c>
      <c r="EF31" s="870">
        <v>350</v>
      </c>
      <c r="EG31" s="870">
        <v>286</v>
      </c>
      <c r="EH31" s="870">
        <v>375</v>
      </c>
      <c r="EI31" s="870">
        <v>138</v>
      </c>
      <c r="EJ31" s="870">
        <v>81</v>
      </c>
      <c r="EK31" s="870">
        <v>33.75</v>
      </c>
      <c r="EL31" s="870">
        <v>67.5</v>
      </c>
      <c r="EM31" s="870">
        <v>337.5</v>
      </c>
      <c r="EN31" s="870">
        <v>67</v>
      </c>
      <c r="EO31" s="870">
        <v>371</v>
      </c>
      <c r="EP31" s="870">
        <v>385.53092711864412</v>
      </c>
      <c r="EQ31" s="870">
        <v>26</v>
      </c>
      <c r="ER31" s="870">
        <v>324</v>
      </c>
      <c r="ES31" s="870">
        <v>22</v>
      </c>
      <c r="ET31" s="870">
        <v>65</v>
      </c>
      <c r="EU31" s="870">
        <v>203</v>
      </c>
      <c r="EV31" s="870">
        <v>250</v>
      </c>
      <c r="EW31" s="847">
        <v>0</v>
      </c>
      <c r="EX31" s="781">
        <v>92.768903954802283</v>
      </c>
      <c r="EY31" s="781">
        <v>666.23951186440684</v>
      </c>
      <c r="EZ31" s="870">
        <v>38.418079096045197</v>
      </c>
      <c r="FA31" s="870">
        <v>40</v>
      </c>
      <c r="FB31" s="870">
        <v>40</v>
      </c>
      <c r="FC31" s="870">
        <v>22.775173728813563</v>
      </c>
      <c r="FD31" s="870">
        <v>22.775173728813563</v>
      </c>
      <c r="FE31" s="870">
        <v>39.548022598870062</v>
      </c>
      <c r="FF31" s="870">
        <v>91.454802259887018</v>
      </c>
      <c r="FG31" s="870">
        <v>400</v>
      </c>
      <c r="FH31" s="870">
        <v>414.03598433475634</v>
      </c>
      <c r="FI31" s="870">
        <v>251.4833065659428</v>
      </c>
      <c r="FJ31" s="870">
        <v>26</v>
      </c>
      <c r="FK31" s="870">
        <f>PPH_Data_Base28[[#This Row],[Differential Pressure Switch]]*2</f>
        <v>52</v>
      </c>
      <c r="FL31" s="870">
        <v>42</v>
      </c>
      <c r="FM31" s="872">
        <f>PPH_Data_Base28[[#This Row],[STD PETRA DIAL DIFF.PRESS.GAUGE NOT DWYER]]*2</f>
        <v>84</v>
      </c>
      <c r="FN31" s="872">
        <v>150</v>
      </c>
      <c r="FO31" s="872">
        <f>PPH_Data_Base28[[#This Row],[Replaceble Filter Drier ]]</f>
        <v>192.09039548022599</v>
      </c>
      <c r="FP31" s="872">
        <f>PPH_Data_Base28[[#This Row],[2" Pre-Filter]]*2</f>
        <v>193.42259264135592</v>
      </c>
      <c r="FQ31" s="872">
        <f>PPH_Data_Base28[[#This Row],[Bag Filter EU-8]]</f>
        <v>567.62490498571196</v>
      </c>
      <c r="FR31" s="872">
        <v>500</v>
      </c>
      <c r="FS31" s="872">
        <v>30</v>
      </c>
      <c r="FT31" s="176"/>
      <c r="FU31" s="176"/>
      <c r="FV31" s="176"/>
      <c r="FW31" s="176"/>
      <c r="GW31" s="176"/>
      <c r="GX31" s="176"/>
      <c r="HC31" s="176"/>
    </row>
    <row r="32" spans="1:211">
      <c r="A32" s="780" t="s">
        <v>461</v>
      </c>
      <c r="B32" s="781" t="s">
        <v>1614</v>
      </c>
      <c r="C32" s="781" t="s">
        <v>535</v>
      </c>
      <c r="D32" s="870" t="s">
        <v>1615</v>
      </c>
      <c r="E32" s="870" t="s">
        <v>1076</v>
      </c>
      <c r="F32" s="870" t="s">
        <v>1076</v>
      </c>
      <c r="G32" s="851">
        <v>0</v>
      </c>
      <c r="H32" s="870" t="s">
        <v>2248</v>
      </c>
      <c r="I32" s="781" t="s">
        <v>767</v>
      </c>
      <c r="J32" s="781" t="s">
        <v>1612</v>
      </c>
      <c r="K32" s="781">
        <v>1</v>
      </c>
      <c r="L32" s="781" t="s">
        <v>568</v>
      </c>
      <c r="M32" s="781">
        <v>9</v>
      </c>
      <c r="N32" s="300">
        <v>9</v>
      </c>
      <c r="O32" s="781">
        <v>73.888888888888886</v>
      </c>
      <c r="P32" s="781">
        <v>46.7</v>
      </c>
      <c r="Q32" s="781">
        <v>2</v>
      </c>
      <c r="R32" s="781">
        <v>30</v>
      </c>
      <c r="S32" s="781">
        <v>2</v>
      </c>
      <c r="T32" s="781"/>
      <c r="U32" s="781"/>
      <c r="V32" s="781">
        <v>1610</v>
      </c>
      <c r="W32" s="781">
        <v>1656</v>
      </c>
      <c r="X32" s="870" t="s">
        <v>419</v>
      </c>
      <c r="Y32" s="835">
        <v>0</v>
      </c>
      <c r="Z32" s="782">
        <v>23162</v>
      </c>
      <c r="AA32" s="782">
        <v>27856</v>
      </c>
      <c r="AB32" s="870">
        <v>17890</v>
      </c>
      <c r="AC32" s="834">
        <v>0</v>
      </c>
      <c r="AD32" s="783" t="s">
        <v>1613</v>
      </c>
      <c r="AE32" s="783" t="s">
        <v>1613</v>
      </c>
      <c r="AF32" s="783" t="s">
        <v>1613</v>
      </c>
      <c r="AG32" s="783" t="s">
        <v>1613</v>
      </c>
      <c r="AH32" s="783" t="s">
        <v>1208</v>
      </c>
      <c r="AI32" s="870">
        <v>0</v>
      </c>
      <c r="AJ32" s="870">
        <v>0</v>
      </c>
      <c r="AK32" s="870">
        <v>0</v>
      </c>
      <c r="AL32" s="870">
        <f>PPH_Data_Base28[[#This Row],[PPH Unit Basic Price With Cu Tube]]*0.05</f>
        <v>1392.8000000000002</v>
      </c>
      <c r="AM32" s="781">
        <v>462.11264621468928</v>
      </c>
      <c r="AN32" s="781">
        <v>1636.4650794491527</v>
      </c>
      <c r="AO32" s="781">
        <v>2960.9666747351703</v>
      </c>
      <c r="AP32" s="781">
        <v>1012.5000000000001</v>
      </c>
      <c r="AQ32" s="781">
        <v>843.75</v>
      </c>
      <c r="AR32" s="781">
        <f>4.5*242</f>
        <v>1089</v>
      </c>
      <c r="AS32" s="781">
        <v>1399.5089420466418</v>
      </c>
      <c r="AT32" s="781">
        <v>3218.0278665966612</v>
      </c>
      <c r="AU32" s="781">
        <v>129.12690401478815</v>
      </c>
      <c r="AV32" s="781">
        <v>1193.5357134782523</v>
      </c>
      <c r="AW32" s="870">
        <v>3990.2400000000002</v>
      </c>
      <c r="AX32" s="870">
        <v>363</v>
      </c>
      <c r="AY32" s="870">
        <v>4187.413733072035</v>
      </c>
      <c r="AZ32" s="870">
        <v>1471.2053736904131</v>
      </c>
      <c r="BA32" s="783" t="s">
        <v>1208</v>
      </c>
      <c r="BB32" s="870">
        <f>PPH_Data_Base28[[#This Row],[PPH Unit Basic Price With Cu Tube]]*0.1</f>
        <v>2785.6000000000004</v>
      </c>
      <c r="BC32" s="870">
        <v>287.2027530654201</v>
      </c>
      <c r="BD32" s="870">
        <v>957.3425102180671</v>
      </c>
      <c r="BE32" s="870">
        <v>319.11417007268903</v>
      </c>
      <c r="BF32" s="870">
        <v>319.11417007268903</v>
      </c>
      <c r="BG32" s="870">
        <v>319.11417007268903</v>
      </c>
      <c r="BH32" s="870">
        <f>PPH_Data_Base28[[#This Row],[PPH Unit Basic Price With Cu Tube]]*0.075</f>
        <v>2089.1999999999998</v>
      </c>
      <c r="BI32" s="870">
        <v>957.3425102180671</v>
      </c>
      <c r="BJ32" s="870">
        <v>319.11417007268903</v>
      </c>
      <c r="BK32" s="870">
        <v>319.11417007268903</v>
      </c>
      <c r="BL32" s="870">
        <v>319.11417007268903</v>
      </c>
      <c r="BM32" s="781">
        <f>PPH_Data_Base28[[#This Row],[Total Condenser Coil Area]]*Naming!$M$62*4</f>
        <v>6620.4444444444434</v>
      </c>
      <c r="BN32" s="781">
        <f>PPH_Data_Base28[[#This Row],[Total Evaporator  Coil Area]]*Naming!$M$62*4</f>
        <v>4184.32</v>
      </c>
      <c r="BO32" s="781">
        <f>PPH_Data_Base28[[#This Row],[Total Condenser Coil Area]]*Naming!$D$61*4</f>
        <v>100.48888888888889</v>
      </c>
      <c r="BP32" s="781">
        <f>PPH_Data_Base28[[#This Row],[Total Evaporator  Coil Area]]*Naming!$D$61*6</f>
        <v>95.268000000000015</v>
      </c>
      <c r="BQ32" s="781">
        <f>$G$195*PPH_Data_Base28[[#This Row],[Total Evaporator  Coil Area]]</f>
        <v>210.15</v>
      </c>
      <c r="BR32" s="781">
        <f>$G$199*PPH_Data_Base28[[#This Row],[Total Evaporator  Coil Area]]</f>
        <v>317.56</v>
      </c>
      <c r="BS32" s="781">
        <f>$E$185*PPH_Data_Base28[[#This Row],[Total Evaporator  Coil Area]]</f>
        <v>934</v>
      </c>
      <c r="BT32" s="781">
        <f>$E$188*PPH_Data_Base28[[#This Row],[Total Evaporator  Coil Area]]</f>
        <v>1307.6000000000001</v>
      </c>
      <c r="BU32" s="781">
        <f>$G$195*PPH_Data_Base28[[#This Row],[Total Condenser Coil Area]]</f>
        <v>332.5</v>
      </c>
      <c r="BV32" s="781">
        <f>$G$199*PPH_Data_Base28[[#This Row],[Total Condenser Coil Area]]</f>
        <v>502.4444444444444</v>
      </c>
      <c r="BW32" s="781">
        <f>$E$185*PPH_Data_Base28[[#This Row],[Total Condenser Coil Area]]</f>
        <v>1477.7777777777778</v>
      </c>
      <c r="BX32" s="781">
        <f>$E$188*PPH_Data_Base28[[#This Row],[Total Condenser Coil Area]]</f>
        <v>2068.8888888888887</v>
      </c>
      <c r="BY32" s="781">
        <v>243.69558037577403</v>
      </c>
      <c r="BZ32" s="870">
        <v>150.86307929265539</v>
      </c>
      <c r="CA32" s="870">
        <v>340.39893831193228</v>
      </c>
      <c r="CB32" s="870">
        <v>225.13157295762704</v>
      </c>
      <c r="CC32" s="870">
        <v>197.74011299435028</v>
      </c>
      <c r="CD32" s="870">
        <f t="shared" si="6"/>
        <v>170.46620618090401</v>
      </c>
      <c r="CE32" s="870">
        <v>30</v>
      </c>
      <c r="CF32" s="832">
        <v>0</v>
      </c>
      <c r="CG32" s="870">
        <f>PPH_Data_Base28[[#This Row],[PPH Unit Basic Price With Cu Tube]]*0.25</f>
        <v>6964</v>
      </c>
      <c r="CH32" s="870">
        <f>PPH_Data_Base28[[#This Row],[DSP Unit Basic Price With Cu Tube]]*0.35</f>
        <v>6261.5</v>
      </c>
      <c r="CI32" s="781">
        <v>178.38071228813561</v>
      </c>
      <c r="CJ32" s="781">
        <v>259.54695762711867</v>
      </c>
      <c r="CK32" s="781">
        <v>37.192477542372885</v>
      </c>
      <c r="CL32" s="781">
        <v>192.09039548022599</v>
      </c>
      <c r="CM32" s="870">
        <v>43.220338983050844</v>
      </c>
      <c r="CN32" s="781">
        <v>254.51977401129943</v>
      </c>
      <c r="CO32" s="870">
        <v>0</v>
      </c>
      <c r="CP32" s="781">
        <v>619.50122838983054</v>
      </c>
      <c r="CQ32" s="870">
        <v>279.58057372881353</v>
      </c>
      <c r="CR32" s="781">
        <v>456.61870677966101</v>
      </c>
      <c r="CS32" s="870">
        <v>2276.1427411016957</v>
      </c>
      <c r="CT32" s="781">
        <v>865.11299435028252</v>
      </c>
      <c r="CU32" s="870">
        <v>272.22446694915254</v>
      </c>
      <c r="CV32" s="870" t="s">
        <v>1208</v>
      </c>
      <c r="CW32" s="870">
        <f>400*1.35*PPH_Data_Base28[[#This Row],[No. of Unit  Compressors]]</f>
        <v>1080</v>
      </c>
      <c r="CX32" s="835">
        <v>0</v>
      </c>
      <c r="CY32" s="871">
        <f>47*PPH_Data_Base28[[#This Row],[No. of Unit  Compressors]]*1.35</f>
        <v>126.9</v>
      </c>
      <c r="CZ32" s="871">
        <f>30*1.35*PPH_Data_Base28[[#This Row],[NO Condenser Fans]]</f>
        <v>364.5</v>
      </c>
      <c r="DA32" s="781">
        <f>INDEX($B$136:$F$154,MATCH(PPH_Data_Base28[[#This Row],[STD Supply Fan Motor]],$B$136:$B$154,0),5)*PPH_Data_Base28[[#This Row],[Fan QTY]]</f>
        <v>93.979755367231661</v>
      </c>
      <c r="DB32" s="871">
        <f>47*1.35*PPH_Data_Base28[[#This Row],[No. of Unit  Compressors]]</f>
        <v>126.9</v>
      </c>
      <c r="DC32" s="871">
        <f>28*PPH_Data_Base28[[#This Row],[NO Condenser Fans]]</f>
        <v>252</v>
      </c>
      <c r="DD32" s="781">
        <f>INDEX($B$136:$F$154,MATCH(PPH_Data_Base28[[#This Row],[STD Supply Fan Motor]],$B$136:$B$154,0),3)*PPH_Data_Base28[[#This Row],[Fan QTY]]</f>
        <v>45.747093644067796</v>
      </c>
      <c r="DE32" s="870">
        <f>INDEX($B$114:$C$131,MATCH(PPH_Data_Base28[[#This Row],[Compressor 1 HP]],$B$114:$B$131,0),2)*PPH_Data_Base28[[#This Row],[Compressor 1 QTY]]+IFERROR(INDEX($B$114:$C$131,MATCH(PPH_Data_Base28[[#This Row],[Compressor 2 HP]],$B$114:$B$131,0),2)*PPH_Data_Base28[[#This Row],[Compressor 2 QTY]],0)</f>
        <v>222.87283333333338</v>
      </c>
      <c r="DF32" s="870">
        <f>38*PPH_Data_Base28[[#This Row],[NO Condenser Fans]]</f>
        <v>342</v>
      </c>
      <c r="DG32" s="870">
        <f>INDEX($B$136:$F$154,MATCH(PPH_Data_Base28[[#This Row],[STD Supply Fan Motor]],$B$136:$B$154,0),5)*PPH_Data_Base28[[#This Row],[Fan QTY]]</f>
        <v>93.979755367231661</v>
      </c>
      <c r="DH32" s="781">
        <v>932.20338983050851</v>
      </c>
      <c r="DI32" s="781">
        <v>349.57627118644069</v>
      </c>
      <c r="DJ32" s="870" t="str">
        <f>INDEX($F$114:$G$124,MATCH(PPH_Data_Base28[[#This Row],[Compressor 1 HP]],$F$114:$F$124,0),2)</f>
        <v>N/A</v>
      </c>
      <c r="DK32" s="870" t="e">
        <f>INDEX($F$114:$G$124,MATCH(PPH_Data_Base28[[#This Row],[Compressor 1 HP]],$F$114:$F$124,0),2)*PPH_Data_Base28[[#This Row],[Compressor 1 QTY]]+IFERROR(INDEX($F$114:$G$124,MATCH(PPH_Data_Base28[[#This Row],[Compressor 2 HP]],$F$114:$F$124,0),2)*PPH_Data_Base28[[#This Row],[Compressor 2 QTY]],0)</f>
        <v>#VALUE!</v>
      </c>
      <c r="DL32" s="870">
        <v>2840</v>
      </c>
      <c r="DM32" s="870">
        <v>564.9717514124294</v>
      </c>
      <c r="DN32" s="870">
        <v>213.62952090395484</v>
      </c>
      <c r="DO32" s="870">
        <v>2713.4650319209045</v>
      </c>
      <c r="DP32" s="870">
        <v>173.0225988700565</v>
      </c>
      <c r="DQ32" s="781">
        <f>PPH_Data_Base28[[#This Row],[NEMA 4X For Electrical Panel]]</f>
        <v>173.0225988700565</v>
      </c>
      <c r="DR32" s="870">
        <v>173.0225988700565</v>
      </c>
      <c r="DS32" s="870" t="s">
        <v>1208</v>
      </c>
      <c r="DT32" s="870">
        <f>PPH_Data_Base28[[#This Row],[NO Condenser Fans]]*350</f>
        <v>3150</v>
      </c>
      <c r="DU32" s="870">
        <v>1072.2349239406783</v>
      </c>
      <c r="DV32" s="870">
        <f>150*PPH_Data_Base28[[#This Row],[NO Condenser Fans]]/3</f>
        <v>450</v>
      </c>
      <c r="DW32" s="781">
        <v>1514.8305084745764</v>
      </c>
      <c r="DX32" s="781">
        <v>250</v>
      </c>
      <c r="DY32" s="870">
        <v>700</v>
      </c>
      <c r="DZ32" s="870">
        <v>100</v>
      </c>
      <c r="EA32" s="870">
        <v>540</v>
      </c>
      <c r="EB32" s="870">
        <v>4.186805084745763</v>
      </c>
      <c r="EC32" s="870">
        <v>34.957627118644069</v>
      </c>
      <c r="ED32" s="870">
        <v>58.361196822033918</v>
      </c>
      <c r="EE32" s="870">
        <v>350</v>
      </c>
      <c r="EF32" s="870">
        <v>350</v>
      </c>
      <c r="EG32" s="870">
        <v>286</v>
      </c>
      <c r="EH32" s="870">
        <v>375</v>
      </c>
      <c r="EI32" s="870">
        <v>138</v>
      </c>
      <c r="EJ32" s="870">
        <v>81</v>
      </c>
      <c r="EK32" s="870">
        <v>33.75</v>
      </c>
      <c r="EL32" s="870">
        <v>67.5</v>
      </c>
      <c r="EM32" s="870">
        <v>337.5</v>
      </c>
      <c r="EN32" s="870">
        <v>67</v>
      </c>
      <c r="EO32" s="870">
        <v>371</v>
      </c>
      <c r="EP32" s="870">
        <v>385.53092711864412</v>
      </c>
      <c r="EQ32" s="870">
        <v>26</v>
      </c>
      <c r="ER32" s="870">
        <v>324</v>
      </c>
      <c r="ES32" s="870">
        <v>22</v>
      </c>
      <c r="ET32" s="870">
        <v>65</v>
      </c>
      <c r="EU32" s="870">
        <v>203</v>
      </c>
      <c r="EV32" s="870">
        <v>250</v>
      </c>
      <c r="EW32" s="847">
        <v>0</v>
      </c>
      <c r="EX32" s="781">
        <v>46.384451977401142</v>
      </c>
      <c r="EY32" s="781">
        <v>333.11975593220342</v>
      </c>
      <c r="EZ32" s="870">
        <v>19.209039548022599</v>
      </c>
      <c r="FA32" s="870">
        <v>40</v>
      </c>
      <c r="FB32" s="870">
        <v>40</v>
      </c>
      <c r="FC32" s="870">
        <v>22.775173728813563</v>
      </c>
      <c r="FD32" s="870">
        <v>22.775173728813563</v>
      </c>
      <c r="FE32" s="870">
        <v>19.774011299435031</v>
      </c>
      <c r="FF32" s="870">
        <v>91.454802259887018</v>
      </c>
      <c r="FG32" s="870">
        <v>566.66666666666663</v>
      </c>
      <c r="FH32" s="870">
        <v>704.99817239613344</v>
      </c>
      <c r="FI32" s="870">
        <v>427.65868083342161</v>
      </c>
      <c r="FJ32" s="870">
        <v>26</v>
      </c>
      <c r="FK32" s="870">
        <f>PPH_Data_Base28[[#This Row],[Differential Pressure Switch]]*2</f>
        <v>52</v>
      </c>
      <c r="FL32" s="870">
        <v>42</v>
      </c>
      <c r="FM32" s="872">
        <f>PPH_Data_Base28[[#This Row],[STD PETRA DIAL DIFF.PRESS.GAUGE NOT DWYER]]*2</f>
        <v>84</v>
      </c>
      <c r="FN32" s="872">
        <v>150</v>
      </c>
      <c r="FO32" s="872">
        <f>PPH_Data_Base28[[#This Row],[Replaceble Filter Drier ]]</f>
        <v>192.09039548022599</v>
      </c>
      <c r="FP32" s="872">
        <f>PPH_Data_Base28[[#This Row],[2" Pre-Filter]]*2</f>
        <v>258.25380802957631</v>
      </c>
      <c r="FQ32" s="872">
        <f>PPH_Data_Base28[[#This Row],[Bag Filter EU-8]]</f>
        <v>1193.5357134782523</v>
      </c>
      <c r="FR32" s="872">
        <v>500</v>
      </c>
      <c r="FS32" s="872">
        <v>30</v>
      </c>
      <c r="FT32" s="176"/>
      <c r="FU32" s="176"/>
      <c r="FV32" s="176"/>
      <c r="FW32" s="176"/>
      <c r="GW32" s="176"/>
      <c r="GX32" s="176"/>
      <c r="HC32" s="176"/>
    </row>
    <row r="33" spans="1:211">
      <c r="A33" s="780" t="s">
        <v>462</v>
      </c>
      <c r="B33" s="781" t="s">
        <v>1616</v>
      </c>
      <c r="C33" s="781" t="s">
        <v>536</v>
      </c>
      <c r="D33" s="870" t="s">
        <v>1618</v>
      </c>
      <c r="E33" s="870" t="s">
        <v>1617</v>
      </c>
      <c r="F33" s="870" t="s">
        <v>1617</v>
      </c>
      <c r="G33" s="851">
        <v>0</v>
      </c>
      <c r="H33" s="870" t="s">
        <v>2248</v>
      </c>
      <c r="I33" s="781" t="s">
        <v>768</v>
      </c>
      <c r="J33" s="781" t="s">
        <v>1612</v>
      </c>
      <c r="K33" s="781">
        <v>1</v>
      </c>
      <c r="L33" s="781" t="s">
        <v>568</v>
      </c>
      <c r="M33" s="781">
        <v>10</v>
      </c>
      <c r="N33" s="300">
        <v>10</v>
      </c>
      <c r="O33" s="781">
        <v>105.55555555555556</v>
      </c>
      <c r="P33" s="781">
        <v>46.7</v>
      </c>
      <c r="Q33" s="781">
        <v>3</v>
      </c>
      <c r="R33" s="781">
        <v>25</v>
      </c>
      <c r="S33" s="781">
        <v>3</v>
      </c>
      <c r="T33" s="781"/>
      <c r="U33" s="781"/>
      <c r="V33" s="781">
        <v>2113</v>
      </c>
      <c r="W33" s="781">
        <v>1656</v>
      </c>
      <c r="X33" s="870" t="s">
        <v>420</v>
      </c>
      <c r="Y33" s="835">
        <v>0</v>
      </c>
      <c r="Z33" s="782">
        <v>28785</v>
      </c>
      <c r="AA33" s="782">
        <v>35485</v>
      </c>
      <c r="AB33" s="870">
        <v>25636</v>
      </c>
      <c r="AC33" s="834">
        <v>0</v>
      </c>
      <c r="AD33" s="783" t="s">
        <v>1613</v>
      </c>
      <c r="AE33" s="783" t="s">
        <v>1613</v>
      </c>
      <c r="AF33" s="783" t="s">
        <v>1613</v>
      </c>
      <c r="AG33" s="783" t="s">
        <v>1613</v>
      </c>
      <c r="AH33" s="783" t="s">
        <v>1208</v>
      </c>
      <c r="AI33" s="870">
        <v>0</v>
      </c>
      <c r="AJ33" s="870">
        <v>0</v>
      </c>
      <c r="AK33" s="870">
        <v>0</v>
      </c>
      <c r="AL33" s="870">
        <f>PPH_Data_Base28[[#This Row],[PPH Unit Basic Price With Cu Tube]]*0.05</f>
        <v>1774.25</v>
      </c>
      <c r="AM33" s="781">
        <v>479.44309836158203</v>
      </c>
      <c r="AN33" s="781">
        <v>1749.3296433615822</v>
      </c>
      <c r="AO33" s="781">
        <v>3177.6296542019777</v>
      </c>
      <c r="AP33" s="781">
        <v>1012.5000000000001</v>
      </c>
      <c r="AQ33" s="781">
        <v>843.75</v>
      </c>
      <c r="AR33" s="781">
        <f>4.5*242</f>
        <v>1089</v>
      </c>
      <c r="AS33" s="781">
        <v>1399.5089420466418</v>
      </c>
      <c r="AT33" s="781">
        <v>3218.0278665966612</v>
      </c>
      <c r="AU33" s="781">
        <v>129.12690401478815</v>
      </c>
      <c r="AV33" s="781">
        <v>1193.5357134782523</v>
      </c>
      <c r="AW33" s="870">
        <v>4519.96</v>
      </c>
      <c r="AX33" s="870">
        <v>363</v>
      </c>
      <c r="AY33" s="870">
        <v>4187.413733072035</v>
      </c>
      <c r="AZ33" s="870">
        <v>1471.2053736904131</v>
      </c>
      <c r="BA33" s="783" t="s">
        <v>1208</v>
      </c>
      <c r="BB33" s="870">
        <f>PPH_Data_Base28[[#This Row],[PPH Unit Basic Price With Cu Tube]]*0.1</f>
        <v>3548.5</v>
      </c>
      <c r="BC33" s="870">
        <v>323.71003688921525</v>
      </c>
      <c r="BD33" s="870">
        <v>1079.0334562973842</v>
      </c>
      <c r="BE33" s="870">
        <v>359.67781876579471</v>
      </c>
      <c r="BF33" s="870">
        <v>359.67781876579471</v>
      </c>
      <c r="BG33" s="870">
        <v>359.67781876579471</v>
      </c>
      <c r="BH33" s="870">
        <f>PPH_Data_Base28[[#This Row],[PPH Unit Basic Price With Cu Tube]]*0.075</f>
        <v>2661.375</v>
      </c>
      <c r="BI33" s="870">
        <v>1079.0334562973842</v>
      </c>
      <c r="BJ33" s="870">
        <v>359.67781876579471</v>
      </c>
      <c r="BK33" s="870">
        <v>359.67781876579471</v>
      </c>
      <c r="BL33" s="870">
        <v>359.67781876579471</v>
      </c>
      <c r="BM33" s="781">
        <f>PPH_Data_Base28[[#This Row],[Total Condenser Coil Area]]*Naming!$M$62*4</f>
        <v>9457.7777777777774</v>
      </c>
      <c r="BN33" s="781">
        <f>PPH_Data_Base28[[#This Row],[Total Evaporator  Coil Area]]*Naming!$M$62*4</f>
        <v>4184.32</v>
      </c>
      <c r="BO33" s="781">
        <f>PPH_Data_Base28[[#This Row],[Total Condenser Coil Area]]*Naming!$D$61*4</f>
        <v>143.55555555555557</v>
      </c>
      <c r="BP33" s="781">
        <f>PPH_Data_Base28[[#This Row],[Total Evaporator  Coil Area]]*Naming!$D$61*6</f>
        <v>95.268000000000015</v>
      </c>
      <c r="BQ33" s="781">
        <f>$G$195*PPH_Data_Base28[[#This Row],[Total Evaporator  Coil Area]]</f>
        <v>210.15</v>
      </c>
      <c r="BR33" s="781">
        <f>$G$199*PPH_Data_Base28[[#This Row],[Total Evaporator  Coil Area]]</f>
        <v>317.56</v>
      </c>
      <c r="BS33" s="781">
        <f>$E$185*PPH_Data_Base28[[#This Row],[Total Evaporator  Coil Area]]</f>
        <v>934</v>
      </c>
      <c r="BT33" s="781">
        <f>$E$188*PPH_Data_Base28[[#This Row],[Total Evaporator  Coil Area]]</f>
        <v>1307.6000000000001</v>
      </c>
      <c r="BU33" s="781">
        <f>$G$195*PPH_Data_Base28[[#This Row],[Total Condenser Coil Area]]</f>
        <v>475</v>
      </c>
      <c r="BV33" s="781">
        <f>$G$199*PPH_Data_Base28[[#This Row],[Total Condenser Coil Area]]</f>
        <v>717.77777777777771</v>
      </c>
      <c r="BW33" s="781">
        <f>$E$185*PPH_Data_Base28[[#This Row],[Total Condenser Coil Area]]</f>
        <v>2111.1111111111113</v>
      </c>
      <c r="BX33" s="781">
        <f>$E$188*PPH_Data_Base28[[#This Row],[Total Condenser Coil Area]]</f>
        <v>2955.5555555555557</v>
      </c>
      <c r="BY33" s="781">
        <v>243.69558037577403</v>
      </c>
      <c r="BZ33" s="870">
        <v>150.86307929265539</v>
      </c>
      <c r="CA33" s="870">
        <v>340.39893831193228</v>
      </c>
      <c r="CB33" s="870">
        <v>225.13157295762704</v>
      </c>
      <c r="CC33" s="870">
        <v>197.74011299435028</v>
      </c>
      <c r="CD33" s="870">
        <f t="shared" si="6"/>
        <v>170.46620618090401</v>
      </c>
      <c r="CE33" s="870">
        <v>50</v>
      </c>
      <c r="CF33" s="832">
        <v>0</v>
      </c>
      <c r="CG33" s="870">
        <f>PPH_Data_Base28[[#This Row],[PPH Unit Basic Price With Cu Tube]]*0.25</f>
        <v>8871.25</v>
      </c>
      <c r="CH33" s="870">
        <f>PPH_Data_Base28[[#This Row],[DSP Unit Basic Price With Cu Tube]]*0.35</f>
        <v>8972.5999999999985</v>
      </c>
      <c r="CI33" s="781">
        <v>267.57106843220345</v>
      </c>
      <c r="CJ33" s="781">
        <v>389.32043644067801</v>
      </c>
      <c r="CK33" s="781">
        <v>55.78871631355932</v>
      </c>
      <c r="CL33" s="781">
        <v>288.13559322033899</v>
      </c>
      <c r="CM33" s="870">
        <v>64.830508474576263</v>
      </c>
      <c r="CN33" s="781">
        <v>381.77966101694915</v>
      </c>
      <c r="CO33" s="870">
        <v>0</v>
      </c>
      <c r="CP33" s="781">
        <v>356.38929300847457</v>
      </c>
      <c r="CQ33" s="870">
        <v>419.37086059322024</v>
      </c>
      <c r="CR33" s="781">
        <v>456.61870677966101</v>
      </c>
      <c r="CS33" s="870">
        <v>2424.7394618644071</v>
      </c>
      <c r="CT33" s="781">
        <v>1297.6694915254238</v>
      </c>
      <c r="CU33" s="870">
        <v>408.33670042372887</v>
      </c>
      <c r="CV33" s="870" t="s">
        <v>1208</v>
      </c>
      <c r="CW33" s="870">
        <f>400*1.35*PPH_Data_Base28[[#This Row],[No. of Unit  Compressors]]</f>
        <v>1620</v>
      </c>
      <c r="CX33" s="835">
        <v>0</v>
      </c>
      <c r="CY33" s="871">
        <f>47*PPH_Data_Base28[[#This Row],[No. of Unit  Compressors]]*1.35</f>
        <v>190.35000000000002</v>
      </c>
      <c r="CZ33" s="871">
        <f>30*1.35*PPH_Data_Base28[[#This Row],[NO Condenser Fans]]</f>
        <v>405</v>
      </c>
      <c r="DA33" s="781">
        <f>INDEX($B$136:$F$154,MATCH(PPH_Data_Base28[[#This Row],[STD Supply Fan Motor]],$B$136:$B$154,0),5)*PPH_Data_Base28[[#This Row],[Fan QTY]]</f>
        <v>93.979755367231661</v>
      </c>
      <c r="DB33" s="871">
        <f>47*1.35*PPH_Data_Base28[[#This Row],[No. of Unit  Compressors]]</f>
        <v>190.35000000000002</v>
      </c>
      <c r="DC33" s="871">
        <f>28*PPH_Data_Base28[[#This Row],[NO Condenser Fans]]</f>
        <v>280</v>
      </c>
      <c r="DD33" s="781">
        <f>INDEX($B$136:$F$154,MATCH(PPH_Data_Base28[[#This Row],[STD Supply Fan Motor]],$B$136:$B$154,0),3)*PPH_Data_Base28[[#This Row],[Fan QTY]]</f>
        <v>45.747093644067796</v>
      </c>
      <c r="DE33" s="870">
        <f>INDEX($B$114:$C$131,MATCH(PPH_Data_Base28[[#This Row],[Compressor 1 HP]],$B$114:$B$131,0),2)*PPH_Data_Base28[[#This Row],[Compressor 1 QTY]]+IFERROR(INDEX($B$114:$C$131,MATCH(PPH_Data_Base28[[#This Row],[Compressor 2 HP]],$B$114:$B$131,0),2)*PPH_Data_Base28[[#This Row],[Compressor 2 QTY]],0)</f>
        <v>334.30925000000008</v>
      </c>
      <c r="DF33" s="870">
        <f>38*PPH_Data_Base28[[#This Row],[NO Condenser Fans]]</f>
        <v>380</v>
      </c>
      <c r="DG33" s="870">
        <f>INDEX($B$136:$F$154,MATCH(PPH_Data_Base28[[#This Row],[STD Supply Fan Motor]],$B$136:$B$154,0),5)*PPH_Data_Base28[[#This Row],[Fan QTY]]</f>
        <v>93.979755367231661</v>
      </c>
      <c r="DH33" s="781">
        <v>932.20338983050851</v>
      </c>
      <c r="DI33" s="781">
        <v>349.57627118644069</v>
      </c>
      <c r="DJ33" s="870">
        <f>INDEX($F$114:$G$124,MATCH(PPH_Data_Base28[[#This Row],[Compressor 1 HP]],$F$114:$F$124,0),2)</f>
        <v>3800</v>
      </c>
      <c r="DK33" s="870">
        <f>INDEX($F$114:$G$124,MATCH(PPH_Data_Base28[[#This Row],[Compressor 1 HP]],$F$114:$F$124,0),2)*PPH_Data_Base28[[#This Row],[Compressor 1 QTY]]+IFERROR(INDEX($F$114:$G$124,MATCH(PPH_Data_Base28[[#This Row],[Compressor 2 HP]],$F$114:$F$124,0),2)*PPH_Data_Base28[[#This Row],[Compressor 2 QTY]],0)</f>
        <v>11400</v>
      </c>
      <c r="DL33" s="870">
        <v>2840</v>
      </c>
      <c r="DM33" s="870">
        <v>564.9717514124294</v>
      </c>
      <c r="DN33" s="870">
        <v>213.62952090395484</v>
      </c>
      <c r="DO33" s="870">
        <v>2713.4650319209045</v>
      </c>
      <c r="DP33" s="870">
        <v>173.0225988700565</v>
      </c>
      <c r="DQ33" s="781">
        <f>PPH_Data_Base28[[#This Row],[NEMA 4X For Electrical Panel]]</f>
        <v>173.0225988700565</v>
      </c>
      <c r="DR33" s="870">
        <v>173.0225988700565</v>
      </c>
      <c r="DS33" s="870" t="s">
        <v>1208</v>
      </c>
      <c r="DT33" s="870">
        <f>PPH_Data_Base28[[#This Row],[NO Condenser Fans]]*350</f>
        <v>3500</v>
      </c>
      <c r="DU33" s="870">
        <v>1191.372137711865</v>
      </c>
      <c r="DV33" s="870">
        <f>150*PPH_Data_Base28[[#This Row],[NO Condenser Fans]]/3</f>
        <v>500</v>
      </c>
      <c r="DW33" s="781">
        <v>1514.8305084745764</v>
      </c>
      <c r="DX33" s="781">
        <v>250</v>
      </c>
      <c r="DY33" s="870">
        <v>700</v>
      </c>
      <c r="DZ33" s="870">
        <v>100</v>
      </c>
      <c r="EA33" s="870">
        <v>540</v>
      </c>
      <c r="EB33" s="870">
        <v>4.186805084745763</v>
      </c>
      <c r="EC33" s="870">
        <v>34.957627118644069</v>
      </c>
      <c r="ED33" s="870">
        <v>58.361196822033918</v>
      </c>
      <c r="EE33" s="870">
        <v>350</v>
      </c>
      <c r="EF33" s="870">
        <v>350</v>
      </c>
      <c r="EG33" s="870">
        <v>286</v>
      </c>
      <c r="EH33" s="870">
        <v>375</v>
      </c>
      <c r="EI33" s="870">
        <v>138</v>
      </c>
      <c r="EJ33" s="870">
        <v>81</v>
      </c>
      <c r="EK33" s="870">
        <v>33.75</v>
      </c>
      <c r="EL33" s="870">
        <v>67.5</v>
      </c>
      <c r="EM33" s="870">
        <v>337.5</v>
      </c>
      <c r="EN33" s="870">
        <v>67</v>
      </c>
      <c r="EO33" s="870">
        <v>371</v>
      </c>
      <c r="EP33" s="870">
        <v>385.53092711864412</v>
      </c>
      <c r="EQ33" s="870">
        <v>26</v>
      </c>
      <c r="ER33" s="870">
        <v>324</v>
      </c>
      <c r="ES33" s="870">
        <v>22</v>
      </c>
      <c r="ET33" s="870">
        <v>65</v>
      </c>
      <c r="EU33" s="870">
        <v>203</v>
      </c>
      <c r="EV33" s="870">
        <v>250</v>
      </c>
      <c r="EW33" s="847">
        <v>0</v>
      </c>
      <c r="EX33" s="781">
        <v>46.384451977401142</v>
      </c>
      <c r="EY33" s="781">
        <v>333.11975593220342</v>
      </c>
      <c r="EZ33" s="870">
        <v>19.209039548022599</v>
      </c>
      <c r="FA33" s="870">
        <v>40</v>
      </c>
      <c r="FB33" s="870">
        <v>40</v>
      </c>
      <c r="FC33" s="870">
        <v>22.775173728813563</v>
      </c>
      <c r="FD33" s="870">
        <v>22.775173728813563</v>
      </c>
      <c r="FE33" s="870">
        <v>19.774011299435031</v>
      </c>
      <c r="FF33" s="870">
        <v>91.454802259887018</v>
      </c>
      <c r="FG33" s="870">
        <v>566.66666666666663</v>
      </c>
      <c r="FH33" s="870">
        <v>704.99817239613344</v>
      </c>
      <c r="FI33" s="870">
        <v>427.65868083342161</v>
      </c>
      <c r="FJ33" s="870">
        <v>26</v>
      </c>
      <c r="FK33" s="870">
        <f>PPH_Data_Base28[[#This Row],[Differential Pressure Switch]]*2</f>
        <v>52</v>
      </c>
      <c r="FL33" s="870">
        <v>42</v>
      </c>
      <c r="FM33" s="872">
        <f>PPH_Data_Base28[[#This Row],[STD PETRA DIAL DIFF.PRESS.GAUGE NOT DWYER]]*2</f>
        <v>84</v>
      </c>
      <c r="FN33" s="872">
        <v>150</v>
      </c>
      <c r="FO33" s="872">
        <f>PPH_Data_Base28[[#This Row],[Replaceble Filter Drier ]]</f>
        <v>288.13559322033899</v>
      </c>
      <c r="FP33" s="872">
        <f>PPH_Data_Base28[[#This Row],[2" Pre-Filter]]*2</f>
        <v>258.25380802957631</v>
      </c>
      <c r="FQ33" s="872">
        <f>PPH_Data_Base28[[#This Row],[Bag Filter EU-8]]</f>
        <v>1193.5357134782523</v>
      </c>
      <c r="FR33" s="872">
        <v>500</v>
      </c>
      <c r="FS33" s="872">
        <v>30</v>
      </c>
      <c r="FT33" s="176"/>
      <c r="FU33" s="176"/>
      <c r="FV33" s="176"/>
      <c r="FW33" s="176"/>
      <c r="GW33" s="176"/>
      <c r="GX33" s="176"/>
      <c r="HC33" s="176"/>
    </row>
    <row r="34" spans="1:211">
      <c r="A34" s="780" t="s">
        <v>463</v>
      </c>
      <c r="B34" s="781" t="s">
        <v>1619</v>
      </c>
      <c r="C34" s="781" t="s">
        <v>537</v>
      </c>
      <c r="D34" s="870" t="s">
        <v>1621</v>
      </c>
      <c r="E34" s="870" t="s">
        <v>1620</v>
      </c>
      <c r="F34" s="870" t="s">
        <v>1620</v>
      </c>
      <c r="G34" s="851">
        <v>0</v>
      </c>
      <c r="H34" s="870" t="s">
        <v>2248</v>
      </c>
      <c r="I34" s="781" t="s">
        <v>768</v>
      </c>
      <c r="J34" s="781" t="s">
        <v>1612</v>
      </c>
      <c r="K34" s="781">
        <v>1</v>
      </c>
      <c r="L34" s="781" t="s">
        <v>568</v>
      </c>
      <c r="M34" s="781">
        <v>10</v>
      </c>
      <c r="N34" s="300">
        <v>10</v>
      </c>
      <c r="O34" s="781">
        <v>105.6</v>
      </c>
      <c r="P34" s="781">
        <v>46.7</v>
      </c>
      <c r="Q34" s="781">
        <v>3</v>
      </c>
      <c r="R34" s="781">
        <v>30</v>
      </c>
      <c r="S34" s="781">
        <v>3</v>
      </c>
      <c r="T34" s="781"/>
      <c r="U34" s="781"/>
      <c r="V34" s="781">
        <v>2113</v>
      </c>
      <c r="W34" s="781">
        <v>1656</v>
      </c>
      <c r="X34" s="870" t="s">
        <v>421</v>
      </c>
      <c r="Y34" s="835">
        <v>0</v>
      </c>
      <c r="Z34" s="782">
        <v>33694</v>
      </c>
      <c r="AA34" s="782">
        <v>41403</v>
      </c>
      <c r="AB34" s="870">
        <v>29706</v>
      </c>
      <c r="AC34" s="834">
        <v>0</v>
      </c>
      <c r="AD34" s="783" t="s">
        <v>1613</v>
      </c>
      <c r="AE34" s="783" t="s">
        <v>1613</v>
      </c>
      <c r="AF34" s="783" t="s">
        <v>1613</v>
      </c>
      <c r="AG34" s="783" t="s">
        <v>1613</v>
      </c>
      <c r="AH34" s="783" t="s">
        <v>1208</v>
      </c>
      <c r="AI34" s="870">
        <v>0</v>
      </c>
      <c r="AJ34" s="870">
        <v>0</v>
      </c>
      <c r="AK34" s="870">
        <v>0</v>
      </c>
      <c r="AL34" s="870">
        <f>PPH_Data_Base28[[#This Row],[PPH Unit Basic Price With Cu Tube]]*0.05</f>
        <v>2070.15</v>
      </c>
      <c r="AM34" s="781">
        <v>479.44309836158203</v>
      </c>
      <c r="AN34" s="781">
        <v>1749.3296433615822</v>
      </c>
      <c r="AO34" s="781">
        <v>3177.6296542019777</v>
      </c>
      <c r="AP34" s="781">
        <v>1012.5000000000001</v>
      </c>
      <c r="AQ34" s="781">
        <v>843.75</v>
      </c>
      <c r="AR34" s="781">
        <f>4.5*242</f>
        <v>1089</v>
      </c>
      <c r="AS34" s="781">
        <v>1399.5089420466418</v>
      </c>
      <c r="AT34" s="781">
        <v>3218.0278665966612</v>
      </c>
      <c r="AU34" s="781">
        <v>129.12690401478815</v>
      </c>
      <c r="AV34" s="781">
        <v>1193.5357134782523</v>
      </c>
      <c r="AW34" s="870">
        <v>5682.0800000000008</v>
      </c>
      <c r="AX34" s="870">
        <v>363</v>
      </c>
      <c r="AY34" s="870">
        <v>4187.413733072035</v>
      </c>
      <c r="AZ34" s="870">
        <v>1471.2053736904131</v>
      </c>
      <c r="BA34" s="783" t="s">
        <v>1208</v>
      </c>
      <c r="BB34" s="870">
        <f>PPH_Data_Base28[[#This Row],[PPH Unit Basic Price With Cu Tube]]*0.1</f>
        <v>4140.3</v>
      </c>
      <c r="BC34" s="870">
        <v>365.93944927763442</v>
      </c>
      <c r="BD34" s="870">
        <v>1219.7981642587815</v>
      </c>
      <c r="BE34" s="870">
        <v>406.59938808626049</v>
      </c>
      <c r="BF34" s="870">
        <v>406.59938808626049</v>
      </c>
      <c r="BG34" s="870">
        <v>406.59938808626049</v>
      </c>
      <c r="BH34" s="870">
        <f>PPH_Data_Base28[[#This Row],[PPH Unit Basic Price With Cu Tube]]*0.075</f>
        <v>3105.2249999999999</v>
      </c>
      <c r="BI34" s="870">
        <v>1219.7981642587815</v>
      </c>
      <c r="BJ34" s="870">
        <v>406.59938808626049</v>
      </c>
      <c r="BK34" s="870">
        <v>406.59938808626049</v>
      </c>
      <c r="BL34" s="870">
        <v>406.59938808626049</v>
      </c>
      <c r="BM34" s="781">
        <f>PPH_Data_Base28[[#This Row],[Total Condenser Coil Area]]*Naming!$M$62*4</f>
        <v>9461.7599999999984</v>
      </c>
      <c r="BN34" s="781">
        <f>PPH_Data_Base28[[#This Row],[Total Evaporator  Coil Area]]*Naming!$M$62*4</f>
        <v>4184.32</v>
      </c>
      <c r="BO34" s="781">
        <f>PPH_Data_Base28[[#This Row],[Total Condenser Coil Area]]*Naming!$D$61*4</f>
        <v>143.61600000000001</v>
      </c>
      <c r="BP34" s="781">
        <f>PPH_Data_Base28[[#This Row],[Total Evaporator  Coil Area]]*Naming!$D$61*6</f>
        <v>95.268000000000015</v>
      </c>
      <c r="BQ34" s="781">
        <f>$G$195*PPH_Data_Base28[[#This Row],[Total Evaporator  Coil Area]]</f>
        <v>210.15</v>
      </c>
      <c r="BR34" s="781">
        <f>$G$199*PPH_Data_Base28[[#This Row],[Total Evaporator  Coil Area]]</f>
        <v>317.56</v>
      </c>
      <c r="BS34" s="781">
        <f>$E$185*PPH_Data_Base28[[#This Row],[Total Evaporator  Coil Area]]</f>
        <v>934</v>
      </c>
      <c r="BT34" s="781">
        <f>$E$188*PPH_Data_Base28[[#This Row],[Total Evaporator  Coil Area]]</f>
        <v>1307.6000000000001</v>
      </c>
      <c r="BU34" s="781">
        <f>$G$195*PPH_Data_Base28[[#This Row],[Total Condenser Coil Area]]</f>
        <v>475.2</v>
      </c>
      <c r="BV34" s="781">
        <f>$G$199*PPH_Data_Base28[[#This Row],[Total Condenser Coil Area]]</f>
        <v>718.07999999999993</v>
      </c>
      <c r="BW34" s="781">
        <f>$E$185*PPH_Data_Base28[[#This Row],[Total Condenser Coil Area]]</f>
        <v>2112</v>
      </c>
      <c r="BX34" s="781">
        <f>$E$188*PPH_Data_Base28[[#This Row],[Total Condenser Coil Area]]</f>
        <v>2956.7999999999997</v>
      </c>
      <c r="BY34" s="781">
        <v>243.69558037577403</v>
      </c>
      <c r="BZ34" s="870">
        <v>150.86307929265539</v>
      </c>
      <c r="CA34" s="870">
        <v>510.59840746789831</v>
      </c>
      <c r="CB34" s="870">
        <v>337.69735943644065</v>
      </c>
      <c r="CC34" s="870">
        <v>197.74011299435028</v>
      </c>
      <c r="CD34" s="870">
        <f t="shared" si="6"/>
        <v>170.46620618090401</v>
      </c>
      <c r="CE34" s="870">
        <v>50</v>
      </c>
      <c r="CF34" s="832">
        <v>0</v>
      </c>
      <c r="CG34" s="870">
        <f>PPH_Data_Base28[[#This Row],[PPH Unit Basic Price With Cu Tube]]*0.25</f>
        <v>10350.75</v>
      </c>
      <c r="CH34" s="870">
        <f>PPH_Data_Base28[[#This Row],[DSP Unit Basic Price With Cu Tube]]*0.35</f>
        <v>10397.099999999999</v>
      </c>
      <c r="CI34" s="781">
        <v>267.57106843220345</v>
      </c>
      <c r="CJ34" s="781">
        <v>389.32043644067801</v>
      </c>
      <c r="CK34" s="781">
        <v>55.78871631355932</v>
      </c>
      <c r="CL34" s="781">
        <v>288.13559322033899</v>
      </c>
      <c r="CM34" s="870">
        <v>64.830508474576263</v>
      </c>
      <c r="CN34" s="781">
        <v>381.77966101694915</v>
      </c>
      <c r="CO34" s="870">
        <v>0</v>
      </c>
      <c r="CP34" s="781">
        <v>929.25184258474587</v>
      </c>
      <c r="CQ34" s="870">
        <v>419.37086059322024</v>
      </c>
      <c r="CR34" s="781">
        <v>456.61870677966101</v>
      </c>
      <c r="CS34" s="870">
        <v>3414.214111652544</v>
      </c>
      <c r="CT34" s="781">
        <v>1297.6694915254238</v>
      </c>
      <c r="CU34" s="870">
        <v>408.33670042372887</v>
      </c>
      <c r="CV34" s="870" t="s">
        <v>1208</v>
      </c>
      <c r="CW34" s="870">
        <f>400*1.35*PPH_Data_Base28[[#This Row],[No. of Unit  Compressors]]</f>
        <v>1620</v>
      </c>
      <c r="CX34" s="835">
        <v>0</v>
      </c>
      <c r="CY34" s="871">
        <f>47*PPH_Data_Base28[[#This Row],[No. of Unit  Compressors]]*1.35</f>
        <v>190.35000000000002</v>
      </c>
      <c r="CZ34" s="871">
        <f>30*1.35*PPH_Data_Base28[[#This Row],[NO Condenser Fans]]</f>
        <v>405</v>
      </c>
      <c r="DA34" s="781">
        <f>INDEX($B$136:$F$154,MATCH(PPH_Data_Base28[[#This Row],[STD Supply Fan Motor]],$B$136:$B$154,0),5)*PPH_Data_Base28[[#This Row],[Fan QTY]]</f>
        <v>93.979755367231661</v>
      </c>
      <c r="DB34" s="871">
        <f>47*1.35*PPH_Data_Base28[[#This Row],[No. of Unit  Compressors]]</f>
        <v>190.35000000000002</v>
      </c>
      <c r="DC34" s="871">
        <f>28*PPH_Data_Base28[[#This Row],[NO Condenser Fans]]</f>
        <v>280</v>
      </c>
      <c r="DD34" s="781">
        <f>INDEX($B$136:$F$154,MATCH(PPH_Data_Base28[[#This Row],[STD Supply Fan Motor]],$B$136:$B$154,0),3)*PPH_Data_Base28[[#This Row],[Fan QTY]]</f>
        <v>45.747093644067796</v>
      </c>
      <c r="DE34" s="870">
        <f>INDEX($B$114:$C$131,MATCH(PPH_Data_Base28[[#This Row],[Compressor 1 HP]],$B$114:$B$131,0),2)*PPH_Data_Base28[[#This Row],[Compressor 1 QTY]]+IFERROR(INDEX($B$114:$C$131,MATCH(PPH_Data_Base28[[#This Row],[Compressor 2 HP]],$B$114:$B$131,0),2)*PPH_Data_Base28[[#This Row],[Compressor 2 QTY]],0)</f>
        <v>334.30925000000008</v>
      </c>
      <c r="DF34" s="870">
        <f>38*PPH_Data_Base28[[#This Row],[NO Condenser Fans]]</f>
        <v>380</v>
      </c>
      <c r="DG34" s="870">
        <f>INDEX($B$136:$F$154,MATCH(PPH_Data_Base28[[#This Row],[STD Supply Fan Motor]],$B$136:$B$154,0),5)*PPH_Data_Base28[[#This Row],[Fan QTY]]</f>
        <v>93.979755367231661</v>
      </c>
      <c r="DH34" s="781">
        <v>932.20338983050851</v>
      </c>
      <c r="DI34" s="781">
        <v>559.32203389830511</v>
      </c>
      <c r="DJ34" s="870" t="str">
        <f>INDEX($F$114:$G$124,MATCH(PPH_Data_Base28[[#This Row],[Compressor 1 HP]],$F$114:$F$124,0),2)</f>
        <v>N/A</v>
      </c>
      <c r="DK34" s="870" t="e">
        <f>INDEX($F$114:$G$124,MATCH(PPH_Data_Base28[[#This Row],[Compressor 1 HP]],$F$114:$F$124,0),2)*PPH_Data_Base28[[#This Row],[Compressor 1 QTY]]+IFERROR(INDEX($F$114:$G$124,MATCH(PPH_Data_Base28[[#This Row],[Compressor 2 HP]],$F$114:$F$124,0),2)*PPH_Data_Base28[[#This Row],[Compressor 2 QTY]],0)</f>
        <v>#VALUE!</v>
      </c>
      <c r="DL34" s="870">
        <v>2840</v>
      </c>
      <c r="DM34" s="870">
        <v>564.9717514124294</v>
      </c>
      <c r="DN34" s="870">
        <v>213.62952090395484</v>
      </c>
      <c r="DO34" s="870">
        <v>2713.4650319209045</v>
      </c>
      <c r="DP34" s="870">
        <v>173.0225988700565</v>
      </c>
      <c r="DQ34" s="781">
        <f>PPH_Data_Base28[[#This Row],[NEMA 4X For Electrical Panel]]</f>
        <v>173.0225988700565</v>
      </c>
      <c r="DR34" s="870">
        <v>173.0225988700565</v>
      </c>
      <c r="DS34" s="870" t="s">
        <v>1208</v>
      </c>
      <c r="DT34" s="870">
        <f>PPH_Data_Base28[[#This Row],[NO Condenser Fans]]*350</f>
        <v>3500</v>
      </c>
      <c r="DU34" s="870">
        <v>1191.372137711865</v>
      </c>
      <c r="DV34" s="870">
        <f>150*PPH_Data_Base28[[#This Row],[NO Condenser Fans]]/3</f>
        <v>500</v>
      </c>
      <c r="DW34" s="781">
        <v>1514.8305084745764</v>
      </c>
      <c r="DX34" s="781">
        <v>250</v>
      </c>
      <c r="DY34" s="870">
        <v>700</v>
      </c>
      <c r="DZ34" s="870">
        <v>100</v>
      </c>
      <c r="EA34" s="870">
        <v>540</v>
      </c>
      <c r="EB34" s="870">
        <v>4.186805084745763</v>
      </c>
      <c r="EC34" s="870">
        <v>34.957627118644069</v>
      </c>
      <c r="ED34" s="870">
        <v>58.361196822033918</v>
      </c>
      <c r="EE34" s="870">
        <v>350</v>
      </c>
      <c r="EF34" s="870">
        <v>350</v>
      </c>
      <c r="EG34" s="870">
        <v>286</v>
      </c>
      <c r="EH34" s="870">
        <v>375</v>
      </c>
      <c r="EI34" s="870">
        <v>138</v>
      </c>
      <c r="EJ34" s="870">
        <v>81</v>
      </c>
      <c r="EK34" s="870">
        <v>33.75</v>
      </c>
      <c r="EL34" s="870">
        <v>67.5</v>
      </c>
      <c r="EM34" s="870">
        <v>337.5</v>
      </c>
      <c r="EN34" s="870">
        <v>67</v>
      </c>
      <c r="EO34" s="870">
        <v>371</v>
      </c>
      <c r="EP34" s="870">
        <v>385.53092711864412</v>
      </c>
      <c r="EQ34" s="870">
        <v>26</v>
      </c>
      <c r="ER34" s="870">
        <v>324</v>
      </c>
      <c r="ES34" s="870">
        <v>22</v>
      </c>
      <c r="ET34" s="870">
        <v>65</v>
      </c>
      <c r="EU34" s="870">
        <v>203</v>
      </c>
      <c r="EV34" s="870">
        <v>250</v>
      </c>
      <c r="EW34" s="847">
        <v>0</v>
      </c>
      <c r="EX34" s="781">
        <v>46.384451977401142</v>
      </c>
      <c r="EY34" s="781">
        <v>333.11975593220342</v>
      </c>
      <c r="EZ34" s="870">
        <v>19.209039548022599</v>
      </c>
      <c r="FA34" s="870">
        <v>40</v>
      </c>
      <c r="FB34" s="870">
        <v>40</v>
      </c>
      <c r="FC34" s="870">
        <v>22.775173728813563</v>
      </c>
      <c r="FD34" s="870">
        <v>22.775173728813563</v>
      </c>
      <c r="FE34" s="870">
        <v>19.774011299435031</v>
      </c>
      <c r="FF34" s="870">
        <v>91.454802259887018</v>
      </c>
      <c r="FG34" s="870">
        <v>566.66666666666663</v>
      </c>
      <c r="FH34" s="870">
        <v>704.99817239613344</v>
      </c>
      <c r="FI34" s="870">
        <v>427.65868083342161</v>
      </c>
      <c r="FJ34" s="870">
        <v>26</v>
      </c>
      <c r="FK34" s="870">
        <f>PPH_Data_Base28[[#This Row],[Differential Pressure Switch]]*2</f>
        <v>52</v>
      </c>
      <c r="FL34" s="870">
        <v>42</v>
      </c>
      <c r="FM34" s="872">
        <f>PPH_Data_Base28[[#This Row],[STD PETRA DIAL DIFF.PRESS.GAUGE NOT DWYER]]*2</f>
        <v>84</v>
      </c>
      <c r="FN34" s="872">
        <v>150</v>
      </c>
      <c r="FO34" s="872">
        <f>PPH_Data_Base28[[#This Row],[Replaceble Filter Drier ]]</f>
        <v>288.13559322033899</v>
      </c>
      <c r="FP34" s="872">
        <f>PPH_Data_Base28[[#This Row],[2" Pre-Filter]]*2</f>
        <v>258.25380802957631</v>
      </c>
      <c r="FQ34" s="872">
        <f>PPH_Data_Base28[[#This Row],[Bag Filter EU-8]]</f>
        <v>1193.5357134782523</v>
      </c>
      <c r="FR34" s="872">
        <v>500</v>
      </c>
      <c r="FS34" s="872">
        <v>30</v>
      </c>
      <c r="FT34" s="176"/>
      <c r="FU34" s="176"/>
      <c r="FV34" s="176"/>
      <c r="FW34" s="176"/>
      <c r="GW34" s="176"/>
      <c r="GX34" s="176"/>
      <c r="HC34" s="176"/>
    </row>
    <row r="35" spans="1:211">
      <c r="A35" s="780" t="s">
        <v>464</v>
      </c>
      <c r="B35" s="781" t="s">
        <v>1622</v>
      </c>
      <c r="C35" s="781" t="s">
        <v>538</v>
      </c>
      <c r="D35" s="870" t="s">
        <v>1623</v>
      </c>
      <c r="E35" s="870" t="s">
        <v>1080</v>
      </c>
      <c r="F35" s="870" t="s">
        <v>1080</v>
      </c>
      <c r="G35" s="851">
        <v>0</v>
      </c>
      <c r="H35" s="870" t="s">
        <v>2248</v>
      </c>
      <c r="I35" s="781" t="s">
        <v>768</v>
      </c>
      <c r="J35" s="781" t="s">
        <v>1612</v>
      </c>
      <c r="K35" s="781">
        <v>1</v>
      </c>
      <c r="L35" s="781" t="s">
        <v>568</v>
      </c>
      <c r="M35" s="781">
        <v>12</v>
      </c>
      <c r="N35" s="300">
        <v>4</v>
      </c>
      <c r="O35" s="781">
        <v>137.22222222222223</v>
      </c>
      <c r="P35" s="781">
        <v>57.8</v>
      </c>
      <c r="Q35" s="781">
        <v>4</v>
      </c>
      <c r="R35" s="781">
        <v>25</v>
      </c>
      <c r="S35" s="781">
        <v>4</v>
      </c>
      <c r="T35" s="781"/>
      <c r="U35" s="781"/>
      <c r="V35" s="781">
        <v>2113</v>
      </c>
      <c r="W35" s="781">
        <v>1656</v>
      </c>
      <c r="X35" s="870"/>
      <c r="Y35" s="835">
        <v>0</v>
      </c>
      <c r="Z35" s="782">
        <v>38235</v>
      </c>
      <c r="AA35" s="782">
        <v>47611</v>
      </c>
      <c r="AB35" s="870">
        <v>34171</v>
      </c>
      <c r="AC35" s="834">
        <v>0</v>
      </c>
      <c r="AD35" s="783" t="s">
        <v>1613</v>
      </c>
      <c r="AE35" s="783" t="s">
        <v>1613</v>
      </c>
      <c r="AF35" s="783" t="s">
        <v>1613</v>
      </c>
      <c r="AG35" s="783" t="s">
        <v>1613</v>
      </c>
      <c r="AH35" s="783" t="s">
        <v>1208</v>
      </c>
      <c r="AI35" s="870">
        <v>0</v>
      </c>
      <c r="AJ35" s="870">
        <v>0</v>
      </c>
      <c r="AK35" s="870">
        <v>0</v>
      </c>
      <c r="AL35" s="870">
        <f>PPH_Data_Base28[[#This Row],[PPH Unit Basic Price With Cu Tube]]*0.05</f>
        <v>2380.5500000000002</v>
      </c>
      <c r="AM35" s="781">
        <v>479.44309836158203</v>
      </c>
      <c r="AN35" s="781">
        <v>1749.3296433615822</v>
      </c>
      <c r="AO35" s="781">
        <v>3177.6296542019777</v>
      </c>
      <c r="AP35" s="781">
        <v>1161</v>
      </c>
      <c r="AQ35" s="781">
        <v>978.75000000000011</v>
      </c>
      <c r="AR35" s="781">
        <f>5*242</f>
        <v>1210</v>
      </c>
      <c r="AS35" s="781">
        <v>1641.0975989749047</v>
      </c>
      <c r="AT35" s="781">
        <v>4070.6714125971357</v>
      </c>
      <c r="AU35" s="781">
        <v>161.33469990489411</v>
      </c>
      <c r="AV35" s="781">
        <v>1370.8403480615998</v>
      </c>
      <c r="AW35" s="870">
        <v>5682.0800000000008</v>
      </c>
      <c r="AX35" s="870">
        <v>725</v>
      </c>
      <c r="AY35" s="870">
        <v>5728.1891043432215</v>
      </c>
      <c r="AZ35" s="870">
        <v>1903.9474350834219</v>
      </c>
      <c r="BA35" s="783" t="s">
        <v>1208</v>
      </c>
      <c r="BB35" s="870">
        <f>PPH_Data_Base28[[#This Row],[PPH Unit Basic Price With Cu Tube]]*0.1</f>
        <v>4761.1000000000004</v>
      </c>
      <c r="BC35" s="870">
        <v>412.45005828802522</v>
      </c>
      <c r="BD35" s="870">
        <v>1374.8335276267508</v>
      </c>
      <c r="BE35" s="870">
        <v>458.27784254225026</v>
      </c>
      <c r="BF35" s="870">
        <v>458.27784254225026</v>
      </c>
      <c r="BG35" s="870">
        <v>458.27784254225026</v>
      </c>
      <c r="BH35" s="870">
        <f>PPH_Data_Base28[[#This Row],[PPH Unit Basic Price With Cu Tube]]*0.075</f>
        <v>3570.8249999999998</v>
      </c>
      <c r="BI35" s="870">
        <v>1374.8335276267508</v>
      </c>
      <c r="BJ35" s="870">
        <v>458.27784254225026</v>
      </c>
      <c r="BK35" s="870">
        <v>458.27784254225026</v>
      </c>
      <c r="BL35" s="870">
        <v>458.27784254225026</v>
      </c>
      <c r="BM35" s="781">
        <f>PPH_Data_Base28[[#This Row],[Total Condenser Coil Area]]*Naming!$M$62*4</f>
        <v>12295.111111111111</v>
      </c>
      <c r="BN35" s="781">
        <f>PPH_Data_Base28[[#This Row],[Total Evaporator  Coil Area]]*Naming!$M$62*4</f>
        <v>5178.8799999999992</v>
      </c>
      <c r="BO35" s="781">
        <f>PPH_Data_Base28[[#This Row],[Total Condenser Coil Area]]*Naming!$D$61*4</f>
        <v>186.62222222222223</v>
      </c>
      <c r="BP35" s="781">
        <f>PPH_Data_Base28[[#This Row],[Total Evaporator  Coil Area]]*Naming!$D$61*6</f>
        <v>117.91200000000001</v>
      </c>
      <c r="BQ35" s="781">
        <f>$G$195*PPH_Data_Base28[[#This Row],[Total Evaporator  Coil Area]]</f>
        <v>260.09999999999997</v>
      </c>
      <c r="BR35" s="781">
        <f>$G$199*PPH_Data_Base28[[#This Row],[Total Evaporator  Coil Area]]</f>
        <v>393.03999999999996</v>
      </c>
      <c r="BS35" s="781">
        <f>$E$185*PPH_Data_Base28[[#This Row],[Total Evaporator  Coil Area]]</f>
        <v>1156</v>
      </c>
      <c r="BT35" s="781">
        <f>$E$188*PPH_Data_Base28[[#This Row],[Total Evaporator  Coil Area]]</f>
        <v>1618.3999999999999</v>
      </c>
      <c r="BU35" s="781">
        <f>$G$195*PPH_Data_Base28[[#This Row],[Total Condenser Coil Area]]</f>
        <v>617.5</v>
      </c>
      <c r="BV35" s="781">
        <f>$G$199*PPH_Data_Base28[[#This Row],[Total Condenser Coil Area]]</f>
        <v>933.11111111111109</v>
      </c>
      <c r="BW35" s="781">
        <f>$E$185*PPH_Data_Base28[[#This Row],[Total Condenser Coil Area]]</f>
        <v>2744.4444444444443</v>
      </c>
      <c r="BX35" s="781">
        <f>$E$188*PPH_Data_Base28[[#This Row],[Total Condenser Coil Area]]</f>
        <v>3842.2222222222226</v>
      </c>
      <c r="BY35" s="781">
        <v>301.57328071502025</v>
      </c>
      <c r="BZ35" s="870">
        <v>186.69306062466097</v>
      </c>
      <c r="CA35" s="870">
        <v>569.7531010160086</v>
      </c>
      <c r="CB35" s="870">
        <v>376.8208340052966</v>
      </c>
      <c r="CC35" s="870">
        <v>222.4576271186441</v>
      </c>
      <c r="CD35" s="870">
        <f t="shared" si="6"/>
        <v>170.46620618090401</v>
      </c>
      <c r="CE35" s="870">
        <v>50</v>
      </c>
      <c r="CF35" s="832">
        <v>0</v>
      </c>
      <c r="CG35" s="870">
        <f>PPH_Data_Base28[[#This Row],[PPH Unit Basic Price With Cu Tube]]*0.25</f>
        <v>11902.75</v>
      </c>
      <c r="CH35" s="870">
        <f>PPH_Data_Base28[[#This Row],[DSP Unit Basic Price With Cu Tube]]*0.35</f>
        <v>11959.849999999999</v>
      </c>
      <c r="CI35" s="781">
        <v>356.76142457627122</v>
      </c>
      <c r="CJ35" s="781">
        <v>519.09391525423734</v>
      </c>
      <c r="CK35" s="781">
        <v>74.384955084745769</v>
      </c>
      <c r="CL35" s="781">
        <v>384.18079096045199</v>
      </c>
      <c r="CM35" s="870">
        <v>86.440677966101688</v>
      </c>
      <c r="CN35" s="781">
        <v>509.03954802259886</v>
      </c>
      <c r="CO35" s="870">
        <v>0</v>
      </c>
      <c r="CP35" s="781">
        <v>475.18572401129944</v>
      </c>
      <c r="CQ35" s="870">
        <v>559.16114745762707</v>
      </c>
      <c r="CR35" s="781">
        <v>456.61870677966101</v>
      </c>
      <c r="CS35" s="870">
        <v>3232.9859491525426</v>
      </c>
      <c r="CT35" s="781">
        <v>1730.225988700565</v>
      </c>
      <c r="CU35" s="870">
        <v>544.44893389830509</v>
      </c>
      <c r="CV35" s="870" t="s">
        <v>1208</v>
      </c>
      <c r="CW35" s="870">
        <f>400*1.35*PPH_Data_Base28[[#This Row],[No. of Unit  Compressors]]</f>
        <v>2160</v>
      </c>
      <c r="CX35" s="835">
        <v>0</v>
      </c>
      <c r="CY35" s="871">
        <f>47*PPH_Data_Base28[[#This Row],[No. of Unit  Compressors]]*1.35</f>
        <v>253.8</v>
      </c>
      <c r="CZ35" s="871">
        <f>30*1.35*PPH_Data_Base28[[#This Row],[NO Condenser Fans]]</f>
        <v>162</v>
      </c>
      <c r="DA35" s="781">
        <f>INDEX($B$136:$F$154,MATCH(PPH_Data_Base28[[#This Row],[STD Supply Fan Motor]],$B$136:$B$154,0),5)*PPH_Data_Base28[[#This Row],[Fan QTY]]</f>
        <v>93.979755367231661</v>
      </c>
      <c r="DB35" s="871">
        <f>47*1.35*PPH_Data_Base28[[#This Row],[No. of Unit  Compressors]]</f>
        <v>253.8</v>
      </c>
      <c r="DC35" s="871">
        <f>28*PPH_Data_Base28[[#This Row],[NO Condenser Fans]]</f>
        <v>112</v>
      </c>
      <c r="DD35" s="781">
        <f>INDEX($B$136:$F$154,MATCH(PPH_Data_Base28[[#This Row],[STD Supply Fan Motor]],$B$136:$B$154,0),3)*PPH_Data_Base28[[#This Row],[Fan QTY]]</f>
        <v>45.747093644067796</v>
      </c>
      <c r="DE35" s="870">
        <f>INDEX($B$114:$C$131,MATCH(PPH_Data_Base28[[#This Row],[Compressor 1 HP]],$B$114:$B$131,0),2)*PPH_Data_Base28[[#This Row],[Compressor 1 QTY]]+IFERROR(INDEX($B$114:$C$131,MATCH(PPH_Data_Base28[[#This Row],[Compressor 2 HP]],$B$114:$B$131,0),2)*PPH_Data_Base28[[#This Row],[Compressor 2 QTY]],0)</f>
        <v>445.74566666666675</v>
      </c>
      <c r="DF35" s="870">
        <f>40*PPH_Data_Base28[[#This Row],[NO Condenser Fans]]</f>
        <v>160</v>
      </c>
      <c r="DG35" s="870">
        <f>INDEX($B$136:$F$154,MATCH(PPH_Data_Base28[[#This Row],[STD Supply Fan Motor]],$B$136:$B$154,0),5)*PPH_Data_Base28[[#This Row],[Fan QTY]]</f>
        <v>93.979755367231661</v>
      </c>
      <c r="DH35" s="781">
        <v>932.20338983050851</v>
      </c>
      <c r="DI35" s="781">
        <v>559.32203389830511</v>
      </c>
      <c r="DJ35" s="870">
        <f>INDEX($F$114:$G$124,MATCH(PPH_Data_Base28[[#This Row],[Compressor 1 HP]],$F$114:$F$124,0),2)</f>
        <v>3800</v>
      </c>
      <c r="DK35" s="870">
        <f>INDEX($F$114:$G$124,MATCH(PPH_Data_Base28[[#This Row],[Compressor 1 HP]],$F$114:$F$124,0),2)*PPH_Data_Base28[[#This Row],[Compressor 1 QTY]]+IFERROR(INDEX($F$114:$G$124,MATCH(PPH_Data_Base28[[#This Row],[Compressor 2 HP]],$F$114:$F$124,0),2)*PPH_Data_Base28[[#This Row],[Compressor 2 QTY]],0)</f>
        <v>15200</v>
      </c>
      <c r="DL35" s="870">
        <v>2840</v>
      </c>
      <c r="DM35" s="870">
        <v>564.9717514124294</v>
      </c>
      <c r="DN35" s="870">
        <v>213.62952090395484</v>
      </c>
      <c r="DO35" s="870">
        <v>2713.4650319209045</v>
      </c>
      <c r="DP35" s="870">
        <v>173.0225988700565</v>
      </c>
      <c r="DQ35" s="781">
        <f>PPH_Data_Base28[[#This Row],[NEMA 4X For Electrical Panel]]</f>
        <v>173.0225988700565</v>
      </c>
      <c r="DR35" s="870">
        <v>173.0225988700565</v>
      </c>
      <c r="DS35" s="870" t="s">
        <v>1208</v>
      </c>
      <c r="DT35" s="870">
        <f>PPH_Data_Base28[[#This Row],[NO Condenser Fans]]*350</f>
        <v>1400</v>
      </c>
      <c r="DU35" s="870" t="s">
        <v>1208</v>
      </c>
      <c r="DV35" s="870">
        <f>150*PPH_Data_Base28[[#This Row],[NO Condenser Fans]]</f>
        <v>600</v>
      </c>
      <c r="DW35" s="781">
        <v>1514.8305084745764</v>
      </c>
      <c r="DX35" s="781">
        <v>250</v>
      </c>
      <c r="DY35" s="870">
        <v>700</v>
      </c>
      <c r="DZ35" s="870">
        <v>100</v>
      </c>
      <c r="EA35" s="870">
        <v>540</v>
      </c>
      <c r="EB35" s="870">
        <v>4.186805084745763</v>
      </c>
      <c r="EC35" s="870">
        <v>34.957627118644069</v>
      </c>
      <c r="ED35" s="870">
        <v>58.361196822033918</v>
      </c>
      <c r="EE35" s="870">
        <v>350</v>
      </c>
      <c r="EF35" s="870">
        <v>350</v>
      </c>
      <c r="EG35" s="870">
        <v>286</v>
      </c>
      <c r="EH35" s="870">
        <v>375</v>
      </c>
      <c r="EI35" s="870">
        <v>138</v>
      </c>
      <c r="EJ35" s="870">
        <v>81</v>
      </c>
      <c r="EK35" s="870">
        <v>33.75</v>
      </c>
      <c r="EL35" s="870">
        <v>67.5</v>
      </c>
      <c r="EM35" s="870">
        <v>337.5</v>
      </c>
      <c r="EN35" s="870">
        <v>67</v>
      </c>
      <c r="EO35" s="870">
        <v>371</v>
      </c>
      <c r="EP35" s="870">
        <v>385.53092711864412</v>
      </c>
      <c r="EQ35" s="870">
        <v>26</v>
      </c>
      <c r="ER35" s="870">
        <v>324</v>
      </c>
      <c r="ES35" s="870">
        <v>22</v>
      </c>
      <c r="ET35" s="870">
        <v>65</v>
      </c>
      <c r="EU35" s="870">
        <v>203</v>
      </c>
      <c r="EV35" s="870">
        <v>250</v>
      </c>
      <c r="EW35" s="847">
        <v>0</v>
      </c>
      <c r="EX35" s="781">
        <v>46.384451977401142</v>
      </c>
      <c r="EY35" s="781">
        <v>333.11975593220342</v>
      </c>
      <c r="EZ35" s="870">
        <v>19.209039548022599</v>
      </c>
      <c r="FA35" s="870">
        <v>40</v>
      </c>
      <c r="FB35" s="870">
        <v>40</v>
      </c>
      <c r="FC35" s="870">
        <v>22.775173728813563</v>
      </c>
      <c r="FD35" s="870">
        <v>22.775173728813563</v>
      </c>
      <c r="FE35" s="870">
        <v>19.774011299435031</v>
      </c>
      <c r="FF35" s="870">
        <v>91.454802259887018</v>
      </c>
      <c r="FG35" s="870">
        <v>566.66666666666663</v>
      </c>
      <c r="FH35" s="870">
        <v>754.18931324702851</v>
      </c>
      <c r="FI35" s="870">
        <v>457.85367261957094</v>
      </c>
      <c r="FJ35" s="870">
        <v>26</v>
      </c>
      <c r="FK35" s="870">
        <f>PPH_Data_Base28[[#This Row],[Differential Pressure Switch]]*2</f>
        <v>52</v>
      </c>
      <c r="FL35" s="870">
        <v>42</v>
      </c>
      <c r="FM35" s="872">
        <f>PPH_Data_Base28[[#This Row],[STD PETRA DIAL DIFF.PRESS.GAUGE NOT DWYER]]*2</f>
        <v>84</v>
      </c>
      <c r="FN35" s="872">
        <v>150</v>
      </c>
      <c r="FO35" s="872">
        <f>PPH_Data_Base28[[#This Row],[Replaceble Filter Drier ]]</f>
        <v>384.18079096045199</v>
      </c>
      <c r="FP35" s="872">
        <f>PPH_Data_Base28[[#This Row],[2" Pre-Filter]]*2</f>
        <v>322.66939980978822</v>
      </c>
      <c r="FQ35" s="872">
        <f>PPH_Data_Base28[[#This Row],[Bag Filter EU-8]]</f>
        <v>1370.8403480615998</v>
      </c>
      <c r="FR35" s="872">
        <v>500</v>
      </c>
      <c r="FS35" s="872">
        <v>30</v>
      </c>
      <c r="FT35" s="176"/>
      <c r="FU35" s="176"/>
      <c r="FV35" s="176"/>
      <c r="FW35" s="176"/>
      <c r="GW35" s="176"/>
      <c r="GX35" s="176"/>
      <c r="HC35" s="176"/>
    </row>
    <row r="36" spans="1:211">
      <c r="A36" s="780" t="s">
        <v>465</v>
      </c>
      <c r="B36" s="781" t="s">
        <v>1625</v>
      </c>
      <c r="C36" s="781" t="s">
        <v>539</v>
      </c>
      <c r="D36" s="870" t="s">
        <v>1627</v>
      </c>
      <c r="E36" s="870" t="s">
        <v>1626</v>
      </c>
      <c r="F36" s="870" t="s">
        <v>1626</v>
      </c>
      <c r="G36" s="851">
        <v>0</v>
      </c>
      <c r="H36" s="870" t="s">
        <v>2248</v>
      </c>
      <c r="I36" s="781" t="s">
        <v>772</v>
      </c>
      <c r="J36" s="781" t="s">
        <v>1624</v>
      </c>
      <c r="K36" s="781">
        <v>1</v>
      </c>
      <c r="L36" s="781" t="s">
        <v>568</v>
      </c>
      <c r="M36" s="781">
        <v>12</v>
      </c>
      <c r="N36" s="300">
        <v>4</v>
      </c>
      <c r="O36" s="781">
        <v>137.22222222222223</v>
      </c>
      <c r="P36" s="781">
        <v>57.8</v>
      </c>
      <c r="Q36" s="781">
        <v>4</v>
      </c>
      <c r="R36" s="781">
        <v>30</v>
      </c>
      <c r="S36" s="781">
        <v>2</v>
      </c>
      <c r="T36" s="781">
        <v>25</v>
      </c>
      <c r="U36" s="781">
        <v>2</v>
      </c>
      <c r="V36" s="781">
        <v>2751</v>
      </c>
      <c r="W36" s="781">
        <v>2153</v>
      </c>
      <c r="X36" s="870"/>
      <c r="Y36" s="835">
        <v>0</v>
      </c>
      <c r="Z36" s="782">
        <v>40940</v>
      </c>
      <c r="AA36" s="782">
        <v>50667</v>
      </c>
      <c r="AB36" s="870">
        <v>35310</v>
      </c>
      <c r="AC36" s="834">
        <v>0</v>
      </c>
      <c r="AD36" s="783" t="s">
        <v>1613</v>
      </c>
      <c r="AE36" s="783" t="s">
        <v>1613</v>
      </c>
      <c r="AF36" s="783" t="s">
        <v>1613</v>
      </c>
      <c r="AG36" s="783" t="s">
        <v>1613</v>
      </c>
      <c r="AH36" s="783" t="s">
        <v>1208</v>
      </c>
      <c r="AI36" s="870">
        <v>0</v>
      </c>
      <c r="AJ36" s="870">
        <v>0</v>
      </c>
      <c r="AK36" s="870">
        <v>0</v>
      </c>
      <c r="AL36" s="870">
        <f>PPH_Data_Base28[[#This Row],[PPH Unit Basic Price With Cu Tube]]*0.05</f>
        <v>2533.3500000000004</v>
      </c>
      <c r="AM36" s="781">
        <v>479.44309836158203</v>
      </c>
      <c r="AN36" s="781">
        <v>1749.3296433615822</v>
      </c>
      <c r="AO36" s="781">
        <v>3177.6296542019777</v>
      </c>
      <c r="AP36" s="781">
        <v>1161</v>
      </c>
      <c r="AQ36" s="781">
        <v>978.75000000000011</v>
      </c>
      <c r="AR36" s="781">
        <f>5*242</f>
        <v>1210</v>
      </c>
      <c r="AS36" s="781">
        <v>1641.0975989749047</v>
      </c>
      <c r="AT36" s="781">
        <v>4070.6714125971357</v>
      </c>
      <c r="AU36" s="781">
        <v>161.33469990489411</v>
      </c>
      <c r="AV36" s="781">
        <v>1370.8403480615998</v>
      </c>
      <c r="AW36" s="870">
        <v>5682.0800000000008</v>
      </c>
      <c r="AX36" s="870">
        <v>725</v>
      </c>
      <c r="AY36" s="870">
        <v>5728.1891043432215</v>
      </c>
      <c r="AZ36" s="870">
        <v>1903.9474350834219</v>
      </c>
      <c r="BA36" s="783" t="s">
        <v>1208</v>
      </c>
      <c r="BB36" s="870">
        <f>PPH_Data_Base28[[#This Row],[PPH Unit Basic Price With Cu Tube]]*0.1</f>
        <v>5066.7000000000007</v>
      </c>
      <c r="BC36" s="870">
        <v>438.05553928711419</v>
      </c>
      <c r="BD36" s="870">
        <v>1460.1851309570472</v>
      </c>
      <c r="BE36" s="870">
        <v>486.72837698568242</v>
      </c>
      <c r="BF36" s="870">
        <v>486.72837698568242</v>
      </c>
      <c r="BG36" s="870">
        <v>486.72837698568242</v>
      </c>
      <c r="BH36" s="870">
        <f>PPH_Data_Base28[[#This Row],[PPH Unit Basic Price With Cu Tube]]*0.075</f>
        <v>3800.0249999999996</v>
      </c>
      <c r="BI36" s="870">
        <v>1460.1851309570472</v>
      </c>
      <c r="BJ36" s="870">
        <v>486.72837698568242</v>
      </c>
      <c r="BK36" s="870">
        <v>486.72837698568242</v>
      </c>
      <c r="BL36" s="870">
        <v>486.72837698568242</v>
      </c>
      <c r="BM36" s="781">
        <f>PPH_Data_Base28[[#This Row],[Total Condenser Coil Area]]*Naming!$M$62*4</f>
        <v>12295.111111111111</v>
      </c>
      <c r="BN36" s="781">
        <f>PPH_Data_Base28[[#This Row],[Total Evaporator  Coil Area]]*Naming!$M$62*4</f>
        <v>5178.8799999999992</v>
      </c>
      <c r="BO36" s="781">
        <f>PPH_Data_Base28[[#This Row],[Total Condenser Coil Area]]*Naming!$D$61*4</f>
        <v>186.62222222222223</v>
      </c>
      <c r="BP36" s="781">
        <f>PPH_Data_Base28[[#This Row],[Total Evaporator  Coil Area]]*Naming!$D$61*6</f>
        <v>117.91200000000001</v>
      </c>
      <c r="BQ36" s="781">
        <f>$G$195*PPH_Data_Base28[[#This Row],[Total Evaporator  Coil Area]]</f>
        <v>260.09999999999997</v>
      </c>
      <c r="BR36" s="781">
        <f>$G$199*PPH_Data_Base28[[#This Row],[Total Evaporator  Coil Area]]</f>
        <v>393.03999999999996</v>
      </c>
      <c r="BS36" s="781">
        <f>$E$185*PPH_Data_Base28[[#This Row],[Total Evaporator  Coil Area]]</f>
        <v>1156</v>
      </c>
      <c r="BT36" s="781">
        <f>$E$188*PPH_Data_Base28[[#This Row],[Total Evaporator  Coil Area]]</f>
        <v>1618.3999999999999</v>
      </c>
      <c r="BU36" s="781">
        <f>$G$195*PPH_Data_Base28[[#This Row],[Total Condenser Coil Area]]</f>
        <v>617.5</v>
      </c>
      <c r="BV36" s="781">
        <f>$G$199*PPH_Data_Base28[[#This Row],[Total Condenser Coil Area]]</f>
        <v>933.11111111111109</v>
      </c>
      <c r="BW36" s="781">
        <f>$E$185*PPH_Data_Base28[[#This Row],[Total Condenser Coil Area]]</f>
        <v>2744.4444444444443</v>
      </c>
      <c r="BX36" s="781">
        <f>$E$188*PPH_Data_Base28[[#This Row],[Total Condenser Coil Area]]</f>
        <v>3842.2222222222226</v>
      </c>
      <c r="BY36" s="781">
        <v>301.57328071502025</v>
      </c>
      <c r="BZ36" s="870">
        <v>186.69306062466097</v>
      </c>
      <c r="CA36" s="870">
        <v>569.7531010160086</v>
      </c>
      <c r="CB36" s="870">
        <v>376.8208340052966</v>
      </c>
      <c r="CC36" s="870">
        <v>222.4576271186441</v>
      </c>
      <c r="CD36" s="870">
        <f t="shared" si="6"/>
        <v>170.46620618090401</v>
      </c>
      <c r="CE36" s="870">
        <v>50</v>
      </c>
      <c r="CF36" s="832">
        <v>0</v>
      </c>
      <c r="CG36" s="870">
        <f>PPH_Data_Base28[[#This Row],[PPH Unit Basic Price With Cu Tube]]*0.25</f>
        <v>12666.75</v>
      </c>
      <c r="CH36" s="870">
        <f>PPH_Data_Base28[[#This Row],[DSP Unit Basic Price With Cu Tube]]*0.35</f>
        <v>12358.5</v>
      </c>
      <c r="CI36" s="781">
        <v>356.76142457627122</v>
      </c>
      <c r="CJ36" s="781">
        <v>519.09391525423734</v>
      </c>
      <c r="CK36" s="781">
        <v>74.384955084745769</v>
      </c>
      <c r="CL36" s="781">
        <v>384.18079096045199</v>
      </c>
      <c r="CM36" s="870">
        <v>86.440677966101688</v>
      </c>
      <c r="CN36" s="781">
        <v>509.03954802259886</v>
      </c>
      <c r="CO36" s="870">
        <v>0</v>
      </c>
      <c r="CP36" s="781">
        <v>857.09409039548029</v>
      </c>
      <c r="CQ36" s="870">
        <v>559.16114745762707</v>
      </c>
      <c r="CR36" s="781">
        <v>456.61870677966101</v>
      </c>
      <c r="CS36" s="870">
        <v>3892.6357156779673</v>
      </c>
      <c r="CT36" s="781">
        <v>1730.225988700565</v>
      </c>
      <c r="CU36" s="870">
        <v>544.44893389830509</v>
      </c>
      <c r="CV36" s="870" t="s">
        <v>1208</v>
      </c>
      <c r="CW36" s="870">
        <f>400*1.35*PPH_Data_Base28[[#This Row],[No. of Unit  Compressors]]</f>
        <v>2160</v>
      </c>
      <c r="CX36" s="835">
        <v>0</v>
      </c>
      <c r="CY36" s="871">
        <f>47*PPH_Data_Base28[[#This Row],[No. of Unit  Compressors]]*1.35</f>
        <v>253.8</v>
      </c>
      <c r="CZ36" s="871">
        <f>30*1.35*PPH_Data_Base28[[#This Row],[NO Condenser Fans]]</f>
        <v>162</v>
      </c>
      <c r="DA36" s="781">
        <f>INDEX($B$136:$F$154,MATCH(PPH_Data_Base28[[#This Row],[STD Supply Fan Motor]],$B$136:$B$154,0),5)*PPH_Data_Base28[[#This Row],[Fan QTY]]</f>
        <v>99.574937994350279</v>
      </c>
      <c r="DB36" s="871">
        <f>47*1.35*PPH_Data_Base28[[#This Row],[No. of Unit  Compressors]]</f>
        <v>253.8</v>
      </c>
      <c r="DC36" s="871">
        <f>28*PPH_Data_Base28[[#This Row],[NO Condenser Fans]]</f>
        <v>112</v>
      </c>
      <c r="DD36" s="781">
        <f>INDEX($B$136:$F$154,MATCH(PPH_Data_Base28[[#This Row],[STD Supply Fan Motor]],$B$136:$B$154,0),3)*PPH_Data_Base28[[#This Row],[Fan QTY]]</f>
        <v>98.090216101694921</v>
      </c>
      <c r="DE36" s="870">
        <f>INDEX($B$114:$C$131,MATCH(PPH_Data_Base28[[#This Row],[Compressor 1 HP]],$B$114:$B$131,0),2)*PPH_Data_Base28[[#This Row],[Compressor 1 QTY]]+IFERROR(INDEX($B$114:$C$131,MATCH(PPH_Data_Base28[[#This Row],[Compressor 2 HP]],$B$114:$B$131,0),2)*PPH_Data_Base28[[#This Row],[Compressor 2 QTY]],0)</f>
        <v>445.74566666666675</v>
      </c>
      <c r="DF36" s="870">
        <f>40*PPH_Data_Base28[[#This Row],[NO Condenser Fans]]</f>
        <v>160</v>
      </c>
      <c r="DG36" s="870">
        <f>INDEX($B$136:$F$154,MATCH(PPH_Data_Base28[[#This Row],[STD Supply Fan Motor]],$B$136:$B$154,0),5)*PPH_Data_Base28[[#This Row],[Fan QTY]]</f>
        <v>99.574937994350279</v>
      </c>
      <c r="DH36" s="781">
        <v>932.20338983050851</v>
      </c>
      <c r="DI36" s="781">
        <v>559.32203389830511</v>
      </c>
      <c r="DJ36" s="870" t="str">
        <f>INDEX($F$114:$G$124,MATCH(PPH_Data_Base28[[#This Row],[Compressor 1 HP]],$F$114:$F$124,0),2)</f>
        <v>N/A</v>
      </c>
      <c r="DK36" s="870" t="e">
        <f>INDEX($F$114:$G$124,MATCH(PPH_Data_Base28[[#This Row],[Compressor 1 HP]],$F$114:$F$124,0),2)*PPH_Data_Base28[[#This Row],[Compressor 1 QTY]]+IFERROR(INDEX($F$114:$G$124,MATCH(PPH_Data_Base28[[#This Row],[Compressor 2 HP]],$F$114:$F$124,0),2)*PPH_Data_Base28[[#This Row],[Compressor 2 QTY]],0)</f>
        <v>#VALUE!</v>
      </c>
      <c r="DL36" s="870">
        <v>3457</v>
      </c>
      <c r="DM36" s="870">
        <v>564.9717514124294</v>
      </c>
      <c r="DN36" s="870">
        <v>213.62952090395484</v>
      </c>
      <c r="DO36" s="870">
        <v>2713.4650319209045</v>
      </c>
      <c r="DP36" s="870">
        <v>173.0225988700565</v>
      </c>
      <c r="DQ36" s="781">
        <f>PPH_Data_Base28[[#This Row],[NEMA 4X For Electrical Panel]]</f>
        <v>173.0225988700565</v>
      </c>
      <c r="DR36" s="870">
        <v>173.0225988700565</v>
      </c>
      <c r="DS36" s="870" t="s">
        <v>1208</v>
      </c>
      <c r="DT36" s="870">
        <f>PPH_Data_Base28[[#This Row],[NO Condenser Fans]]*350</f>
        <v>1400</v>
      </c>
      <c r="DU36" s="870" t="s">
        <v>1208</v>
      </c>
      <c r="DV36" s="870">
        <f>150*PPH_Data_Base28[[#This Row],[NO Condenser Fans]]</f>
        <v>600</v>
      </c>
      <c r="DW36" s="781">
        <v>1514.8305084745764</v>
      </c>
      <c r="DX36" s="781">
        <v>250</v>
      </c>
      <c r="DY36" s="870">
        <v>700</v>
      </c>
      <c r="DZ36" s="870">
        <v>100</v>
      </c>
      <c r="EA36" s="870">
        <v>540</v>
      </c>
      <c r="EB36" s="870">
        <v>4.186805084745763</v>
      </c>
      <c r="EC36" s="870">
        <v>34.957627118644069</v>
      </c>
      <c r="ED36" s="870">
        <v>58.361196822033918</v>
      </c>
      <c r="EE36" s="870">
        <v>350</v>
      </c>
      <c r="EF36" s="870">
        <v>350</v>
      </c>
      <c r="EG36" s="870">
        <v>286</v>
      </c>
      <c r="EH36" s="870">
        <v>375</v>
      </c>
      <c r="EI36" s="870">
        <v>138</v>
      </c>
      <c r="EJ36" s="870">
        <v>81</v>
      </c>
      <c r="EK36" s="870">
        <v>33.75</v>
      </c>
      <c r="EL36" s="870">
        <v>67.5</v>
      </c>
      <c r="EM36" s="870">
        <v>337.5</v>
      </c>
      <c r="EN36" s="870">
        <v>67</v>
      </c>
      <c r="EO36" s="870">
        <v>371</v>
      </c>
      <c r="EP36" s="870">
        <v>385.53092711864412</v>
      </c>
      <c r="EQ36" s="870">
        <v>26</v>
      </c>
      <c r="ER36" s="870">
        <v>324</v>
      </c>
      <c r="ES36" s="870">
        <v>22</v>
      </c>
      <c r="ET36" s="870">
        <v>65</v>
      </c>
      <c r="EU36" s="870">
        <v>203</v>
      </c>
      <c r="EV36" s="870">
        <v>250</v>
      </c>
      <c r="EW36" s="847">
        <v>0</v>
      </c>
      <c r="EX36" s="781">
        <v>46.384451977401142</v>
      </c>
      <c r="EY36" s="781">
        <v>333.11975593220342</v>
      </c>
      <c r="EZ36" s="870">
        <v>19.209039548022599</v>
      </c>
      <c r="FA36" s="870">
        <v>40</v>
      </c>
      <c r="FB36" s="870">
        <v>40</v>
      </c>
      <c r="FC36" s="870">
        <v>22.775173728813563</v>
      </c>
      <c r="FD36" s="870">
        <v>22.775173728813563</v>
      </c>
      <c r="FE36" s="870">
        <v>19.774011299435031</v>
      </c>
      <c r="FF36" s="870">
        <v>91.454802259887018</v>
      </c>
      <c r="FG36" s="870">
        <v>566.66666666666663</v>
      </c>
      <c r="FH36" s="870">
        <v>754.18931324702851</v>
      </c>
      <c r="FI36" s="870">
        <v>457.85367261957094</v>
      </c>
      <c r="FJ36" s="870">
        <v>26</v>
      </c>
      <c r="FK36" s="870">
        <f>PPH_Data_Base28[[#This Row],[Differential Pressure Switch]]*2</f>
        <v>52</v>
      </c>
      <c r="FL36" s="870">
        <v>42</v>
      </c>
      <c r="FM36" s="872">
        <f>PPH_Data_Base28[[#This Row],[STD PETRA DIAL DIFF.PRESS.GAUGE NOT DWYER]]*2</f>
        <v>84</v>
      </c>
      <c r="FN36" s="872">
        <v>150</v>
      </c>
      <c r="FO36" s="872">
        <f>PPH_Data_Base28[[#This Row],[Replaceble Filter Drier ]]</f>
        <v>384.18079096045199</v>
      </c>
      <c r="FP36" s="872">
        <f>PPH_Data_Base28[[#This Row],[2" Pre-Filter]]*2</f>
        <v>322.66939980978822</v>
      </c>
      <c r="FQ36" s="872">
        <f>PPH_Data_Base28[[#This Row],[Bag Filter EU-8]]</f>
        <v>1370.8403480615998</v>
      </c>
      <c r="FR36" s="872">
        <v>500</v>
      </c>
      <c r="FS36" s="872">
        <v>30</v>
      </c>
      <c r="FT36" s="176"/>
      <c r="FU36" s="176"/>
      <c r="FV36" s="176"/>
      <c r="FW36" s="176"/>
      <c r="GW36" s="176"/>
      <c r="GX36" s="176"/>
      <c r="HC36" s="176"/>
    </row>
    <row r="37" spans="1:211">
      <c r="A37" s="780" t="s">
        <v>466</v>
      </c>
      <c r="B37" s="781" t="s">
        <v>1628</v>
      </c>
      <c r="C37" s="781" t="s">
        <v>540</v>
      </c>
      <c r="D37" s="870" t="s">
        <v>1630</v>
      </c>
      <c r="E37" s="870" t="s">
        <v>1629</v>
      </c>
      <c r="F37" s="870" t="s">
        <v>1629</v>
      </c>
      <c r="G37" s="851">
        <v>0</v>
      </c>
      <c r="H37" s="870" t="s">
        <v>2248</v>
      </c>
      <c r="I37" s="781" t="s">
        <v>772</v>
      </c>
      <c r="J37" s="781" t="s">
        <v>1624</v>
      </c>
      <c r="K37" s="781">
        <v>1</v>
      </c>
      <c r="L37" s="781" t="s">
        <v>568</v>
      </c>
      <c r="M37" s="781">
        <v>12</v>
      </c>
      <c r="N37" s="300">
        <v>4</v>
      </c>
      <c r="O37" s="781">
        <v>137.22222222222223</v>
      </c>
      <c r="P37" s="781">
        <v>57.8</v>
      </c>
      <c r="Q37" s="781">
        <v>4</v>
      </c>
      <c r="R37" s="781">
        <v>30</v>
      </c>
      <c r="S37" s="781">
        <v>4</v>
      </c>
      <c r="T37" s="781"/>
      <c r="U37" s="781"/>
      <c r="V37" s="781">
        <v>2751</v>
      </c>
      <c r="W37" s="781">
        <v>2153</v>
      </c>
      <c r="X37" s="870" t="s">
        <v>422</v>
      </c>
      <c r="Y37" s="835">
        <v>0</v>
      </c>
      <c r="Z37" s="782">
        <v>42087</v>
      </c>
      <c r="AA37" s="782">
        <v>51619</v>
      </c>
      <c r="AB37" s="870">
        <v>35986</v>
      </c>
      <c r="AC37" s="834">
        <v>0</v>
      </c>
      <c r="AD37" s="783" t="s">
        <v>1613</v>
      </c>
      <c r="AE37" s="783" t="s">
        <v>1613</v>
      </c>
      <c r="AF37" s="783" t="s">
        <v>1613</v>
      </c>
      <c r="AG37" s="783" t="s">
        <v>1613</v>
      </c>
      <c r="AH37" s="783" t="s">
        <v>1208</v>
      </c>
      <c r="AI37" s="870">
        <v>0</v>
      </c>
      <c r="AJ37" s="870">
        <v>0</v>
      </c>
      <c r="AK37" s="870">
        <v>0</v>
      </c>
      <c r="AL37" s="870">
        <f>PPH_Data_Base28[[#This Row],[PPH Unit Basic Price With Cu Tube]]*0.05</f>
        <v>2580.9500000000003</v>
      </c>
      <c r="AM37" s="781">
        <v>479.44309836158203</v>
      </c>
      <c r="AN37" s="781">
        <v>1749.3296433615822</v>
      </c>
      <c r="AO37" s="781">
        <v>3177.6296542019777</v>
      </c>
      <c r="AP37" s="781">
        <v>1161</v>
      </c>
      <c r="AQ37" s="781">
        <v>978.75000000000011</v>
      </c>
      <c r="AR37" s="781">
        <f>5*242</f>
        <v>1210</v>
      </c>
      <c r="AS37" s="781">
        <v>1641.0975989749047</v>
      </c>
      <c r="AT37" s="781">
        <v>4070.6714125971357</v>
      </c>
      <c r="AU37" s="781">
        <v>161.33469990489411</v>
      </c>
      <c r="AV37" s="781">
        <v>1370.8403480615998</v>
      </c>
      <c r="AW37" s="870">
        <v>8255.2000000000007</v>
      </c>
      <c r="AX37" s="870">
        <v>725</v>
      </c>
      <c r="AY37" s="870">
        <v>5728.1891043432215</v>
      </c>
      <c r="AZ37" s="870">
        <v>1903.9474350834219</v>
      </c>
      <c r="BA37" s="783" t="s">
        <v>1208</v>
      </c>
      <c r="BB37" s="870">
        <f>PPH_Data_Base28[[#This Row],[PPH Unit Basic Price With Cu Tube]]*0.1</f>
        <v>5161.9000000000005</v>
      </c>
      <c r="BC37" s="870">
        <v>443.81608028369254</v>
      </c>
      <c r="BD37" s="870">
        <v>1479.3869342789751</v>
      </c>
      <c r="BE37" s="870">
        <v>493.1289780929917</v>
      </c>
      <c r="BF37" s="870">
        <v>493.1289780929917</v>
      </c>
      <c r="BG37" s="870">
        <v>493.1289780929917</v>
      </c>
      <c r="BH37" s="870">
        <f>PPH_Data_Base28[[#This Row],[PPH Unit Basic Price With Cu Tube]]*0.075</f>
        <v>3871.4249999999997</v>
      </c>
      <c r="BI37" s="870">
        <v>1479.3869342789751</v>
      </c>
      <c r="BJ37" s="870">
        <v>493.1289780929917</v>
      </c>
      <c r="BK37" s="870">
        <v>493.1289780929917</v>
      </c>
      <c r="BL37" s="870">
        <v>493.1289780929917</v>
      </c>
      <c r="BM37" s="781">
        <f>PPH_Data_Base28[[#This Row],[Total Condenser Coil Area]]*Naming!$M$62*4</f>
        <v>12295.111111111111</v>
      </c>
      <c r="BN37" s="781">
        <f>PPH_Data_Base28[[#This Row],[Total Evaporator  Coil Area]]*Naming!$M$62*4</f>
        <v>5178.8799999999992</v>
      </c>
      <c r="BO37" s="781">
        <f>PPH_Data_Base28[[#This Row],[Total Condenser Coil Area]]*Naming!$D$61*4</f>
        <v>186.62222222222223</v>
      </c>
      <c r="BP37" s="781">
        <f>PPH_Data_Base28[[#This Row],[Total Evaporator  Coil Area]]*Naming!$D$61*6</f>
        <v>117.91200000000001</v>
      </c>
      <c r="BQ37" s="781">
        <f>$G$195*PPH_Data_Base28[[#This Row],[Total Evaporator  Coil Area]]</f>
        <v>260.09999999999997</v>
      </c>
      <c r="BR37" s="781">
        <f>$G$199*PPH_Data_Base28[[#This Row],[Total Evaporator  Coil Area]]</f>
        <v>393.03999999999996</v>
      </c>
      <c r="BS37" s="781">
        <f>$E$185*PPH_Data_Base28[[#This Row],[Total Evaporator  Coil Area]]</f>
        <v>1156</v>
      </c>
      <c r="BT37" s="781">
        <f>$E$188*PPH_Data_Base28[[#This Row],[Total Evaporator  Coil Area]]</f>
        <v>1618.3999999999999</v>
      </c>
      <c r="BU37" s="781">
        <f>$G$195*PPH_Data_Base28[[#This Row],[Total Condenser Coil Area]]</f>
        <v>617.5</v>
      </c>
      <c r="BV37" s="781">
        <f>$G$199*PPH_Data_Base28[[#This Row],[Total Condenser Coil Area]]</f>
        <v>933.11111111111109</v>
      </c>
      <c r="BW37" s="781">
        <f>$E$185*PPH_Data_Base28[[#This Row],[Total Condenser Coil Area]]</f>
        <v>2744.4444444444443</v>
      </c>
      <c r="BX37" s="781">
        <f>$E$188*PPH_Data_Base28[[#This Row],[Total Condenser Coil Area]]</f>
        <v>3842.2222222222226</v>
      </c>
      <c r="BY37" s="781">
        <v>301.57328071502025</v>
      </c>
      <c r="BZ37" s="870">
        <v>186.69306062466097</v>
      </c>
      <c r="CA37" s="870">
        <v>569.7531010160086</v>
      </c>
      <c r="CB37" s="870">
        <v>376.8208340052966</v>
      </c>
      <c r="CC37" s="870">
        <v>222.4576271186441</v>
      </c>
      <c r="CD37" s="870">
        <f t="shared" si="6"/>
        <v>170.46620618090401</v>
      </c>
      <c r="CE37" s="870">
        <v>50</v>
      </c>
      <c r="CF37" s="832">
        <v>0</v>
      </c>
      <c r="CG37" s="870">
        <f>PPH_Data_Base28[[#This Row],[PPH Unit Basic Price With Cu Tube]]*0.25</f>
        <v>12904.75</v>
      </c>
      <c r="CH37" s="870">
        <f>PPH_Data_Base28[[#This Row],[DSP Unit Basic Price With Cu Tube]]*0.35</f>
        <v>12595.099999999999</v>
      </c>
      <c r="CI37" s="781">
        <v>356.76142457627122</v>
      </c>
      <c r="CJ37" s="781">
        <v>519.09391525423734</v>
      </c>
      <c r="CK37" s="781">
        <v>74.384955084745769</v>
      </c>
      <c r="CL37" s="781">
        <v>384.18079096045199</v>
      </c>
      <c r="CM37" s="870">
        <v>86.440677966101688</v>
      </c>
      <c r="CN37" s="781">
        <v>509.03954802259886</v>
      </c>
      <c r="CO37" s="870">
        <v>0</v>
      </c>
      <c r="CP37" s="781">
        <v>1239.0024567796611</v>
      </c>
      <c r="CQ37" s="870">
        <v>559.16114745762707</v>
      </c>
      <c r="CR37" s="781">
        <v>456.61870677966101</v>
      </c>
      <c r="CS37" s="870">
        <v>4552.2854822033914</v>
      </c>
      <c r="CT37" s="781">
        <v>1730.225988700565</v>
      </c>
      <c r="CU37" s="870">
        <v>544.44893389830509</v>
      </c>
      <c r="CV37" s="870" t="s">
        <v>1208</v>
      </c>
      <c r="CW37" s="870">
        <f>400*1.35*PPH_Data_Base28[[#This Row],[No. of Unit  Compressors]]</f>
        <v>2160</v>
      </c>
      <c r="CX37" s="835">
        <v>0</v>
      </c>
      <c r="CY37" s="871">
        <f>47*PPH_Data_Base28[[#This Row],[No. of Unit  Compressors]]*1.35</f>
        <v>253.8</v>
      </c>
      <c r="CZ37" s="871">
        <f>30*1.35*PPH_Data_Base28[[#This Row],[NO Condenser Fans]]</f>
        <v>162</v>
      </c>
      <c r="DA37" s="781">
        <f>INDEX($B$136:$F$154,MATCH(PPH_Data_Base28[[#This Row],[STD Supply Fan Motor]],$B$136:$B$154,0),5)*PPH_Data_Base28[[#This Row],[Fan QTY]]</f>
        <v>99.574937994350279</v>
      </c>
      <c r="DB37" s="871">
        <f>47*1.35*PPH_Data_Base28[[#This Row],[No. of Unit  Compressors]]</f>
        <v>253.8</v>
      </c>
      <c r="DC37" s="871">
        <f>28*PPH_Data_Base28[[#This Row],[NO Condenser Fans]]</f>
        <v>112</v>
      </c>
      <c r="DD37" s="781">
        <f>INDEX($B$136:$F$154,MATCH(PPH_Data_Base28[[#This Row],[STD Supply Fan Motor]],$B$136:$B$154,0),3)*PPH_Data_Base28[[#This Row],[Fan QTY]]</f>
        <v>98.090216101694921</v>
      </c>
      <c r="DE37" s="870">
        <f>INDEX($B$114:$C$131,MATCH(PPH_Data_Base28[[#This Row],[Compressor 1 HP]],$B$114:$B$131,0),2)*PPH_Data_Base28[[#This Row],[Compressor 1 QTY]]+IFERROR(INDEX($B$114:$C$131,MATCH(PPH_Data_Base28[[#This Row],[Compressor 2 HP]],$B$114:$B$131,0),2)*PPH_Data_Base28[[#This Row],[Compressor 2 QTY]],0)</f>
        <v>445.74566666666675</v>
      </c>
      <c r="DF37" s="870">
        <f>40*PPH_Data_Base28[[#This Row],[NO Condenser Fans]]</f>
        <v>160</v>
      </c>
      <c r="DG37" s="870">
        <f>INDEX($B$136:$F$154,MATCH(PPH_Data_Base28[[#This Row],[STD Supply Fan Motor]],$B$136:$B$154,0),5)*PPH_Data_Base28[[#This Row],[Fan QTY]]</f>
        <v>99.574937994350279</v>
      </c>
      <c r="DH37" s="781">
        <v>932.20338983050851</v>
      </c>
      <c r="DI37" s="781">
        <v>559.32203389830511</v>
      </c>
      <c r="DJ37" s="870" t="str">
        <f>INDEX($F$114:$G$124,MATCH(PPH_Data_Base28[[#This Row],[Compressor 1 HP]],$F$114:$F$124,0),2)</f>
        <v>N/A</v>
      </c>
      <c r="DK37" s="870" t="e">
        <f>INDEX($F$114:$G$124,MATCH(PPH_Data_Base28[[#This Row],[Compressor 1 HP]],$F$114:$F$124,0),2)*PPH_Data_Base28[[#This Row],[Compressor 1 QTY]]+IFERROR(INDEX($F$114:$G$124,MATCH(PPH_Data_Base28[[#This Row],[Compressor 2 HP]],$F$114:$F$124,0),2)*PPH_Data_Base28[[#This Row],[Compressor 2 QTY]],0)</f>
        <v>#VALUE!</v>
      </c>
      <c r="DL37" s="870">
        <v>3457</v>
      </c>
      <c r="DM37" s="870">
        <v>564.9717514124294</v>
      </c>
      <c r="DN37" s="870">
        <v>213.62952090395484</v>
      </c>
      <c r="DO37" s="870">
        <v>2713.4650319209045</v>
      </c>
      <c r="DP37" s="870">
        <v>173.0225988700565</v>
      </c>
      <c r="DQ37" s="781">
        <f>PPH_Data_Base28[[#This Row],[NEMA 4X For Electrical Panel]]</f>
        <v>173.0225988700565</v>
      </c>
      <c r="DR37" s="870">
        <v>173.0225988700565</v>
      </c>
      <c r="DS37" s="870" t="s">
        <v>1208</v>
      </c>
      <c r="DT37" s="870">
        <f>PPH_Data_Base28[[#This Row],[NO Condenser Fans]]*350</f>
        <v>1400</v>
      </c>
      <c r="DU37" s="870" t="s">
        <v>1208</v>
      </c>
      <c r="DV37" s="870">
        <f>150*PPH_Data_Base28[[#This Row],[NO Condenser Fans]]</f>
        <v>600</v>
      </c>
      <c r="DW37" s="781">
        <v>1514.8305084745764</v>
      </c>
      <c r="DX37" s="781">
        <v>250</v>
      </c>
      <c r="DY37" s="870">
        <v>700</v>
      </c>
      <c r="DZ37" s="870">
        <v>100</v>
      </c>
      <c r="EA37" s="870">
        <v>540</v>
      </c>
      <c r="EB37" s="870">
        <v>4.186805084745763</v>
      </c>
      <c r="EC37" s="870">
        <v>34.957627118644069</v>
      </c>
      <c r="ED37" s="870">
        <v>58.361196822033918</v>
      </c>
      <c r="EE37" s="870">
        <v>350</v>
      </c>
      <c r="EF37" s="870">
        <v>350</v>
      </c>
      <c r="EG37" s="870">
        <v>286</v>
      </c>
      <c r="EH37" s="870">
        <v>375</v>
      </c>
      <c r="EI37" s="870">
        <v>138</v>
      </c>
      <c r="EJ37" s="870">
        <v>81</v>
      </c>
      <c r="EK37" s="870">
        <v>33.75</v>
      </c>
      <c r="EL37" s="870">
        <v>67.5</v>
      </c>
      <c r="EM37" s="870">
        <v>337.5</v>
      </c>
      <c r="EN37" s="870">
        <v>67</v>
      </c>
      <c r="EO37" s="870">
        <v>371</v>
      </c>
      <c r="EP37" s="870">
        <v>385.53092711864412</v>
      </c>
      <c r="EQ37" s="870">
        <v>26</v>
      </c>
      <c r="ER37" s="870">
        <v>324</v>
      </c>
      <c r="ES37" s="870">
        <v>22</v>
      </c>
      <c r="ET37" s="870">
        <v>65</v>
      </c>
      <c r="EU37" s="870">
        <v>203</v>
      </c>
      <c r="EV37" s="870">
        <v>250</v>
      </c>
      <c r="EW37" s="847">
        <v>0</v>
      </c>
      <c r="EX37" s="781">
        <v>46.384451977401142</v>
      </c>
      <c r="EY37" s="781">
        <v>333.11975593220342</v>
      </c>
      <c r="EZ37" s="870">
        <v>19.209039548022599</v>
      </c>
      <c r="FA37" s="870">
        <v>40</v>
      </c>
      <c r="FB37" s="870">
        <v>40</v>
      </c>
      <c r="FC37" s="870">
        <v>22.775173728813563</v>
      </c>
      <c r="FD37" s="870">
        <v>22.775173728813563</v>
      </c>
      <c r="FE37" s="870">
        <v>19.774011299435031</v>
      </c>
      <c r="FF37" s="870">
        <v>91.454802259887018</v>
      </c>
      <c r="FG37" s="870">
        <v>566.66666666666663</v>
      </c>
      <c r="FH37" s="870">
        <v>754.18931324702851</v>
      </c>
      <c r="FI37" s="870">
        <v>457.85367261957094</v>
      </c>
      <c r="FJ37" s="870">
        <v>26</v>
      </c>
      <c r="FK37" s="870">
        <f>PPH_Data_Base28[[#This Row],[Differential Pressure Switch]]*2</f>
        <v>52</v>
      </c>
      <c r="FL37" s="870">
        <v>42</v>
      </c>
      <c r="FM37" s="872">
        <f>PPH_Data_Base28[[#This Row],[STD PETRA DIAL DIFF.PRESS.GAUGE NOT DWYER]]*2</f>
        <v>84</v>
      </c>
      <c r="FN37" s="872">
        <v>150</v>
      </c>
      <c r="FO37" s="872">
        <f>PPH_Data_Base28[[#This Row],[Replaceble Filter Drier ]]</f>
        <v>384.18079096045199</v>
      </c>
      <c r="FP37" s="872">
        <f>PPH_Data_Base28[[#This Row],[2" Pre-Filter]]*2</f>
        <v>322.66939980978822</v>
      </c>
      <c r="FQ37" s="872">
        <f>PPH_Data_Base28[[#This Row],[Bag Filter EU-8]]</f>
        <v>1370.8403480615998</v>
      </c>
      <c r="FR37" s="872">
        <v>500</v>
      </c>
      <c r="FS37" s="872">
        <v>30</v>
      </c>
      <c r="FT37" s="176"/>
      <c r="FU37" s="176"/>
      <c r="FV37" s="176"/>
      <c r="FW37" s="176"/>
      <c r="GW37" s="176"/>
      <c r="GX37" s="176"/>
      <c r="HC37" s="176"/>
    </row>
    <row r="38" spans="1:211">
      <c r="A38" s="780" t="s">
        <v>467</v>
      </c>
      <c r="B38" s="781" t="s">
        <v>1631</v>
      </c>
      <c r="C38" s="781" t="s">
        <v>541</v>
      </c>
      <c r="D38" s="781" t="s">
        <v>1633</v>
      </c>
      <c r="E38" s="781" t="s">
        <v>1632</v>
      </c>
      <c r="F38" s="781" t="s">
        <v>1632</v>
      </c>
      <c r="G38" s="851">
        <v>0</v>
      </c>
      <c r="H38" s="781" t="s">
        <v>2248</v>
      </c>
      <c r="I38" s="781" t="s">
        <v>774</v>
      </c>
      <c r="J38" s="781" t="s">
        <v>1612</v>
      </c>
      <c r="K38" s="781">
        <v>2</v>
      </c>
      <c r="L38" s="781" t="s">
        <v>568</v>
      </c>
      <c r="M38" s="781">
        <v>12</v>
      </c>
      <c r="N38" s="781">
        <v>6</v>
      </c>
      <c r="O38" s="781">
        <v>180.5</v>
      </c>
      <c r="P38" s="781">
        <v>85.8</v>
      </c>
      <c r="Q38" s="781">
        <v>6</v>
      </c>
      <c r="R38" s="781">
        <v>25</v>
      </c>
      <c r="S38" s="781">
        <v>2</v>
      </c>
      <c r="T38" s="781">
        <v>20</v>
      </c>
      <c r="U38" s="781">
        <v>4</v>
      </c>
      <c r="V38" s="781">
        <v>3220</v>
      </c>
      <c r="W38" s="781">
        <v>3312</v>
      </c>
      <c r="X38" s="781" t="s">
        <v>423</v>
      </c>
      <c r="Y38" s="835">
        <v>0</v>
      </c>
      <c r="Z38" s="781">
        <v>58307</v>
      </c>
      <c r="AA38" s="781">
        <v>70001</v>
      </c>
      <c r="AB38" s="781">
        <v>50139</v>
      </c>
      <c r="AC38" s="834">
        <v>0</v>
      </c>
      <c r="AD38" s="783" t="s">
        <v>1613</v>
      </c>
      <c r="AE38" s="783" t="s">
        <v>1613</v>
      </c>
      <c r="AF38" s="783" t="s">
        <v>1613</v>
      </c>
      <c r="AG38" s="783" t="s">
        <v>1613</v>
      </c>
      <c r="AH38" s="783" t="s">
        <v>1208</v>
      </c>
      <c r="AI38" s="870">
        <v>0</v>
      </c>
      <c r="AJ38" s="870">
        <v>0</v>
      </c>
      <c r="AK38" s="870">
        <v>0</v>
      </c>
      <c r="AL38" s="870">
        <f>PPH_Data_Base28[[#This Row],[PPH Unit Basic Price With Cu Tube]]*0.05</f>
        <v>3500.05</v>
      </c>
      <c r="AM38" s="870">
        <v>594.15051744350285</v>
      </c>
      <c r="AN38" s="870">
        <v>2181.179045727401</v>
      </c>
      <c r="AO38" s="870">
        <v>3965.1833071592519</v>
      </c>
      <c r="AP38" s="870">
        <v>1161</v>
      </c>
      <c r="AQ38" s="870">
        <v>978.75000000000011</v>
      </c>
      <c r="AR38" s="870">
        <f>8*242</f>
        <v>1936</v>
      </c>
      <c r="AS38" s="870">
        <v>2318.0707063508685</v>
      </c>
      <c r="AT38" s="870">
        <v>5153.8283843986783</v>
      </c>
      <c r="AU38" s="870">
        <v>246.90992900656781</v>
      </c>
      <c r="AV38" s="870">
        <v>2004.0928885601484</v>
      </c>
      <c r="AW38" s="870">
        <v>10822.2</v>
      </c>
      <c r="AX38" s="870">
        <v>725</v>
      </c>
      <c r="AY38" s="870">
        <v>8374.8274661440701</v>
      </c>
      <c r="AZ38" s="870">
        <v>2942.4107473808263</v>
      </c>
      <c r="BA38" s="783" t="s">
        <v>1208</v>
      </c>
      <c r="BB38" s="870">
        <f>PPH_Data_Base28[[#This Row],[PPH Unit Basic Price With Cu Tube]]*0.1</f>
        <v>7000.1</v>
      </c>
      <c r="BC38" s="870">
        <v>605.14992116166684</v>
      </c>
      <c r="BD38" s="870">
        <v>2017.1664038722229</v>
      </c>
      <c r="BE38" s="870">
        <v>672.38880129074096</v>
      </c>
      <c r="BF38" s="870">
        <v>672.38880129074096</v>
      </c>
      <c r="BG38" s="870">
        <v>672.38880129074096</v>
      </c>
      <c r="BH38" s="870">
        <f>PPH_Data_Base28[[#This Row],[PPH Unit Basic Price With Cu Tube]]*0.075</f>
        <v>5250.0749999999998</v>
      </c>
      <c r="BI38" s="870">
        <v>2017.1664038722229</v>
      </c>
      <c r="BJ38" s="870">
        <v>672.38880129074096</v>
      </c>
      <c r="BK38" s="870">
        <v>672.38880129074096</v>
      </c>
      <c r="BL38" s="870">
        <v>672.38880129074096</v>
      </c>
      <c r="BM38" s="870">
        <f>PPH_Data_Base28[[#This Row],[Total Condenser Coil Area]]*Naming!$M$62*4</f>
        <v>16172.8</v>
      </c>
      <c r="BN38" s="870">
        <f>PPH_Data_Base28[[#This Row],[Total Evaporator  Coil Area]]*Naming!$M$62*4</f>
        <v>7687.6799999999994</v>
      </c>
      <c r="BO38" s="870">
        <f>PPH_Data_Base28[[#This Row],[Total Condenser Coil Area]]*Naming!$D$61*4</f>
        <v>245.48000000000002</v>
      </c>
      <c r="BP38" s="870">
        <f>PPH_Data_Base28[[#This Row],[Total Evaporator  Coil Area]]*Naming!$D$61*6</f>
        <v>175.03200000000001</v>
      </c>
      <c r="BQ38" s="870">
        <f>$G$195*PPH_Data_Base28[[#This Row],[Total Evaporator  Coil Area]]</f>
        <v>386.09999999999997</v>
      </c>
      <c r="BR38" s="870">
        <f>$G$199*PPH_Data_Base28[[#This Row],[Total Evaporator  Coil Area]]</f>
        <v>583.43999999999994</v>
      </c>
      <c r="BS38" s="870">
        <f>$E$185*PPH_Data_Base28[[#This Row],[Total Evaporator  Coil Area]]</f>
        <v>1716</v>
      </c>
      <c r="BT38" s="870">
        <f>$E$188*PPH_Data_Base28[[#This Row],[Total Evaporator  Coil Area]]</f>
        <v>2402.4</v>
      </c>
      <c r="BU38" s="870">
        <f>$G$195*PPH_Data_Base28[[#This Row],[Total Condenser Coil Area]]</f>
        <v>812.25</v>
      </c>
      <c r="BV38" s="870">
        <f>$G$199*PPH_Data_Base28[[#This Row],[Total Condenser Coil Area]]</f>
        <v>1227.3999999999999</v>
      </c>
      <c r="BW38" s="870">
        <f>$E$185*PPH_Data_Base28[[#This Row],[Total Condenser Coil Area]]</f>
        <v>3610</v>
      </c>
      <c r="BX38" s="870">
        <f>$E$188*PPH_Data_Base28[[#This Row],[Total Condenser Coil Area]]</f>
        <v>5054</v>
      </c>
      <c r="BY38" s="870">
        <v>447.79062894048479</v>
      </c>
      <c r="BZ38" s="870">
        <v>277.21090820025427</v>
      </c>
      <c r="CA38" s="870">
        <v>479.46435823205093</v>
      </c>
      <c r="CB38" s="870">
        <v>317.10605703177959</v>
      </c>
      <c r="CC38" s="870">
        <v>271.89265536723161</v>
      </c>
      <c r="CD38" s="870">
        <f t="shared" si="6"/>
        <v>170.46620618090401</v>
      </c>
      <c r="CE38" s="870">
        <v>20</v>
      </c>
      <c r="CF38" s="832">
        <v>0</v>
      </c>
      <c r="CG38" s="870">
        <f>PPH_Data_Base28[[#This Row],[PPH Unit Basic Price With Cu Tube]]*0.25</f>
        <v>17500.25</v>
      </c>
      <c r="CH38" s="870">
        <f>PPH_Data_Base28[[#This Row],[DSP Unit Basic Price With Cu Tube]]*0.35</f>
        <v>17548.649999999998</v>
      </c>
      <c r="CI38" s="870">
        <v>535.14213686440689</v>
      </c>
      <c r="CJ38" s="870">
        <v>778.64087288135602</v>
      </c>
      <c r="CK38" s="870">
        <v>111.57743262711864</v>
      </c>
      <c r="CL38" s="870">
        <v>576.27118644067798</v>
      </c>
      <c r="CM38" s="870">
        <v>129.66101694915253</v>
      </c>
      <c r="CN38" s="870">
        <v>619.49152542372883</v>
      </c>
      <c r="CO38" s="870">
        <v>0</v>
      </c>
      <c r="CP38" s="870">
        <v>635.85982895480231</v>
      </c>
      <c r="CQ38" s="870">
        <v>838.74172118644049</v>
      </c>
      <c r="CR38" s="781">
        <v>456.61870677966101</v>
      </c>
      <c r="CS38" s="870">
        <v>5380.6400431355942</v>
      </c>
      <c r="CT38" s="870">
        <v>2595.3389830508477</v>
      </c>
      <c r="CU38" s="870">
        <v>816.67340084745774</v>
      </c>
      <c r="CV38" s="870" t="s">
        <v>1208</v>
      </c>
      <c r="CW38" s="870">
        <f>400*1.35*PPH_Data_Base28[[#This Row],[No. of Unit  Compressors]]</f>
        <v>3240</v>
      </c>
      <c r="CX38" s="835">
        <v>0</v>
      </c>
      <c r="CY38" s="870">
        <f>47*PPH_Data_Base28[[#This Row],[No. of Unit  Compressors]]*1.35</f>
        <v>380.70000000000005</v>
      </c>
      <c r="CZ38" s="870">
        <f>30*1.35*PPH_Data_Base28[[#This Row],[NO Condenser Fans]]</f>
        <v>243</v>
      </c>
      <c r="DA38" s="870">
        <f>INDEX($B$136:$F$154,MATCH(PPH_Data_Base28[[#This Row],[STD Supply Fan Motor]],$B$136:$B$154,0),5)*PPH_Data_Base28[[#This Row],[Fan QTY]]</f>
        <v>187.95951073446332</v>
      </c>
      <c r="DB38" s="870">
        <f>47*1.35*PPH_Data_Base28[[#This Row],[No. of Unit  Compressors]]</f>
        <v>380.70000000000005</v>
      </c>
      <c r="DC38" s="870">
        <f>28*PPH_Data_Base28[[#This Row],[NO Condenser Fans]]</f>
        <v>168</v>
      </c>
      <c r="DD38" s="870">
        <f>INDEX($B$136:$F$154,MATCH(PPH_Data_Base28[[#This Row],[STD Supply Fan Motor]],$B$136:$B$154,0),3)*PPH_Data_Base28[[#This Row],[Fan QTY]]</f>
        <v>91.494187288135592</v>
      </c>
      <c r="DE38" s="870">
        <f>INDEX($B$114:$C$131,MATCH(PPH_Data_Base28[[#This Row],[Compressor 1 HP]],$B$114:$B$131,0),2)*PPH_Data_Base28[[#This Row],[Compressor 1 QTY]]+IFERROR(INDEX($B$114:$C$131,MATCH(PPH_Data_Base28[[#This Row],[Compressor 2 HP]],$B$114:$B$131,0),2)*PPH_Data_Base28[[#This Row],[Compressor 2 QTY]],0)</f>
        <v>668.61850000000015</v>
      </c>
      <c r="DF38" s="870">
        <f>40*PPH_Data_Base28[[#This Row],[NO Condenser Fans]]</f>
        <v>240</v>
      </c>
      <c r="DG38" s="870">
        <f>INDEX($B$136:$F$154,MATCH(PPH_Data_Base28[[#This Row],[STD Supply Fan Motor]],$B$136:$B$154,0),5)*PPH_Data_Base28[[#This Row],[Fan QTY]]</f>
        <v>187.95951073446332</v>
      </c>
      <c r="DH38" s="870">
        <v>932.20338983050851</v>
      </c>
      <c r="DI38" s="870">
        <v>559.32203389830511</v>
      </c>
      <c r="DJ38" s="870">
        <f>INDEX($F$114:$G$124,MATCH(PPH_Data_Base28[[#This Row],[Compressor 1 HP]],$F$114:$F$124,0),2)</f>
        <v>3800</v>
      </c>
      <c r="DK38" s="870">
        <f>INDEX($F$114:$G$124,MATCH(PPH_Data_Base28[[#This Row],[Compressor 1 HP]],$F$114:$F$124,0),2)*PPH_Data_Base28[[#This Row],[Compressor 1 QTY]]+IFERROR(INDEX($F$114:$G$124,MATCH(PPH_Data_Base28[[#This Row],[Compressor 2 HP]],$F$114:$F$124,0),2)*PPH_Data_Base28[[#This Row],[Compressor 2 QTY]],0)</f>
        <v>20400</v>
      </c>
      <c r="DL38" s="870">
        <v>2840</v>
      </c>
      <c r="DM38" s="870" t="s">
        <v>1208</v>
      </c>
      <c r="DN38" s="870" t="s">
        <v>1208</v>
      </c>
      <c r="DO38" s="870">
        <v>2234.339144915255</v>
      </c>
      <c r="DP38" s="870">
        <v>346.045197740113</v>
      </c>
      <c r="DQ38" s="870">
        <f>PPH_Data_Base28[[#This Row],[NEMA 4X For Electrical Panel]]</f>
        <v>346.045197740113</v>
      </c>
      <c r="DR38" s="870">
        <v>346.045197740113</v>
      </c>
      <c r="DS38" s="870" t="s">
        <v>1208</v>
      </c>
      <c r="DT38" s="870">
        <f>PPH_Data_Base28[[#This Row],[NO Condenser Fans]]*350</f>
        <v>2100</v>
      </c>
      <c r="DU38" s="870" t="s">
        <v>1208</v>
      </c>
      <c r="DV38" s="870">
        <f>150*PPH_Data_Base28[[#This Row],[NO Condenser Fans]]</f>
        <v>900</v>
      </c>
      <c r="DW38" s="870">
        <v>2272.2457627118642</v>
      </c>
      <c r="DX38" s="781">
        <v>250</v>
      </c>
      <c r="DY38" s="870">
        <v>700</v>
      </c>
      <c r="DZ38" s="870">
        <v>100</v>
      </c>
      <c r="EA38" s="870">
        <v>540</v>
      </c>
      <c r="EB38" s="870">
        <v>4.186805084745763</v>
      </c>
      <c r="EC38" s="870">
        <v>34.957627118644069</v>
      </c>
      <c r="ED38" s="870">
        <v>58.361196822033918</v>
      </c>
      <c r="EE38" s="870">
        <v>350</v>
      </c>
      <c r="EF38" s="870">
        <v>350</v>
      </c>
      <c r="EG38" s="870">
        <v>286</v>
      </c>
      <c r="EH38" s="870">
        <v>375</v>
      </c>
      <c r="EI38" s="870">
        <v>138</v>
      </c>
      <c r="EJ38" s="870">
        <v>81</v>
      </c>
      <c r="EK38" s="870">
        <v>33.75</v>
      </c>
      <c r="EL38" s="870">
        <v>67.5</v>
      </c>
      <c r="EM38" s="870">
        <v>337.5</v>
      </c>
      <c r="EN38" s="870">
        <v>67</v>
      </c>
      <c r="EO38" s="870">
        <v>371</v>
      </c>
      <c r="EP38" s="870">
        <v>385.53092711864412</v>
      </c>
      <c r="EQ38" s="870">
        <v>26</v>
      </c>
      <c r="ER38" s="870">
        <v>324</v>
      </c>
      <c r="ES38" s="870">
        <v>22</v>
      </c>
      <c r="ET38" s="870">
        <v>65</v>
      </c>
      <c r="EU38" s="870">
        <v>203</v>
      </c>
      <c r="EV38" s="870">
        <v>250</v>
      </c>
      <c r="EW38" s="847">
        <v>0</v>
      </c>
      <c r="EX38" s="870">
        <v>92.768903954802283</v>
      </c>
      <c r="EY38" s="870">
        <v>666.23951186440684</v>
      </c>
      <c r="EZ38" s="870">
        <v>38.418079096045197</v>
      </c>
      <c r="FA38" s="870">
        <v>40</v>
      </c>
      <c r="FB38" s="870">
        <v>40</v>
      </c>
      <c r="FC38" s="870">
        <v>22.775173728813563</v>
      </c>
      <c r="FD38" s="870">
        <v>22.775173728813563</v>
      </c>
      <c r="FE38" s="870">
        <v>39.548022598870062</v>
      </c>
      <c r="FF38" s="870">
        <v>182.90960451977404</v>
      </c>
      <c r="FG38" s="870">
        <v>1133.3333333333333</v>
      </c>
      <c r="FH38" s="870">
        <v>1161.1450898591472</v>
      </c>
      <c r="FI38" s="870">
        <v>704.93137407507925</v>
      </c>
      <c r="FJ38" s="870">
        <v>26</v>
      </c>
      <c r="FK38" s="870">
        <f>PPH_Data_Base28[[#This Row],[Differential Pressure Switch]]*2</f>
        <v>52</v>
      </c>
      <c r="FL38" s="870">
        <v>42</v>
      </c>
      <c r="FM38" s="872">
        <f>PPH_Data_Base28[[#This Row],[STD PETRA DIAL DIFF.PRESS.GAUGE NOT DWYER]]*2</f>
        <v>84</v>
      </c>
      <c r="FN38" s="872">
        <v>150</v>
      </c>
      <c r="FO38" s="872">
        <f>PPH_Data_Base28[[#This Row],[Replaceble Filter Drier ]]</f>
        <v>576.27118644067798</v>
      </c>
      <c r="FP38" s="872">
        <f>PPH_Data_Base28[[#This Row],[2" Pre-Filter]]*2</f>
        <v>493.81985801313562</v>
      </c>
      <c r="FQ38" s="872">
        <f>PPH_Data_Base28[[#This Row],[Bag Filter EU-8]]</f>
        <v>2004.0928885601484</v>
      </c>
      <c r="FR38" s="872">
        <v>500</v>
      </c>
      <c r="FS38" s="872">
        <v>30</v>
      </c>
      <c r="FT38" s="176"/>
      <c r="FU38" s="176"/>
      <c r="FV38" s="176"/>
      <c r="FW38" s="176"/>
      <c r="GW38" s="176"/>
      <c r="GX38" s="176"/>
      <c r="HC38" s="176"/>
    </row>
    <row r="39" spans="1:211">
      <c r="A39" s="780" t="s">
        <v>468</v>
      </c>
      <c r="B39" s="781" t="s">
        <v>1634</v>
      </c>
      <c r="C39" s="781" t="s">
        <v>542</v>
      </c>
      <c r="D39" s="781" t="s">
        <v>1636</v>
      </c>
      <c r="E39" s="781" t="s">
        <v>1635</v>
      </c>
      <c r="F39" s="781" t="s">
        <v>1635</v>
      </c>
      <c r="G39" s="851">
        <v>0</v>
      </c>
      <c r="H39" s="781" t="s">
        <v>2248</v>
      </c>
      <c r="I39" s="781" t="s">
        <v>777</v>
      </c>
      <c r="J39" s="781" t="s">
        <v>1612</v>
      </c>
      <c r="K39" s="781">
        <v>2</v>
      </c>
      <c r="L39" s="781" t="s">
        <v>568</v>
      </c>
      <c r="M39" s="781">
        <v>12</v>
      </c>
      <c r="N39" s="781">
        <v>6</v>
      </c>
      <c r="O39" s="781">
        <v>197.38888888888889</v>
      </c>
      <c r="P39" s="781">
        <v>85.8</v>
      </c>
      <c r="Q39" s="781">
        <v>6</v>
      </c>
      <c r="R39" s="781">
        <v>25</v>
      </c>
      <c r="S39" s="781">
        <v>4</v>
      </c>
      <c r="T39" s="781">
        <v>20</v>
      </c>
      <c r="U39" s="781">
        <v>2</v>
      </c>
      <c r="V39" s="781">
        <v>3220</v>
      </c>
      <c r="W39" s="781">
        <v>3312</v>
      </c>
      <c r="X39" s="781"/>
      <c r="Y39" s="835">
        <v>0</v>
      </c>
      <c r="Z39" s="781">
        <v>60393</v>
      </c>
      <c r="AA39" s="781">
        <v>74566</v>
      </c>
      <c r="AB39" s="781">
        <v>52176</v>
      </c>
      <c r="AC39" s="834">
        <v>0</v>
      </c>
      <c r="AD39" s="783" t="s">
        <v>1613</v>
      </c>
      <c r="AE39" s="783" t="s">
        <v>1613</v>
      </c>
      <c r="AF39" s="783" t="s">
        <v>1613</v>
      </c>
      <c r="AG39" s="783" t="s">
        <v>1613</v>
      </c>
      <c r="AH39" s="783" t="s">
        <v>1208</v>
      </c>
      <c r="AI39" s="870">
        <v>0</v>
      </c>
      <c r="AJ39" s="870">
        <v>0</v>
      </c>
      <c r="AK39" s="870">
        <v>0</v>
      </c>
      <c r="AL39" s="870">
        <f>PPH_Data_Base28[[#This Row],[PPH Unit Basic Price With Cu Tube]]*0.05</f>
        <v>3728.3</v>
      </c>
      <c r="AM39" s="870">
        <v>594.15051744350285</v>
      </c>
      <c r="AN39" s="870">
        <v>2181.179045727401</v>
      </c>
      <c r="AO39" s="870">
        <v>3965.1833071592519</v>
      </c>
      <c r="AP39" s="870">
        <v>1161</v>
      </c>
      <c r="AQ39" s="870">
        <v>978.75000000000011</v>
      </c>
      <c r="AR39" s="870">
        <f>8*242</f>
        <v>1936</v>
      </c>
      <c r="AS39" s="870">
        <v>2318.0707063508685</v>
      </c>
      <c r="AT39" s="870">
        <v>5153.8283843986783</v>
      </c>
      <c r="AU39" s="870">
        <v>246.90992900656781</v>
      </c>
      <c r="AV39" s="870">
        <v>2004.0928885601484</v>
      </c>
      <c r="AW39" s="870">
        <v>10822.2</v>
      </c>
      <c r="AX39" s="870">
        <v>725</v>
      </c>
      <c r="AY39" s="870">
        <v>8374.8274661440701</v>
      </c>
      <c r="AZ39" s="870">
        <v>2942.4107473808263</v>
      </c>
      <c r="BA39" s="783" t="s">
        <v>1208</v>
      </c>
      <c r="BB39" s="870">
        <f>PPH_Data_Base28[[#This Row],[PPH Unit Basic Price With Cu Tube]]*0.1</f>
        <v>7456.6</v>
      </c>
      <c r="BC39" s="870">
        <v>641.34770266275586</v>
      </c>
      <c r="BD39" s="870">
        <v>2137.8256755425195</v>
      </c>
      <c r="BE39" s="870">
        <v>712.60855851417318</v>
      </c>
      <c r="BF39" s="870">
        <v>712.60855851417318</v>
      </c>
      <c r="BG39" s="870">
        <v>712.60855851417318</v>
      </c>
      <c r="BH39" s="870">
        <f>PPH_Data_Base28[[#This Row],[PPH Unit Basic Price With Cu Tube]]*0.075</f>
        <v>5592.45</v>
      </c>
      <c r="BI39" s="870">
        <v>2137.8256755425195</v>
      </c>
      <c r="BJ39" s="870">
        <v>712.60855851417318</v>
      </c>
      <c r="BK39" s="870">
        <v>712.60855851417318</v>
      </c>
      <c r="BL39" s="870">
        <v>712.60855851417318</v>
      </c>
      <c r="BM39" s="870">
        <f>PPH_Data_Base28[[#This Row],[Total Condenser Coil Area]]*Naming!$M$62*4</f>
        <v>17686.044444444444</v>
      </c>
      <c r="BN39" s="870">
        <f>PPH_Data_Base28[[#This Row],[Total Evaporator  Coil Area]]*Naming!$M$62*4</f>
        <v>7687.6799999999994</v>
      </c>
      <c r="BO39" s="870">
        <f>PPH_Data_Base28[[#This Row],[Total Condenser Coil Area]]*Naming!$D$61*4</f>
        <v>268.44888888888892</v>
      </c>
      <c r="BP39" s="870">
        <f>PPH_Data_Base28[[#This Row],[Total Evaporator  Coil Area]]*Naming!$D$61*6</f>
        <v>175.03200000000001</v>
      </c>
      <c r="BQ39" s="870">
        <f>$G$195*PPH_Data_Base28[[#This Row],[Total Evaporator  Coil Area]]</f>
        <v>386.09999999999997</v>
      </c>
      <c r="BR39" s="870">
        <f>$G$199*PPH_Data_Base28[[#This Row],[Total Evaporator  Coil Area]]</f>
        <v>583.43999999999994</v>
      </c>
      <c r="BS39" s="870">
        <f>$E$185*PPH_Data_Base28[[#This Row],[Total Evaporator  Coil Area]]</f>
        <v>1716</v>
      </c>
      <c r="BT39" s="870">
        <f>$E$188*PPH_Data_Base28[[#This Row],[Total Evaporator  Coil Area]]</f>
        <v>2402.4</v>
      </c>
      <c r="BU39" s="870">
        <f>$G$195*PPH_Data_Base28[[#This Row],[Total Condenser Coil Area]]</f>
        <v>888.25</v>
      </c>
      <c r="BV39" s="870">
        <f>$G$199*PPH_Data_Base28[[#This Row],[Total Condenser Coil Area]]</f>
        <v>1342.2444444444443</v>
      </c>
      <c r="BW39" s="870">
        <f>$E$185*PPH_Data_Base28[[#This Row],[Total Condenser Coil Area]]</f>
        <v>3947.7777777777778</v>
      </c>
      <c r="BX39" s="870">
        <f>$E$188*PPH_Data_Base28[[#This Row],[Total Condenser Coil Area]]</f>
        <v>5526.8888888888887</v>
      </c>
      <c r="BY39" s="870">
        <v>447.79062894048479</v>
      </c>
      <c r="BZ39" s="870">
        <v>277.21090820025427</v>
      </c>
      <c r="CA39" s="870">
        <v>719.19653734807628</v>
      </c>
      <c r="CB39" s="870">
        <v>475.65908554766941</v>
      </c>
      <c r="CC39" s="870">
        <v>271.89265536723161</v>
      </c>
      <c r="CD39" s="870">
        <f t="shared" si="6"/>
        <v>170.46620618090401</v>
      </c>
      <c r="CE39" s="870">
        <v>20</v>
      </c>
      <c r="CF39" s="832">
        <v>0</v>
      </c>
      <c r="CG39" s="870">
        <f>PPH_Data_Base28[[#This Row],[PPH Unit Basic Price With Cu Tube]]*0.25</f>
        <v>18641.5</v>
      </c>
      <c r="CH39" s="870">
        <f>PPH_Data_Base28[[#This Row],[DSP Unit Basic Price With Cu Tube]]*0.35</f>
        <v>18261.599999999999</v>
      </c>
      <c r="CI39" s="870">
        <v>535.14213686440689</v>
      </c>
      <c r="CJ39" s="870">
        <v>778.64087288135602</v>
      </c>
      <c r="CK39" s="870">
        <v>111.57743262711864</v>
      </c>
      <c r="CL39" s="870">
        <v>576.27118644067798</v>
      </c>
      <c r="CM39" s="870">
        <v>129.66101694915253</v>
      </c>
      <c r="CN39" s="870">
        <v>691.52542372881351</v>
      </c>
      <c r="CO39" s="870">
        <v>0</v>
      </c>
      <c r="CP39" s="870">
        <v>674.31920748587572</v>
      </c>
      <c r="CQ39" s="870">
        <v>838.74172118644049</v>
      </c>
      <c r="CR39" s="781">
        <v>456.61870677966101</v>
      </c>
      <c r="CS39" s="870">
        <v>5478.7704027118634</v>
      </c>
      <c r="CT39" s="870">
        <v>2595.3389830508477</v>
      </c>
      <c r="CU39" s="870">
        <v>816.67340084745774</v>
      </c>
      <c r="CV39" s="870" t="s">
        <v>1208</v>
      </c>
      <c r="CW39" s="870">
        <f>400*1.35*PPH_Data_Base28[[#This Row],[No. of Unit  Compressors]]</f>
        <v>3240</v>
      </c>
      <c r="CX39" s="835">
        <v>0</v>
      </c>
      <c r="CY39" s="870">
        <f>47*PPH_Data_Base28[[#This Row],[No. of Unit  Compressors]]*1.35</f>
        <v>380.70000000000005</v>
      </c>
      <c r="CZ39" s="870">
        <f>30*1.35*PPH_Data_Base28[[#This Row],[NO Condenser Fans]]</f>
        <v>243</v>
      </c>
      <c r="DA39" s="870">
        <f>INDEX($B$136:$F$154,MATCH(PPH_Data_Base28[[#This Row],[STD Supply Fan Motor]],$B$136:$B$154,0),5)*PPH_Data_Base28[[#This Row],[Fan QTY]]</f>
        <v>187.95951073446332</v>
      </c>
      <c r="DB39" s="870">
        <f>47*1.35*PPH_Data_Base28[[#This Row],[No. of Unit  Compressors]]</f>
        <v>380.70000000000005</v>
      </c>
      <c r="DC39" s="870">
        <f>28*PPH_Data_Base28[[#This Row],[NO Condenser Fans]]</f>
        <v>168</v>
      </c>
      <c r="DD39" s="870">
        <f>INDEX($B$136:$F$154,MATCH(PPH_Data_Base28[[#This Row],[STD Supply Fan Motor]],$B$136:$B$154,0),3)*PPH_Data_Base28[[#This Row],[Fan QTY]]</f>
        <v>91.494187288135592</v>
      </c>
      <c r="DE39" s="870">
        <f>INDEX($B$114:$C$131,MATCH(PPH_Data_Base28[[#This Row],[Compressor 1 HP]],$B$114:$B$131,0),2)*PPH_Data_Base28[[#This Row],[Compressor 1 QTY]]+IFERROR(INDEX($B$114:$C$131,MATCH(PPH_Data_Base28[[#This Row],[Compressor 2 HP]],$B$114:$B$131,0),2)*PPH_Data_Base28[[#This Row],[Compressor 2 QTY]],0)</f>
        <v>668.61850000000015</v>
      </c>
      <c r="DF39" s="870">
        <f>40*PPH_Data_Base28[[#This Row],[NO Condenser Fans]]</f>
        <v>240</v>
      </c>
      <c r="DG39" s="870">
        <f>INDEX($B$136:$F$154,MATCH(PPH_Data_Base28[[#This Row],[STD Supply Fan Motor]],$B$136:$B$154,0),5)*PPH_Data_Base28[[#This Row],[Fan QTY]]</f>
        <v>187.95951073446332</v>
      </c>
      <c r="DH39" s="870">
        <v>932.20338983050851</v>
      </c>
      <c r="DI39" s="870">
        <v>559.32203389830511</v>
      </c>
      <c r="DJ39" s="870">
        <f>INDEX($F$114:$G$124,MATCH(PPH_Data_Base28[[#This Row],[Compressor 1 HP]],$F$114:$F$124,0),2)</f>
        <v>3800</v>
      </c>
      <c r="DK39" s="870">
        <f>INDEX($F$114:$G$124,MATCH(PPH_Data_Base28[[#This Row],[Compressor 1 HP]],$F$114:$F$124,0),2)*PPH_Data_Base28[[#This Row],[Compressor 1 QTY]]+IFERROR(INDEX($F$114:$G$124,MATCH(PPH_Data_Base28[[#This Row],[Compressor 2 HP]],$F$114:$F$124,0),2)*PPH_Data_Base28[[#This Row],[Compressor 2 QTY]],0)</f>
        <v>21600</v>
      </c>
      <c r="DL39" s="870">
        <v>2840</v>
      </c>
      <c r="DM39" s="870" t="s">
        <v>1208</v>
      </c>
      <c r="DN39" s="870" t="s">
        <v>1208</v>
      </c>
      <c r="DO39" s="870">
        <v>2234.339144915255</v>
      </c>
      <c r="DP39" s="870">
        <v>346.045197740113</v>
      </c>
      <c r="DQ39" s="870">
        <f>PPH_Data_Base28[[#This Row],[NEMA 4X For Electrical Panel]]</f>
        <v>346.045197740113</v>
      </c>
      <c r="DR39" s="870">
        <v>346.045197740113</v>
      </c>
      <c r="DS39" s="870" t="s">
        <v>1208</v>
      </c>
      <c r="DT39" s="870">
        <f>PPH_Data_Base28[[#This Row],[NO Condenser Fans]]*350</f>
        <v>2100</v>
      </c>
      <c r="DU39" s="870" t="s">
        <v>1208</v>
      </c>
      <c r="DV39" s="870">
        <f>150*PPH_Data_Base28[[#This Row],[NO Condenser Fans]]</f>
        <v>900</v>
      </c>
      <c r="DW39" s="870">
        <v>2272.2457627118642</v>
      </c>
      <c r="DX39" s="781">
        <v>250</v>
      </c>
      <c r="DY39" s="870">
        <v>700</v>
      </c>
      <c r="DZ39" s="870">
        <v>100</v>
      </c>
      <c r="EA39" s="870">
        <v>540</v>
      </c>
      <c r="EB39" s="870">
        <v>4.186805084745763</v>
      </c>
      <c r="EC39" s="870">
        <v>34.957627118644069</v>
      </c>
      <c r="ED39" s="870">
        <v>58.361196822033918</v>
      </c>
      <c r="EE39" s="870">
        <v>350</v>
      </c>
      <c r="EF39" s="870">
        <v>350</v>
      </c>
      <c r="EG39" s="870">
        <v>286</v>
      </c>
      <c r="EH39" s="870">
        <v>375</v>
      </c>
      <c r="EI39" s="870">
        <v>138</v>
      </c>
      <c r="EJ39" s="870">
        <v>81</v>
      </c>
      <c r="EK39" s="870">
        <v>33.75</v>
      </c>
      <c r="EL39" s="870">
        <v>67.5</v>
      </c>
      <c r="EM39" s="870">
        <v>337.5</v>
      </c>
      <c r="EN39" s="870">
        <v>67</v>
      </c>
      <c r="EO39" s="870">
        <v>371</v>
      </c>
      <c r="EP39" s="870">
        <v>385.53092711864412</v>
      </c>
      <c r="EQ39" s="870">
        <v>26</v>
      </c>
      <c r="ER39" s="870">
        <v>324</v>
      </c>
      <c r="ES39" s="870">
        <v>22</v>
      </c>
      <c r="ET39" s="870">
        <v>65</v>
      </c>
      <c r="EU39" s="870">
        <v>203</v>
      </c>
      <c r="EV39" s="870">
        <v>250</v>
      </c>
      <c r="EW39" s="847">
        <v>0</v>
      </c>
      <c r="EX39" s="870">
        <v>92.768903954802283</v>
      </c>
      <c r="EY39" s="870">
        <v>666.23951186440684</v>
      </c>
      <c r="EZ39" s="870">
        <v>38.418079096045197</v>
      </c>
      <c r="FA39" s="870">
        <v>40</v>
      </c>
      <c r="FB39" s="870">
        <v>40</v>
      </c>
      <c r="FC39" s="870">
        <v>22.775173728813563</v>
      </c>
      <c r="FD39" s="870">
        <v>22.775173728813563</v>
      </c>
      <c r="FE39" s="870">
        <v>39.548022598870062</v>
      </c>
      <c r="FF39" s="870">
        <v>182.90960451977404</v>
      </c>
      <c r="FG39" s="870">
        <v>1133.3333333333333</v>
      </c>
      <c r="FH39" s="870">
        <v>1161.1450898591472</v>
      </c>
      <c r="FI39" s="870">
        <v>704.93137407507925</v>
      </c>
      <c r="FJ39" s="870">
        <v>26</v>
      </c>
      <c r="FK39" s="870">
        <f>PPH_Data_Base28[[#This Row],[Differential Pressure Switch]]*2</f>
        <v>52</v>
      </c>
      <c r="FL39" s="870">
        <v>42</v>
      </c>
      <c r="FM39" s="872">
        <f>PPH_Data_Base28[[#This Row],[STD PETRA DIAL DIFF.PRESS.GAUGE NOT DWYER]]*2</f>
        <v>84</v>
      </c>
      <c r="FN39" s="872">
        <v>150</v>
      </c>
      <c r="FO39" s="872">
        <f>PPH_Data_Base28[[#This Row],[Replaceble Filter Drier ]]</f>
        <v>576.27118644067798</v>
      </c>
      <c r="FP39" s="872">
        <f>PPH_Data_Base28[[#This Row],[2" Pre-Filter]]*2</f>
        <v>493.81985801313562</v>
      </c>
      <c r="FQ39" s="872">
        <f>PPH_Data_Base28[[#This Row],[Bag Filter EU-8]]</f>
        <v>2004.0928885601484</v>
      </c>
      <c r="FR39" s="872">
        <v>500</v>
      </c>
      <c r="FS39" s="872">
        <v>30</v>
      </c>
      <c r="FT39" s="176"/>
      <c r="FU39" s="176"/>
      <c r="FV39" s="176"/>
      <c r="FW39" s="176"/>
      <c r="GW39" s="176"/>
      <c r="GX39" s="176"/>
      <c r="HC39" s="176"/>
    </row>
    <row r="40" spans="1:211">
      <c r="A40" s="780" t="s">
        <v>469</v>
      </c>
      <c r="B40" s="781" t="s">
        <v>1637</v>
      </c>
      <c r="C40" s="781" t="s">
        <v>543</v>
      </c>
      <c r="D40" s="781" t="s">
        <v>1639</v>
      </c>
      <c r="E40" s="781" t="s">
        <v>1638</v>
      </c>
      <c r="F40" s="781" t="s">
        <v>1638</v>
      </c>
      <c r="G40" s="851">
        <v>0</v>
      </c>
      <c r="H40" s="781" t="s">
        <v>2248</v>
      </c>
      <c r="I40" s="781" t="s">
        <v>777</v>
      </c>
      <c r="J40" s="781" t="s">
        <v>1624</v>
      </c>
      <c r="K40" s="781">
        <v>2</v>
      </c>
      <c r="L40" s="781" t="s">
        <v>568</v>
      </c>
      <c r="M40" s="781">
        <v>12</v>
      </c>
      <c r="N40" s="781">
        <v>6</v>
      </c>
      <c r="O40" s="781">
        <v>205.83333333333334</v>
      </c>
      <c r="P40" s="781">
        <v>85.8</v>
      </c>
      <c r="Q40" s="781">
        <v>6</v>
      </c>
      <c r="R40" s="781">
        <v>30</v>
      </c>
      <c r="S40" s="781">
        <v>2</v>
      </c>
      <c r="T40" s="781">
        <v>25</v>
      </c>
      <c r="U40" s="781">
        <v>4</v>
      </c>
      <c r="V40" s="781">
        <v>3220</v>
      </c>
      <c r="W40" s="781">
        <v>4306</v>
      </c>
      <c r="X40" s="781"/>
      <c r="Y40" s="835">
        <v>0</v>
      </c>
      <c r="Z40" s="781">
        <v>62643</v>
      </c>
      <c r="AA40" s="781">
        <v>78045</v>
      </c>
      <c r="AB40" s="781">
        <v>54175</v>
      </c>
      <c r="AC40" s="834">
        <v>0</v>
      </c>
      <c r="AD40" s="783" t="s">
        <v>1613</v>
      </c>
      <c r="AE40" s="783" t="s">
        <v>1613</v>
      </c>
      <c r="AF40" s="783" t="s">
        <v>1613</v>
      </c>
      <c r="AG40" s="783" t="s">
        <v>1613</v>
      </c>
      <c r="AH40" s="783" t="s">
        <v>1208</v>
      </c>
      <c r="AI40" s="870">
        <v>0</v>
      </c>
      <c r="AJ40" s="870">
        <v>0</v>
      </c>
      <c r="AK40" s="870">
        <v>0</v>
      </c>
      <c r="AL40" s="870">
        <f>PPH_Data_Base28[[#This Row],[PPH Unit Basic Price With Cu Tube]]*0.05</f>
        <v>3902.25</v>
      </c>
      <c r="AM40" s="870">
        <v>594.15051744350285</v>
      </c>
      <c r="AN40" s="870">
        <v>2181.179045727401</v>
      </c>
      <c r="AO40" s="870">
        <v>3965.1833071592519</v>
      </c>
      <c r="AP40" s="870">
        <v>1161</v>
      </c>
      <c r="AQ40" s="870">
        <v>978.75000000000011</v>
      </c>
      <c r="AR40" s="870">
        <f>8*242</f>
        <v>1936</v>
      </c>
      <c r="AS40" s="870">
        <v>2272.6531323996082</v>
      </c>
      <c r="AT40" s="870">
        <v>5081.1602660766612</v>
      </c>
      <c r="AU40" s="870">
        <v>246.90992900656781</v>
      </c>
      <c r="AV40" s="870">
        <v>2004.0928885601484</v>
      </c>
      <c r="AW40" s="870">
        <v>10822.2</v>
      </c>
      <c r="AX40" s="870">
        <v>725</v>
      </c>
      <c r="AY40" s="870">
        <v>8374.8274661440701</v>
      </c>
      <c r="AZ40" s="870">
        <v>2942.4107473808263</v>
      </c>
      <c r="BA40" s="783" t="s">
        <v>1208</v>
      </c>
      <c r="BB40" s="870">
        <f>PPH_Data_Base28[[#This Row],[PPH Unit Basic Price With Cu Tube]]*0.1</f>
        <v>7804.5</v>
      </c>
      <c r="BC40" s="870">
        <v>677.1283518275651</v>
      </c>
      <c r="BD40" s="870">
        <v>2257.0945060918839</v>
      </c>
      <c r="BE40" s="870">
        <v>752.36483536396133</v>
      </c>
      <c r="BF40" s="870">
        <v>752.36483536396133</v>
      </c>
      <c r="BG40" s="870">
        <v>752.36483536396133</v>
      </c>
      <c r="BH40" s="870">
        <f>PPH_Data_Base28[[#This Row],[PPH Unit Basic Price With Cu Tube]]*0.075</f>
        <v>5853.375</v>
      </c>
      <c r="BI40" s="870">
        <v>2257.0945060918839</v>
      </c>
      <c r="BJ40" s="870">
        <v>752.36483536396133</v>
      </c>
      <c r="BK40" s="870">
        <v>752.36483536396133</v>
      </c>
      <c r="BL40" s="870">
        <v>752.36483536396133</v>
      </c>
      <c r="BM40" s="870">
        <f>PPH_Data_Base28[[#This Row],[Total Condenser Coil Area]]*Naming!$M$62*4</f>
        <v>18442.666666666668</v>
      </c>
      <c r="BN40" s="870">
        <f>PPH_Data_Base28[[#This Row],[Total Evaporator  Coil Area]]*Naming!$M$62*4</f>
        <v>7687.6799999999994</v>
      </c>
      <c r="BO40" s="870">
        <f>PPH_Data_Base28[[#This Row],[Total Condenser Coil Area]]*Naming!$D$61*4</f>
        <v>279.93333333333339</v>
      </c>
      <c r="BP40" s="870">
        <f>PPH_Data_Base28[[#This Row],[Total Evaporator  Coil Area]]*Naming!$D$61*6</f>
        <v>175.03200000000001</v>
      </c>
      <c r="BQ40" s="870">
        <f>$G$195*PPH_Data_Base28[[#This Row],[Total Evaporator  Coil Area]]</f>
        <v>386.09999999999997</v>
      </c>
      <c r="BR40" s="870">
        <f>$G$199*PPH_Data_Base28[[#This Row],[Total Evaporator  Coil Area]]</f>
        <v>583.43999999999994</v>
      </c>
      <c r="BS40" s="870">
        <f>$E$185*PPH_Data_Base28[[#This Row],[Total Evaporator  Coil Area]]</f>
        <v>1716</v>
      </c>
      <c r="BT40" s="870">
        <f>$E$188*PPH_Data_Base28[[#This Row],[Total Evaporator  Coil Area]]</f>
        <v>2402.4</v>
      </c>
      <c r="BU40" s="870">
        <f>$G$195*PPH_Data_Base28[[#This Row],[Total Condenser Coil Area]]</f>
        <v>926.25</v>
      </c>
      <c r="BV40" s="870">
        <f>$G$199*PPH_Data_Base28[[#This Row],[Total Condenser Coil Area]]</f>
        <v>1399.6666666666667</v>
      </c>
      <c r="BW40" s="870">
        <f>$E$185*PPH_Data_Base28[[#This Row],[Total Condenser Coil Area]]</f>
        <v>4116.666666666667</v>
      </c>
      <c r="BX40" s="870">
        <f>$E$188*PPH_Data_Base28[[#This Row],[Total Condenser Coil Area]]</f>
        <v>5763.3333333333339</v>
      </c>
      <c r="BY40" s="870">
        <v>447.79062894048479</v>
      </c>
      <c r="BZ40" s="870">
        <v>277.21090820025427</v>
      </c>
      <c r="CA40" s="870">
        <v>719.19653734807628</v>
      </c>
      <c r="CB40" s="870">
        <v>475.65908554766941</v>
      </c>
      <c r="CC40" s="870">
        <v>271.89265536723161</v>
      </c>
      <c r="CD40" s="870">
        <f t="shared" si="6"/>
        <v>170.46620618090401</v>
      </c>
      <c r="CE40" s="870">
        <v>20</v>
      </c>
      <c r="CF40" s="832">
        <v>0</v>
      </c>
      <c r="CG40" s="870">
        <f>PPH_Data_Base28[[#This Row],[PPH Unit Basic Price With Cu Tube]]*0.25</f>
        <v>19511.25</v>
      </c>
      <c r="CH40" s="870">
        <f>PPH_Data_Base28[[#This Row],[DSP Unit Basic Price With Cu Tube]]*0.35</f>
        <v>18961.25</v>
      </c>
      <c r="CI40" s="870">
        <v>535.14213686440689</v>
      </c>
      <c r="CJ40" s="870">
        <v>778.64087288135602</v>
      </c>
      <c r="CK40" s="870">
        <v>111.57743262711864</v>
      </c>
      <c r="CL40" s="870">
        <v>576.27118644067798</v>
      </c>
      <c r="CM40" s="870">
        <v>129.66101694915253</v>
      </c>
      <c r="CN40" s="870">
        <v>763.5593220338983</v>
      </c>
      <c r="CO40" s="870">
        <v>0</v>
      </c>
      <c r="CP40" s="870">
        <v>1094.6869524011299</v>
      </c>
      <c r="CQ40" s="870">
        <v>838.74172118644049</v>
      </c>
      <c r="CR40" s="781">
        <v>456.61870677966101</v>
      </c>
      <c r="CS40" s="870">
        <v>6335.4979937923736</v>
      </c>
      <c r="CT40" s="870">
        <v>2595.3389830508477</v>
      </c>
      <c r="CU40" s="870">
        <v>816.67340084745774</v>
      </c>
      <c r="CV40" s="870" t="s">
        <v>1208</v>
      </c>
      <c r="CW40" s="870">
        <f>400*1.35*PPH_Data_Base28[[#This Row],[No. of Unit  Compressors]]</f>
        <v>3240</v>
      </c>
      <c r="CX40" s="835">
        <v>0</v>
      </c>
      <c r="CY40" s="870">
        <f>47*PPH_Data_Base28[[#This Row],[No. of Unit  Compressors]]*1.35</f>
        <v>380.70000000000005</v>
      </c>
      <c r="CZ40" s="870">
        <f>30*1.35*PPH_Data_Base28[[#This Row],[NO Condenser Fans]]</f>
        <v>243</v>
      </c>
      <c r="DA40" s="870">
        <f>INDEX($B$136:$F$154,MATCH(PPH_Data_Base28[[#This Row],[STD Supply Fan Motor]],$B$136:$B$154,0),5)*PPH_Data_Base28[[#This Row],[Fan QTY]]</f>
        <v>199.14987598870056</v>
      </c>
      <c r="DB40" s="870">
        <f>47*1.35*PPH_Data_Base28[[#This Row],[No. of Unit  Compressors]]</f>
        <v>380.70000000000005</v>
      </c>
      <c r="DC40" s="870">
        <f>28*PPH_Data_Base28[[#This Row],[NO Condenser Fans]]</f>
        <v>168</v>
      </c>
      <c r="DD40" s="870">
        <f>INDEX($B$136:$F$154,MATCH(PPH_Data_Base28[[#This Row],[STD Supply Fan Motor]],$B$136:$B$154,0),3)*PPH_Data_Base28[[#This Row],[Fan QTY]]</f>
        <v>196.18043220338984</v>
      </c>
      <c r="DE40" s="870">
        <f>INDEX($B$114:$C$131,MATCH(PPH_Data_Base28[[#This Row],[Compressor 1 HP]],$B$114:$B$131,0),2)*PPH_Data_Base28[[#This Row],[Compressor 1 QTY]]+IFERROR(INDEX($B$114:$C$131,MATCH(PPH_Data_Base28[[#This Row],[Compressor 2 HP]],$B$114:$B$131,0),2)*PPH_Data_Base28[[#This Row],[Compressor 2 QTY]],0)</f>
        <v>668.61850000000015</v>
      </c>
      <c r="DF40" s="870">
        <f>40*PPH_Data_Base28[[#This Row],[NO Condenser Fans]]</f>
        <v>240</v>
      </c>
      <c r="DG40" s="870">
        <f>INDEX($B$136:$F$154,MATCH(PPH_Data_Base28[[#This Row],[STD Supply Fan Motor]],$B$136:$B$154,0),5)*PPH_Data_Base28[[#This Row],[Fan QTY]]</f>
        <v>199.14987598870056</v>
      </c>
      <c r="DH40" s="870">
        <v>932.20338983050851</v>
      </c>
      <c r="DI40" s="870">
        <v>559.32203389830511</v>
      </c>
      <c r="DJ40" s="870" t="str">
        <f>INDEX($F$114:$G$124,MATCH(PPH_Data_Base28[[#This Row],[Compressor 1 HP]],$F$114:$F$124,0),2)</f>
        <v>N/A</v>
      </c>
      <c r="DK40" s="870" t="e">
        <f>INDEX($F$114:$G$124,MATCH(PPH_Data_Base28[[#This Row],[Compressor 1 HP]],$F$114:$F$124,0),2)*PPH_Data_Base28[[#This Row],[Compressor 1 QTY]]+IFERROR(INDEX($F$114:$G$124,MATCH(PPH_Data_Base28[[#This Row],[Compressor 2 HP]],$F$114:$F$124,0),2)*PPH_Data_Base28[[#This Row],[Compressor 2 QTY]],0)</f>
        <v>#VALUE!</v>
      </c>
      <c r="DL40" s="870">
        <v>3457</v>
      </c>
      <c r="DM40" s="870" t="s">
        <v>1208</v>
      </c>
      <c r="DN40" s="870" t="s">
        <v>1208</v>
      </c>
      <c r="DO40" s="870">
        <v>2234.339144915255</v>
      </c>
      <c r="DP40" s="870">
        <v>346.045197740113</v>
      </c>
      <c r="DQ40" s="870">
        <f>PPH_Data_Base28[[#This Row],[NEMA 4X For Electrical Panel]]</f>
        <v>346.045197740113</v>
      </c>
      <c r="DR40" s="870">
        <v>346.045197740113</v>
      </c>
      <c r="DS40" s="870" t="s">
        <v>1208</v>
      </c>
      <c r="DT40" s="870">
        <f>PPH_Data_Base28[[#This Row],[NO Condenser Fans]]*350</f>
        <v>2100</v>
      </c>
      <c r="DU40" s="870" t="s">
        <v>1208</v>
      </c>
      <c r="DV40" s="870">
        <f>150*PPH_Data_Base28[[#This Row],[NO Condenser Fans]]</f>
        <v>900</v>
      </c>
      <c r="DW40" s="870">
        <v>2272.2457627118642</v>
      </c>
      <c r="DX40" s="781">
        <v>250</v>
      </c>
      <c r="DY40" s="870">
        <v>700</v>
      </c>
      <c r="DZ40" s="870">
        <v>100</v>
      </c>
      <c r="EA40" s="870">
        <v>540</v>
      </c>
      <c r="EB40" s="870">
        <v>4.186805084745763</v>
      </c>
      <c r="EC40" s="870">
        <v>34.957627118644069</v>
      </c>
      <c r="ED40" s="870">
        <v>58.361196822033918</v>
      </c>
      <c r="EE40" s="870">
        <v>350</v>
      </c>
      <c r="EF40" s="870">
        <v>350</v>
      </c>
      <c r="EG40" s="870">
        <v>286</v>
      </c>
      <c r="EH40" s="870">
        <v>375</v>
      </c>
      <c r="EI40" s="870">
        <v>138</v>
      </c>
      <c r="EJ40" s="870">
        <v>81</v>
      </c>
      <c r="EK40" s="870">
        <v>33.75</v>
      </c>
      <c r="EL40" s="870">
        <v>67.5</v>
      </c>
      <c r="EM40" s="870">
        <v>337.5</v>
      </c>
      <c r="EN40" s="870">
        <v>67</v>
      </c>
      <c r="EO40" s="870">
        <v>371</v>
      </c>
      <c r="EP40" s="870">
        <v>385.53092711864412</v>
      </c>
      <c r="EQ40" s="870">
        <v>26</v>
      </c>
      <c r="ER40" s="870">
        <v>324</v>
      </c>
      <c r="ES40" s="870">
        <v>22</v>
      </c>
      <c r="ET40" s="870">
        <v>65</v>
      </c>
      <c r="EU40" s="870">
        <v>203</v>
      </c>
      <c r="EV40" s="870">
        <v>250</v>
      </c>
      <c r="EW40" s="847">
        <v>0</v>
      </c>
      <c r="EX40" s="870">
        <v>92.768903954802283</v>
      </c>
      <c r="EY40" s="870">
        <v>666.23951186440684</v>
      </c>
      <c r="EZ40" s="870">
        <v>38.418079096045197</v>
      </c>
      <c r="FA40" s="870">
        <v>40</v>
      </c>
      <c r="FB40" s="870">
        <v>40</v>
      </c>
      <c r="FC40" s="870">
        <v>22.775173728813563</v>
      </c>
      <c r="FD40" s="870">
        <v>22.775173728813563</v>
      </c>
      <c r="FE40" s="870">
        <v>39.548022598870062</v>
      </c>
      <c r="FF40" s="870">
        <v>182.90960451977404</v>
      </c>
      <c r="FG40" s="870">
        <v>1133.3333333333333</v>
      </c>
      <c r="FH40" s="870">
        <v>1161.1450898591472</v>
      </c>
      <c r="FI40" s="870">
        <v>704.93137407507925</v>
      </c>
      <c r="FJ40" s="870">
        <v>26</v>
      </c>
      <c r="FK40" s="870">
        <f>PPH_Data_Base28[[#This Row],[Differential Pressure Switch]]*2</f>
        <v>52</v>
      </c>
      <c r="FL40" s="870">
        <v>42</v>
      </c>
      <c r="FM40" s="872">
        <f>PPH_Data_Base28[[#This Row],[STD PETRA DIAL DIFF.PRESS.GAUGE NOT DWYER]]*2</f>
        <v>84</v>
      </c>
      <c r="FN40" s="872">
        <v>150</v>
      </c>
      <c r="FO40" s="872">
        <f>PPH_Data_Base28[[#This Row],[Replaceble Filter Drier ]]</f>
        <v>576.27118644067798</v>
      </c>
      <c r="FP40" s="872">
        <f>PPH_Data_Base28[[#This Row],[2" Pre-Filter]]*2</f>
        <v>493.81985801313562</v>
      </c>
      <c r="FQ40" s="872">
        <f>PPH_Data_Base28[[#This Row],[Bag Filter EU-8]]</f>
        <v>2004.0928885601484</v>
      </c>
      <c r="FR40" s="872">
        <v>500</v>
      </c>
      <c r="FS40" s="872">
        <v>30</v>
      </c>
      <c r="FT40" s="176"/>
      <c r="FU40" s="176"/>
      <c r="FV40" s="176"/>
      <c r="FW40" s="176"/>
      <c r="GW40" s="176"/>
      <c r="GX40" s="176"/>
      <c r="HC40" s="176"/>
    </row>
    <row r="41" spans="1:211">
      <c r="A41" s="780" t="s">
        <v>470</v>
      </c>
      <c r="B41" s="781" t="s">
        <v>1640</v>
      </c>
      <c r="C41" s="781" t="s">
        <v>544</v>
      </c>
      <c r="D41" s="781" t="s">
        <v>1642</v>
      </c>
      <c r="E41" s="781" t="s">
        <v>1641</v>
      </c>
      <c r="F41" s="781" t="s">
        <v>1641</v>
      </c>
      <c r="G41" s="851">
        <v>0</v>
      </c>
      <c r="H41" s="781" t="s">
        <v>2248</v>
      </c>
      <c r="I41" s="781" t="s">
        <v>777</v>
      </c>
      <c r="J41" s="781" t="s">
        <v>1624</v>
      </c>
      <c r="K41" s="781">
        <v>2</v>
      </c>
      <c r="L41" s="781" t="s">
        <v>568</v>
      </c>
      <c r="M41" s="781">
        <v>12</v>
      </c>
      <c r="N41" s="781">
        <v>6</v>
      </c>
      <c r="O41" s="781">
        <v>205.83333333333334</v>
      </c>
      <c r="P41" s="781">
        <v>85.8</v>
      </c>
      <c r="Q41" s="781">
        <v>6</v>
      </c>
      <c r="R41" s="781">
        <v>30</v>
      </c>
      <c r="S41" s="781">
        <v>6</v>
      </c>
      <c r="T41" s="781"/>
      <c r="U41" s="781"/>
      <c r="V41" s="781">
        <v>3220</v>
      </c>
      <c r="W41" s="781">
        <v>4306</v>
      </c>
      <c r="X41" s="781" t="s">
        <v>424</v>
      </c>
      <c r="Y41" s="835">
        <v>0</v>
      </c>
      <c r="Z41" s="781">
        <v>64726</v>
      </c>
      <c r="AA41" s="781">
        <v>79383</v>
      </c>
      <c r="AB41" s="781">
        <v>55086</v>
      </c>
      <c r="AC41" s="834">
        <v>0</v>
      </c>
      <c r="AD41" s="783" t="s">
        <v>1613</v>
      </c>
      <c r="AE41" s="783" t="s">
        <v>1613</v>
      </c>
      <c r="AF41" s="783" t="s">
        <v>1613</v>
      </c>
      <c r="AG41" s="783" t="s">
        <v>1613</v>
      </c>
      <c r="AH41" s="783" t="s">
        <v>1208</v>
      </c>
      <c r="AI41" s="870">
        <v>0</v>
      </c>
      <c r="AJ41" s="870">
        <v>0</v>
      </c>
      <c r="AK41" s="870">
        <v>0</v>
      </c>
      <c r="AL41" s="870">
        <f>PPH_Data_Base28[[#This Row],[PPH Unit Basic Price With Cu Tube]]*0.05</f>
        <v>3969.15</v>
      </c>
      <c r="AM41" s="870">
        <v>594.15051744350285</v>
      </c>
      <c r="AN41" s="870">
        <v>2181.179045727401</v>
      </c>
      <c r="AO41" s="870">
        <v>3965.1833071592519</v>
      </c>
      <c r="AP41" s="870">
        <v>1161</v>
      </c>
      <c r="AQ41" s="870">
        <v>978.75000000000011</v>
      </c>
      <c r="AR41" s="870">
        <f>8*242</f>
        <v>1936</v>
      </c>
      <c r="AS41" s="870">
        <v>2272.6531323996082</v>
      </c>
      <c r="AT41" s="870">
        <v>5081.1602660766612</v>
      </c>
      <c r="AU41" s="870">
        <v>246.90992900656781</v>
      </c>
      <c r="AV41" s="870">
        <v>2004.0928885601484</v>
      </c>
      <c r="AW41" s="870">
        <v>11893.880000000001</v>
      </c>
      <c r="AX41" s="870">
        <v>725</v>
      </c>
      <c r="AY41" s="870">
        <v>8374.8274661440701</v>
      </c>
      <c r="AZ41" s="870">
        <v>2942.4107473808263</v>
      </c>
      <c r="BA41" s="783" t="s">
        <v>1208</v>
      </c>
      <c r="BB41" s="870">
        <f>PPH_Data_Base28[[#This Row],[PPH Unit Basic Price With Cu Tube]]*0.1</f>
        <v>7938.3</v>
      </c>
      <c r="BC41" s="870">
        <v>694.37530442505465</v>
      </c>
      <c r="BD41" s="870">
        <v>2314.5843480835156</v>
      </c>
      <c r="BE41" s="870">
        <v>771.52811602783856</v>
      </c>
      <c r="BF41" s="870">
        <v>771.52811602783856</v>
      </c>
      <c r="BG41" s="870">
        <v>771.52811602783856</v>
      </c>
      <c r="BH41" s="870">
        <f>PPH_Data_Base28[[#This Row],[PPH Unit Basic Price With Cu Tube]]*0.075</f>
        <v>5953.7249999999995</v>
      </c>
      <c r="BI41" s="870">
        <v>2314.5843480835156</v>
      </c>
      <c r="BJ41" s="870">
        <v>771.52811602783856</v>
      </c>
      <c r="BK41" s="870">
        <v>771.52811602783856</v>
      </c>
      <c r="BL41" s="870">
        <v>771.52811602783856</v>
      </c>
      <c r="BM41" s="870">
        <f>PPH_Data_Base28[[#This Row],[Total Condenser Coil Area]]*Naming!$M$62*4</f>
        <v>18442.666666666668</v>
      </c>
      <c r="BN41" s="870">
        <f>PPH_Data_Base28[[#This Row],[Total Evaporator  Coil Area]]*Naming!$M$62*4</f>
        <v>7687.6799999999994</v>
      </c>
      <c r="BO41" s="870">
        <f>PPH_Data_Base28[[#This Row],[Total Condenser Coil Area]]*Naming!$D$61*4</f>
        <v>279.93333333333339</v>
      </c>
      <c r="BP41" s="870">
        <f>PPH_Data_Base28[[#This Row],[Total Evaporator  Coil Area]]*Naming!$D$61*6</f>
        <v>175.03200000000001</v>
      </c>
      <c r="BQ41" s="870">
        <f>$G$195*PPH_Data_Base28[[#This Row],[Total Evaporator  Coil Area]]</f>
        <v>386.09999999999997</v>
      </c>
      <c r="BR41" s="870">
        <f>$G$199*PPH_Data_Base28[[#This Row],[Total Evaporator  Coil Area]]</f>
        <v>583.43999999999994</v>
      </c>
      <c r="BS41" s="870">
        <f>$E$185*PPH_Data_Base28[[#This Row],[Total Evaporator  Coil Area]]</f>
        <v>1716</v>
      </c>
      <c r="BT41" s="870">
        <f>$E$188*PPH_Data_Base28[[#This Row],[Total Evaporator  Coil Area]]</f>
        <v>2402.4</v>
      </c>
      <c r="BU41" s="870">
        <f>$G$195*PPH_Data_Base28[[#This Row],[Total Condenser Coil Area]]</f>
        <v>926.25</v>
      </c>
      <c r="BV41" s="870">
        <f>$G$199*PPH_Data_Base28[[#This Row],[Total Condenser Coil Area]]</f>
        <v>1399.6666666666667</v>
      </c>
      <c r="BW41" s="870">
        <f>$E$185*PPH_Data_Base28[[#This Row],[Total Condenser Coil Area]]</f>
        <v>4116.666666666667</v>
      </c>
      <c r="BX41" s="870">
        <f>$E$188*PPH_Data_Base28[[#This Row],[Total Condenser Coil Area]]</f>
        <v>5763.3333333333339</v>
      </c>
      <c r="BY41" s="870">
        <v>447.79062894048479</v>
      </c>
      <c r="BZ41" s="870">
        <v>277.21090820025427</v>
      </c>
      <c r="CA41" s="870">
        <v>719.19653734807628</v>
      </c>
      <c r="CB41" s="870">
        <v>475.65908554766941</v>
      </c>
      <c r="CC41" s="870">
        <v>271.89265536723161</v>
      </c>
      <c r="CD41" s="870">
        <f t="shared" si="6"/>
        <v>170.46620618090401</v>
      </c>
      <c r="CE41" s="870">
        <v>20</v>
      </c>
      <c r="CF41" s="832">
        <v>0</v>
      </c>
      <c r="CG41" s="870">
        <f>PPH_Data_Base28[[#This Row],[PPH Unit Basic Price With Cu Tube]]*0.25</f>
        <v>19845.75</v>
      </c>
      <c r="CH41" s="870">
        <f>PPH_Data_Base28[[#This Row],[DSP Unit Basic Price With Cu Tube]]*0.35</f>
        <v>19280.099999999999</v>
      </c>
      <c r="CI41" s="870">
        <v>535.14213686440689</v>
      </c>
      <c r="CJ41" s="870">
        <v>778.64087288135602</v>
      </c>
      <c r="CK41" s="870">
        <v>111.57743262711864</v>
      </c>
      <c r="CL41" s="870">
        <v>576.27118644067798</v>
      </c>
      <c r="CM41" s="870">
        <v>129.66101694915253</v>
      </c>
      <c r="CN41" s="870">
        <v>763.5593220338983</v>
      </c>
      <c r="CO41" s="870">
        <v>0</v>
      </c>
      <c r="CP41" s="870">
        <v>1858.5036851694917</v>
      </c>
      <c r="CQ41" s="870">
        <v>838.74172118644049</v>
      </c>
      <c r="CR41" s="781">
        <v>456.61870677966101</v>
      </c>
      <c r="CS41" s="870">
        <v>7852.6924568008499</v>
      </c>
      <c r="CT41" s="870">
        <v>2595.3389830508477</v>
      </c>
      <c r="CU41" s="870">
        <v>816.67340084745774</v>
      </c>
      <c r="CV41" s="870" t="s">
        <v>1208</v>
      </c>
      <c r="CW41" s="870">
        <f>400*1.35*PPH_Data_Base28[[#This Row],[No. of Unit  Compressors]]</f>
        <v>3240</v>
      </c>
      <c r="CX41" s="835">
        <v>0</v>
      </c>
      <c r="CY41" s="870">
        <f>47*PPH_Data_Base28[[#This Row],[No. of Unit  Compressors]]*1.35</f>
        <v>380.70000000000005</v>
      </c>
      <c r="CZ41" s="870">
        <f>30*1.35*PPH_Data_Base28[[#This Row],[NO Condenser Fans]]</f>
        <v>243</v>
      </c>
      <c r="DA41" s="870">
        <f>INDEX($B$136:$F$154,MATCH(PPH_Data_Base28[[#This Row],[STD Supply Fan Motor]],$B$136:$B$154,0),5)*PPH_Data_Base28[[#This Row],[Fan QTY]]</f>
        <v>199.14987598870056</v>
      </c>
      <c r="DB41" s="870">
        <f>47*1.35*PPH_Data_Base28[[#This Row],[No. of Unit  Compressors]]</f>
        <v>380.70000000000005</v>
      </c>
      <c r="DC41" s="870">
        <f>28*PPH_Data_Base28[[#This Row],[NO Condenser Fans]]</f>
        <v>168</v>
      </c>
      <c r="DD41" s="870">
        <f>INDEX($B$136:$F$154,MATCH(PPH_Data_Base28[[#This Row],[STD Supply Fan Motor]],$B$136:$B$154,0),3)*PPH_Data_Base28[[#This Row],[Fan QTY]]</f>
        <v>196.18043220338984</v>
      </c>
      <c r="DE41" s="870">
        <f>INDEX($B$114:$C$131,MATCH(PPH_Data_Base28[[#This Row],[Compressor 1 HP]],$B$114:$B$131,0),2)*PPH_Data_Base28[[#This Row],[Compressor 1 QTY]]+IFERROR(INDEX($B$114:$C$131,MATCH(PPH_Data_Base28[[#This Row],[Compressor 2 HP]],$B$114:$B$131,0),2)*PPH_Data_Base28[[#This Row],[Compressor 2 QTY]],0)</f>
        <v>668.61850000000015</v>
      </c>
      <c r="DF41" s="870">
        <f>40*PPH_Data_Base28[[#This Row],[NO Condenser Fans]]</f>
        <v>240</v>
      </c>
      <c r="DG41" s="870">
        <f>INDEX($B$136:$F$154,MATCH(PPH_Data_Base28[[#This Row],[STD Supply Fan Motor]],$B$136:$B$154,0),5)*PPH_Data_Base28[[#This Row],[Fan QTY]]</f>
        <v>199.14987598870056</v>
      </c>
      <c r="DH41" s="870">
        <v>1048.7288135593221</v>
      </c>
      <c r="DI41" s="870">
        <v>815.67796610169489</v>
      </c>
      <c r="DJ41" s="870" t="str">
        <f>INDEX($F$114:$G$124,MATCH(PPH_Data_Base28[[#This Row],[Compressor 1 HP]],$F$114:$F$124,0),2)</f>
        <v>N/A</v>
      </c>
      <c r="DK41" s="870" t="e">
        <f>INDEX($F$114:$G$124,MATCH(PPH_Data_Base28[[#This Row],[Compressor 1 HP]],$F$114:$F$124,0),2)*PPH_Data_Base28[[#This Row],[Compressor 1 QTY]]+IFERROR(INDEX($F$114:$G$124,MATCH(PPH_Data_Base28[[#This Row],[Compressor 2 HP]],$F$114:$F$124,0),2)*PPH_Data_Base28[[#This Row],[Compressor 2 QTY]],0)</f>
        <v>#VALUE!</v>
      </c>
      <c r="DL41" s="870">
        <v>3457</v>
      </c>
      <c r="DM41" s="870" t="s">
        <v>1208</v>
      </c>
      <c r="DN41" s="870" t="s">
        <v>1208</v>
      </c>
      <c r="DO41" s="870">
        <v>2234.339144915255</v>
      </c>
      <c r="DP41" s="870">
        <v>346.045197740113</v>
      </c>
      <c r="DQ41" s="870">
        <f>PPH_Data_Base28[[#This Row],[NEMA 4X For Electrical Panel]]</f>
        <v>346.045197740113</v>
      </c>
      <c r="DR41" s="870">
        <v>346.045197740113</v>
      </c>
      <c r="DS41" s="870" t="s">
        <v>1208</v>
      </c>
      <c r="DT41" s="870">
        <f>PPH_Data_Base28[[#This Row],[NO Condenser Fans]]*350</f>
        <v>2100</v>
      </c>
      <c r="DU41" s="870" t="s">
        <v>1208</v>
      </c>
      <c r="DV41" s="870">
        <f>150*PPH_Data_Base28[[#This Row],[NO Condenser Fans]]</f>
        <v>900</v>
      </c>
      <c r="DW41" s="870">
        <v>2272.2457627118642</v>
      </c>
      <c r="DX41" s="781">
        <v>250</v>
      </c>
      <c r="DY41" s="870">
        <v>700</v>
      </c>
      <c r="DZ41" s="870">
        <v>100</v>
      </c>
      <c r="EA41" s="870">
        <v>540</v>
      </c>
      <c r="EB41" s="870">
        <v>4.186805084745763</v>
      </c>
      <c r="EC41" s="870">
        <v>34.957627118644069</v>
      </c>
      <c r="ED41" s="870">
        <v>58.361196822033918</v>
      </c>
      <c r="EE41" s="870">
        <v>350</v>
      </c>
      <c r="EF41" s="870">
        <v>350</v>
      </c>
      <c r="EG41" s="870">
        <v>286</v>
      </c>
      <c r="EH41" s="870">
        <v>375</v>
      </c>
      <c r="EI41" s="870">
        <v>138</v>
      </c>
      <c r="EJ41" s="870">
        <v>81</v>
      </c>
      <c r="EK41" s="870">
        <v>33.75</v>
      </c>
      <c r="EL41" s="870">
        <v>67.5</v>
      </c>
      <c r="EM41" s="870">
        <v>337.5</v>
      </c>
      <c r="EN41" s="870">
        <v>67</v>
      </c>
      <c r="EO41" s="870">
        <v>371</v>
      </c>
      <c r="EP41" s="870">
        <v>385.53092711864412</v>
      </c>
      <c r="EQ41" s="870">
        <v>26</v>
      </c>
      <c r="ER41" s="870">
        <v>324</v>
      </c>
      <c r="ES41" s="870">
        <v>22</v>
      </c>
      <c r="ET41" s="870">
        <v>65</v>
      </c>
      <c r="EU41" s="870">
        <v>203</v>
      </c>
      <c r="EV41" s="870">
        <v>250</v>
      </c>
      <c r="EW41" s="847">
        <v>0</v>
      </c>
      <c r="EX41" s="870">
        <v>92.768903954802283</v>
      </c>
      <c r="EY41" s="870">
        <v>666.23951186440684</v>
      </c>
      <c r="EZ41" s="870">
        <v>38.418079096045197</v>
      </c>
      <c r="FA41" s="870">
        <v>40</v>
      </c>
      <c r="FB41" s="870">
        <v>40</v>
      </c>
      <c r="FC41" s="870">
        <v>22.775173728813563</v>
      </c>
      <c r="FD41" s="870">
        <v>22.775173728813563</v>
      </c>
      <c r="FE41" s="870">
        <v>39.548022598870062</v>
      </c>
      <c r="FF41" s="870">
        <v>182.90960451977404</v>
      </c>
      <c r="FG41" s="870">
        <v>1133.3333333333333</v>
      </c>
      <c r="FH41" s="870">
        <v>1161.1450898591472</v>
      </c>
      <c r="FI41" s="870">
        <v>704.93137407507925</v>
      </c>
      <c r="FJ41" s="870">
        <v>26</v>
      </c>
      <c r="FK41" s="870">
        <f>PPH_Data_Base28[[#This Row],[Differential Pressure Switch]]*2</f>
        <v>52</v>
      </c>
      <c r="FL41" s="870">
        <v>42</v>
      </c>
      <c r="FM41" s="872">
        <f>PPH_Data_Base28[[#This Row],[STD PETRA DIAL DIFF.PRESS.GAUGE NOT DWYER]]*2</f>
        <v>84</v>
      </c>
      <c r="FN41" s="872">
        <v>150</v>
      </c>
      <c r="FO41" s="872">
        <f>PPH_Data_Base28[[#This Row],[Replaceble Filter Drier ]]</f>
        <v>576.27118644067798</v>
      </c>
      <c r="FP41" s="872">
        <f>PPH_Data_Base28[[#This Row],[2" Pre-Filter]]*2</f>
        <v>493.81985801313562</v>
      </c>
      <c r="FQ41" s="872">
        <f>PPH_Data_Base28[[#This Row],[Bag Filter EU-8]]</f>
        <v>2004.0928885601484</v>
      </c>
      <c r="FR41" s="872">
        <v>500</v>
      </c>
      <c r="FS41" s="872">
        <v>30</v>
      </c>
      <c r="FT41" s="176"/>
      <c r="FU41" s="176"/>
      <c r="FV41" s="176"/>
      <c r="FW41" s="176"/>
      <c r="GW41" s="176"/>
      <c r="GX41" s="176"/>
      <c r="HC41" s="176"/>
    </row>
    <row r="42" spans="1:211">
      <c r="A42" s="780" t="s">
        <v>471</v>
      </c>
      <c r="B42" s="781" t="s">
        <v>1643</v>
      </c>
      <c r="C42" s="781" t="s">
        <v>545</v>
      </c>
      <c r="D42" s="781" t="s">
        <v>1645</v>
      </c>
      <c r="E42" s="781" t="s">
        <v>1644</v>
      </c>
      <c r="F42" s="781" t="s">
        <v>1644</v>
      </c>
      <c r="G42" s="851">
        <v>0</v>
      </c>
      <c r="H42" s="781" t="s">
        <v>2248</v>
      </c>
      <c r="I42" s="781" t="s">
        <v>780</v>
      </c>
      <c r="J42" s="781" t="s">
        <v>1624</v>
      </c>
      <c r="K42" s="781">
        <v>2</v>
      </c>
      <c r="L42" s="781" t="s">
        <v>568</v>
      </c>
      <c r="M42" s="781">
        <v>12</v>
      </c>
      <c r="N42" s="781">
        <v>6</v>
      </c>
      <c r="O42" s="781">
        <v>274.44444444444446</v>
      </c>
      <c r="P42" s="781">
        <v>85.8</v>
      </c>
      <c r="Q42" s="781">
        <v>8</v>
      </c>
      <c r="R42" s="781">
        <v>30</v>
      </c>
      <c r="S42" s="781">
        <v>4</v>
      </c>
      <c r="T42" s="781">
        <v>25</v>
      </c>
      <c r="U42" s="781">
        <v>4</v>
      </c>
      <c r="V42" s="781">
        <v>5502</v>
      </c>
      <c r="W42" s="781">
        <v>4306</v>
      </c>
      <c r="X42" s="781"/>
      <c r="Y42" s="835">
        <v>0</v>
      </c>
      <c r="Z42" s="781">
        <v>84288</v>
      </c>
      <c r="AA42" s="781">
        <v>104026</v>
      </c>
      <c r="AB42" s="781" t="s">
        <v>2066</v>
      </c>
      <c r="AC42" s="834">
        <v>0</v>
      </c>
      <c r="AD42" s="783" t="s">
        <v>1613</v>
      </c>
      <c r="AE42" s="783" t="s">
        <v>1613</v>
      </c>
      <c r="AF42" s="783" t="s">
        <v>1613</v>
      </c>
      <c r="AG42" s="783" t="s">
        <v>1613</v>
      </c>
      <c r="AH42" s="783" t="s">
        <v>1208</v>
      </c>
      <c r="AI42" s="870">
        <v>0</v>
      </c>
      <c r="AJ42" s="870">
        <v>0</v>
      </c>
      <c r="AK42" s="870">
        <v>0</v>
      </c>
      <c r="AL42" s="870">
        <f>PPH_Data_Base28[[#This Row],[PPH Unit Basic Price With Cu Tube]]*0.05</f>
        <v>5201.3</v>
      </c>
      <c r="AM42" s="870">
        <v>675.6131451977401</v>
      </c>
      <c r="AN42" s="870">
        <v>2399.2720338983054</v>
      </c>
      <c r="AO42" s="870">
        <v>4342.7749237288144</v>
      </c>
      <c r="AP42" s="870">
        <v>1161</v>
      </c>
      <c r="AQ42" s="870">
        <v>978.75000000000011</v>
      </c>
      <c r="AR42" s="870">
        <f>11*242</f>
        <v>2662</v>
      </c>
      <c r="AS42" s="870">
        <v>3282.2458696663139</v>
      </c>
      <c r="AT42" s="870">
        <v>6696.5086457033904</v>
      </c>
      <c r="AU42" s="870">
        <v>322.66939980978822</v>
      </c>
      <c r="AV42" s="870">
        <v>2515.7921440062291</v>
      </c>
      <c r="AW42" s="870">
        <v>11893.880000000001</v>
      </c>
      <c r="AX42" s="870">
        <v>725</v>
      </c>
      <c r="AY42" s="870">
        <v>11456.378208686443</v>
      </c>
      <c r="AZ42" s="870">
        <v>3807.8948701668437</v>
      </c>
      <c r="BA42" s="783" t="s">
        <v>1208</v>
      </c>
      <c r="BB42" s="870">
        <f>PPH_Data_Base28[[#This Row],[PPH Unit Basic Price With Cu Tube]]*0.1</f>
        <v>10402.6</v>
      </c>
      <c r="BC42" s="870">
        <v>900.14409295122198</v>
      </c>
      <c r="BD42" s="870">
        <v>3000.4803098374068</v>
      </c>
      <c r="BE42" s="870">
        <v>1000.1601032791356</v>
      </c>
      <c r="BF42" s="870">
        <v>1000.1601032791356</v>
      </c>
      <c r="BG42" s="870">
        <v>1000.1601032791356</v>
      </c>
      <c r="BH42" s="870">
        <f>PPH_Data_Base28[[#This Row],[PPH Unit Basic Price With Cu Tube]]*0.075</f>
        <v>7801.95</v>
      </c>
      <c r="BI42" s="870">
        <v>3000.4803098374068</v>
      </c>
      <c r="BJ42" s="870">
        <v>1000.1601032791356</v>
      </c>
      <c r="BK42" s="870">
        <v>1000.1601032791356</v>
      </c>
      <c r="BL42" s="870">
        <v>1000.1601032791356</v>
      </c>
      <c r="BM42" s="870">
        <f>PPH_Data_Base28[[#This Row],[Total Condenser Coil Area]]*Naming!$M$62*4</f>
        <v>24590.222222222223</v>
      </c>
      <c r="BN42" s="870">
        <f>PPH_Data_Base28[[#This Row],[Total Evaporator  Coil Area]]*Naming!$M$62*4</f>
        <v>7687.6799999999994</v>
      </c>
      <c r="BO42" s="870">
        <f>PPH_Data_Base28[[#This Row],[Total Condenser Coil Area]]*Naming!$D$61*4</f>
        <v>373.24444444444447</v>
      </c>
      <c r="BP42" s="870">
        <f>PPH_Data_Base28[[#This Row],[Total Evaporator  Coil Area]]*Naming!$D$61*6</f>
        <v>175.03200000000001</v>
      </c>
      <c r="BQ42" s="870">
        <f>$G$195*PPH_Data_Base28[[#This Row],[Total Evaporator  Coil Area]]</f>
        <v>386.09999999999997</v>
      </c>
      <c r="BR42" s="870">
        <f>$G$199*PPH_Data_Base28[[#This Row],[Total Evaporator  Coil Area]]</f>
        <v>583.43999999999994</v>
      </c>
      <c r="BS42" s="870">
        <f>$E$185*PPH_Data_Base28[[#This Row],[Total Evaporator  Coil Area]]</f>
        <v>1716</v>
      </c>
      <c r="BT42" s="870">
        <f>$E$188*PPH_Data_Base28[[#This Row],[Total Evaporator  Coil Area]]</f>
        <v>2402.4</v>
      </c>
      <c r="BU42" s="870">
        <f>$G$195*PPH_Data_Base28[[#This Row],[Total Condenser Coil Area]]</f>
        <v>1235</v>
      </c>
      <c r="BV42" s="870">
        <f>$G$199*PPH_Data_Base28[[#This Row],[Total Condenser Coil Area]]</f>
        <v>1866.2222222222222</v>
      </c>
      <c r="BW42" s="870">
        <f>$E$185*PPH_Data_Base28[[#This Row],[Total Condenser Coil Area]]</f>
        <v>5488.8888888888887</v>
      </c>
      <c r="BX42" s="870">
        <f>$E$188*PPH_Data_Base28[[#This Row],[Total Condenser Coil Area]]</f>
        <v>7684.4444444444453</v>
      </c>
      <c r="BY42" s="870">
        <v>603.14656143004049</v>
      </c>
      <c r="BZ42" s="870">
        <v>373.38612124932195</v>
      </c>
      <c r="CA42" s="870">
        <v>1139.5062020320172</v>
      </c>
      <c r="CB42" s="870">
        <v>753.64166801059321</v>
      </c>
      <c r="CC42" s="870">
        <v>395.48022598870057</v>
      </c>
      <c r="CD42" s="870">
        <f t="shared" si="6"/>
        <v>170.46620618090401</v>
      </c>
      <c r="CE42" s="870">
        <v>20</v>
      </c>
      <c r="CF42" s="832">
        <v>0</v>
      </c>
      <c r="CG42" s="870">
        <f>PPH_Data_Base28[[#This Row],[PPH Unit Basic Price With Cu Tube]]*0.25</f>
        <v>26006.5</v>
      </c>
      <c r="CH42" s="870" t="e">
        <f>PPH_Data_Base28[[#This Row],[DSP Unit Basic Price With Cu Tube]]*0.35</f>
        <v>#VALUE!</v>
      </c>
      <c r="CI42" s="870">
        <v>713.52284915254245</v>
      </c>
      <c r="CJ42" s="870">
        <v>1038.1878305084747</v>
      </c>
      <c r="CK42" s="870">
        <v>148.76991016949154</v>
      </c>
      <c r="CL42" s="870">
        <v>768.36158192090397</v>
      </c>
      <c r="CM42" s="870">
        <v>172.88135593220338</v>
      </c>
      <c r="CN42" s="870">
        <v>1018.0790960451977</v>
      </c>
      <c r="CO42" s="870">
        <v>0</v>
      </c>
      <c r="CP42" s="870">
        <v>1714.1881807909606</v>
      </c>
      <c r="CQ42" s="870">
        <v>1118.3222949152541</v>
      </c>
      <c r="CR42" s="781">
        <v>456.61870677966101</v>
      </c>
      <c r="CS42" s="870">
        <v>8953.0621460593229</v>
      </c>
      <c r="CT42" s="870">
        <v>3460.4519774011301</v>
      </c>
      <c r="CU42" s="870">
        <v>1088.8978677966102</v>
      </c>
      <c r="CV42" s="870" t="s">
        <v>1208</v>
      </c>
      <c r="CW42" s="870">
        <f>400*1.35*PPH_Data_Base28[[#This Row],[No. of Unit  Compressors]]</f>
        <v>4320</v>
      </c>
      <c r="CX42" s="835">
        <v>0</v>
      </c>
      <c r="CY42" s="870">
        <f>47*PPH_Data_Base28[[#This Row],[No. of Unit  Compressors]]*1.35</f>
        <v>507.6</v>
      </c>
      <c r="CZ42" s="870">
        <f>30*1.35*PPH_Data_Base28[[#This Row],[NO Condenser Fans]]</f>
        <v>243</v>
      </c>
      <c r="DA42" s="870">
        <f>INDEX($B$136:$F$154,MATCH(PPH_Data_Base28[[#This Row],[STD Supply Fan Motor]],$B$136:$B$154,0),5)*PPH_Data_Base28[[#This Row],[Fan QTY]]</f>
        <v>199.14987598870056</v>
      </c>
      <c r="DB42" s="870">
        <f>47*1.35*PPH_Data_Base28[[#This Row],[No. of Unit  Compressors]]</f>
        <v>507.6</v>
      </c>
      <c r="DC42" s="870">
        <f>28*PPH_Data_Base28[[#This Row],[NO Condenser Fans]]</f>
        <v>168</v>
      </c>
      <c r="DD42" s="870">
        <f>INDEX($B$136:$F$154,MATCH(PPH_Data_Base28[[#This Row],[STD Supply Fan Motor]],$B$136:$B$154,0),3)*PPH_Data_Base28[[#This Row],[Fan QTY]]</f>
        <v>196.18043220338984</v>
      </c>
      <c r="DE42" s="870">
        <f>INDEX($B$114:$C$131,MATCH(PPH_Data_Base28[[#This Row],[Compressor 1 HP]],$B$114:$B$131,0),2)*PPH_Data_Base28[[#This Row],[Compressor 1 QTY]]+IFERROR(INDEX($B$114:$C$131,MATCH(PPH_Data_Base28[[#This Row],[Compressor 2 HP]],$B$114:$B$131,0),2)*PPH_Data_Base28[[#This Row],[Compressor 2 QTY]],0)</f>
        <v>891.4913333333335</v>
      </c>
      <c r="DF42" s="870">
        <f>40*PPH_Data_Base28[[#This Row],[NO Condenser Fans]]</f>
        <v>240</v>
      </c>
      <c r="DG42" s="870">
        <f>INDEX($B$136:$F$154,MATCH(PPH_Data_Base28[[#This Row],[STD Supply Fan Motor]],$B$136:$B$154,0),5)*PPH_Data_Base28[[#This Row],[Fan QTY]]</f>
        <v>199.14987598870056</v>
      </c>
      <c r="DH42" s="870">
        <v>1048.7288135593221</v>
      </c>
      <c r="DI42" s="870">
        <v>1398.3050847457628</v>
      </c>
      <c r="DJ42" s="870" t="str">
        <f>INDEX($F$114:$G$124,MATCH(PPH_Data_Base28[[#This Row],[Compressor 1 HP]],$F$114:$F$124,0),2)</f>
        <v>N/A</v>
      </c>
      <c r="DK42" s="870" t="e">
        <f>INDEX($F$114:$G$124,MATCH(PPH_Data_Base28[[#This Row],[Compressor 1 HP]],$F$114:$F$124,0),2)*PPH_Data_Base28[[#This Row],[Compressor 1 QTY]]+IFERROR(INDEX($F$114:$G$124,MATCH(PPH_Data_Base28[[#This Row],[Compressor 2 HP]],$F$114:$F$124,0),2)*PPH_Data_Base28[[#This Row],[Compressor 2 QTY]],0)</f>
        <v>#VALUE!</v>
      </c>
      <c r="DL42" s="870">
        <v>3457</v>
      </c>
      <c r="DM42" s="870" t="s">
        <v>1208</v>
      </c>
      <c r="DN42" s="870" t="s">
        <v>1208</v>
      </c>
      <c r="DO42" s="870">
        <v>2234.339144915255</v>
      </c>
      <c r="DP42" s="870">
        <v>346.045197740113</v>
      </c>
      <c r="DQ42" s="870">
        <f>PPH_Data_Base28[[#This Row],[NEMA 4X For Electrical Panel]]</f>
        <v>346.045197740113</v>
      </c>
      <c r="DR42" s="870">
        <v>346.045197740113</v>
      </c>
      <c r="DS42" s="870" t="s">
        <v>1208</v>
      </c>
      <c r="DT42" s="870">
        <f>PPH_Data_Base28[[#This Row],[NO Condenser Fans]]*350</f>
        <v>2100</v>
      </c>
      <c r="DU42" s="870" t="s">
        <v>1208</v>
      </c>
      <c r="DV42" s="870">
        <f>150*PPH_Data_Base28[[#This Row],[NO Condenser Fans]]</f>
        <v>900</v>
      </c>
      <c r="DW42" s="870">
        <v>3029.6610169491528</v>
      </c>
      <c r="DX42" s="781">
        <v>250</v>
      </c>
      <c r="DY42" s="870">
        <v>700</v>
      </c>
      <c r="DZ42" s="870">
        <v>100</v>
      </c>
      <c r="EA42" s="870">
        <v>540</v>
      </c>
      <c r="EB42" s="870">
        <v>4.186805084745763</v>
      </c>
      <c r="EC42" s="870">
        <v>34.957627118644069</v>
      </c>
      <c r="ED42" s="870">
        <v>58.361196822033918</v>
      </c>
      <c r="EE42" s="870">
        <v>350</v>
      </c>
      <c r="EF42" s="870">
        <v>350</v>
      </c>
      <c r="EG42" s="870">
        <v>286</v>
      </c>
      <c r="EH42" s="870">
        <v>375</v>
      </c>
      <c r="EI42" s="870">
        <v>138</v>
      </c>
      <c r="EJ42" s="870">
        <v>81</v>
      </c>
      <c r="EK42" s="870">
        <v>33.75</v>
      </c>
      <c r="EL42" s="870">
        <v>67.5</v>
      </c>
      <c r="EM42" s="870">
        <v>337.5</v>
      </c>
      <c r="EN42" s="870">
        <v>67</v>
      </c>
      <c r="EO42" s="870">
        <v>371</v>
      </c>
      <c r="EP42" s="870">
        <v>385.53092711864412</v>
      </c>
      <c r="EQ42" s="870">
        <v>26</v>
      </c>
      <c r="ER42" s="870">
        <v>324</v>
      </c>
      <c r="ES42" s="870">
        <v>22</v>
      </c>
      <c r="ET42" s="870">
        <v>65</v>
      </c>
      <c r="EU42" s="870">
        <v>203</v>
      </c>
      <c r="EV42" s="870">
        <v>250</v>
      </c>
      <c r="EW42" s="847">
        <v>0</v>
      </c>
      <c r="EX42" s="870">
        <v>92.768903954802283</v>
      </c>
      <c r="EY42" s="870">
        <v>666.23951186440684</v>
      </c>
      <c r="EZ42" s="870">
        <v>38.418079096045197</v>
      </c>
      <c r="FA42" s="870">
        <v>40</v>
      </c>
      <c r="FB42" s="870">
        <v>40</v>
      </c>
      <c r="FC42" s="870">
        <v>22.775173728813563</v>
      </c>
      <c r="FD42" s="870">
        <v>22.775173728813563</v>
      </c>
      <c r="FE42" s="870">
        <v>39.548022598870062</v>
      </c>
      <c r="FF42" s="870">
        <v>182.90960451977404</v>
      </c>
      <c r="FG42" s="870">
        <v>1133.3333333333333</v>
      </c>
      <c r="FH42" s="870">
        <v>1508.378626494057</v>
      </c>
      <c r="FI42" s="870">
        <v>915.70734523914189</v>
      </c>
      <c r="FJ42" s="870">
        <v>26</v>
      </c>
      <c r="FK42" s="870">
        <f>PPH_Data_Base28[[#This Row],[Differential Pressure Switch]]*2</f>
        <v>52</v>
      </c>
      <c r="FL42" s="870">
        <v>42</v>
      </c>
      <c r="FM42" s="872">
        <f>PPH_Data_Base28[[#This Row],[STD PETRA DIAL DIFF.PRESS.GAUGE NOT DWYER]]*2</f>
        <v>84</v>
      </c>
      <c r="FN42" s="872">
        <v>150</v>
      </c>
      <c r="FO42" s="872">
        <f>PPH_Data_Base28[[#This Row],[Replaceble Filter Drier ]]</f>
        <v>768.36158192090397</v>
      </c>
      <c r="FP42" s="872">
        <f>PPH_Data_Base28[[#This Row],[2" Pre-Filter]]*2</f>
        <v>645.33879961957643</v>
      </c>
      <c r="FQ42" s="872">
        <f>PPH_Data_Base28[[#This Row],[Bag Filter EU-8]]</f>
        <v>2515.7921440062291</v>
      </c>
      <c r="FR42" s="872">
        <v>500</v>
      </c>
      <c r="FS42" s="872">
        <v>30</v>
      </c>
      <c r="FT42" s="176"/>
      <c r="FU42" s="176"/>
      <c r="FV42" s="176"/>
      <c r="FW42" s="176"/>
      <c r="GW42" s="176"/>
      <c r="GX42" s="176"/>
      <c r="HC42" s="176"/>
    </row>
    <row r="43" spans="1:211">
      <c r="A43" s="860"/>
      <c r="B43" s="861"/>
      <c r="C43" s="861"/>
      <c r="D43" s="873"/>
      <c r="E43" s="873"/>
      <c r="F43" s="873"/>
      <c r="G43" s="851">
        <v>0</v>
      </c>
      <c r="H43" s="873"/>
      <c r="I43" s="861"/>
      <c r="J43" s="861"/>
      <c r="K43" s="861"/>
      <c r="L43" s="861"/>
      <c r="M43" s="861"/>
      <c r="N43" s="836"/>
      <c r="O43" s="861"/>
      <c r="P43" s="861"/>
      <c r="Q43" s="861"/>
      <c r="R43" s="861"/>
      <c r="S43" s="861"/>
      <c r="T43" s="861"/>
      <c r="U43" s="861"/>
      <c r="V43" s="861"/>
      <c r="W43" s="861"/>
      <c r="X43" s="873"/>
      <c r="Y43" s="835"/>
      <c r="Z43" s="862"/>
      <c r="AA43" s="862"/>
      <c r="AB43" s="873"/>
      <c r="AC43" s="834">
        <v>0</v>
      </c>
      <c r="AD43" s="861"/>
      <c r="AE43" s="874"/>
      <c r="AF43" s="874"/>
      <c r="AG43" s="874"/>
      <c r="AH43" s="861"/>
      <c r="AI43" s="874"/>
      <c r="AJ43" s="874"/>
      <c r="AK43" s="874"/>
      <c r="AL43" s="873">
        <f>PPH_Data_Base28[[#This Row],[PPH Unit Basic Price With Cu Tube]]*0.05</f>
        <v>0</v>
      </c>
      <c r="AM43" s="861"/>
      <c r="AN43" s="861"/>
      <c r="AO43" s="861"/>
      <c r="AP43" s="861"/>
      <c r="AQ43" s="861"/>
      <c r="AR43" s="861"/>
      <c r="AS43" s="861"/>
      <c r="AT43" s="861"/>
      <c r="AU43" s="861"/>
      <c r="AV43" s="861"/>
      <c r="AW43" s="873"/>
      <c r="AX43" s="873"/>
      <c r="AY43" s="873"/>
      <c r="AZ43" s="873"/>
      <c r="BA43" s="873"/>
      <c r="BB43" s="873">
        <f>PPH_Data_Base28[[#This Row],[PPH Unit Basic Price With Cu Tube]]*0.1</f>
        <v>0</v>
      </c>
      <c r="BC43" s="873"/>
      <c r="BD43" s="873"/>
      <c r="BE43" s="873"/>
      <c r="BF43" s="873"/>
      <c r="BG43" s="873"/>
      <c r="BH43" s="873">
        <f>PPH_Data_Base28[[#This Row],[PPH Unit Basic Price With Cu Tube]]*0.075</f>
        <v>0</v>
      </c>
      <c r="BI43" s="873"/>
      <c r="BJ43" s="873"/>
      <c r="BK43" s="873"/>
      <c r="BL43" s="873"/>
      <c r="BM43" s="861">
        <f>PPH_Data_Base28[[#This Row],[Total Condenser Coil Area]]*Naming!$M$62*4</f>
        <v>0</v>
      </c>
      <c r="BN43" s="861">
        <f>PPH_Data_Base28[[#This Row],[Total Evaporator  Coil Area]]*Naming!$M$62*4</f>
        <v>0</v>
      </c>
      <c r="BO43" s="861">
        <f>PPH_Data_Base28[[#This Row],[Total Condenser Coil Area]]*Naming!$D$61*4</f>
        <v>0</v>
      </c>
      <c r="BP43" s="861">
        <f>PPH_Data_Base28[[#This Row],[Total Evaporator  Coil Area]]*Naming!$D$61*6</f>
        <v>0</v>
      </c>
      <c r="BQ43" s="861">
        <f>$G$195*PPH_Data_Base28[[#This Row],[Total Evaporator  Coil Area]]</f>
        <v>0</v>
      </c>
      <c r="BR43" s="861">
        <f>$G$199*PPH_Data_Base28[[#This Row],[Total Evaporator  Coil Area]]</f>
        <v>0</v>
      </c>
      <c r="BS43" s="861">
        <f>$E$185*PPH_Data_Base28[[#This Row],[Total Evaporator  Coil Area]]</f>
        <v>0</v>
      </c>
      <c r="BT43" s="861">
        <f>$E$188*PPH_Data_Base28[[#This Row],[Total Evaporator  Coil Area]]</f>
        <v>0</v>
      </c>
      <c r="BU43" s="861">
        <f>$G$195*PPH_Data_Base28[[#This Row],[Total Condenser Coil Area]]</f>
        <v>0</v>
      </c>
      <c r="BV43" s="861">
        <f>$G$199*PPH_Data_Base28[[#This Row],[Total Condenser Coil Area]]</f>
        <v>0</v>
      </c>
      <c r="BW43" s="861">
        <f>$E$185*PPH_Data_Base28[[#This Row],[Total Condenser Coil Area]]</f>
        <v>0</v>
      </c>
      <c r="BX43" s="861">
        <f>$E$188*PPH_Data_Base28[[#This Row],[Total Condenser Coil Area]]</f>
        <v>0</v>
      </c>
      <c r="BY43" s="861"/>
      <c r="BZ43" s="873"/>
      <c r="CA43" s="873"/>
      <c r="CB43" s="873"/>
      <c r="CC43" s="873">
        <f>PPH_Data_Base28[[#This Row],[PPH Unit Basic Price With Cu Tube]]*0.05</f>
        <v>0</v>
      </c>
      <c r="CD43" s="873">
        <f>PPH_Data_Base28[[#This Row],[PPH Unit Basic Price With Cu Tube]]*0.03</f>
        <v>0</v>
      </c>
      <c r="CE43" s="873">
        <f>PPH_Data_Base28[[#This Row],[PPH Unit Basic Price With Cu Tube]]*0.02</f>
        <v>0</v>
      </c>
      <c r="CF43" s="832">
        <v>0</v>
      </c>
      <c r="CG43" s="873">
        <f>PPH_Data_Base28[[#This Row],[PPH Unit Basic Price With Cu Tube]]*0.25</f>
        <v>0</v>
      </c>
      <c r="CH43" s="873">
        <f>PPH_Data_Base28[[#This Row],[DSP Unit Basic Price With Cu Tube]]*0.35</f>
        <v>0</v>
      </c>
      <c r="CI43" s="861">
        <f>99*Q43*1.35</f>
        <v>0</v>
      </c>
      <c r="CJ43" s="861">
        <f>93*Q43*1.35</f>
        <v>0</v>
      </c>
      <c r="CK43" s="861">
        <f>Q43*28*1.35</f>
        <v>0</v>
      </c>
      <c r="CL43" s="861">
        <f>110*1.35*PPH_Data_Base28[[#This Row],[No. of Unit  Compressors]]</f>
        <v>0</v>
      </c>
      <c r="CM43" s="873">
        <f>140*1.35*PPH_Data_Base28[[#This Row],[No. of Unit  Compressors]]</f>
        <v>0</v>
      </c>
      <c r="CN43" s="861">
        <f>180*1.35*PPH_Data_Base28[[#This Row],[No. of Unit  Compressors]]</f>
        <v>0</v>
      </c>
      <c r="CO43" s="873"/>
      <c r="CP43" s="861">
        <f>160*1.35*PPH_Data_Base28[[#This Row],[No. of Unit  Compressors]]</f>
        <v>0</v>
      </c>
      <c r="CQ43" s="873"/>
      <c r="CR43" s="861"/>
      <c r="CS43" s="873">
        <f>PPH_Data_Base28[[#This Row],[PPH Unit Basic Price With Cu Tube]]*0.35</f>
        <v>0</v>
      </c>
      <c r="CT43" s="861">
        <f>$L$252*1.35*PPH_Data_Base28[[#This Row],[No. of Unit  Compressors]]</f>
        <v>0</v>
      </c>
      <c r="CU43" s="873"/>
      <c r="CV43" s="873"/>
      <c r="CW43" s="873">
        <f>400*1.35*PPH_Data_Base28[[#This Row],[No. of Unit  Compressors]]</f>
        <v>0</v>
      </c>
      <c r="CX43" s="835">
        <v>0</v>
      </c>
      <c r="CY43" s="861">
        <f>47*PPH_Data_Base28[[#This Row],[No. of Unit  Compressors]]*1.35</f>
        <v>0</v>
      </c>
      <c r="CZ43" s="861">
        <f>30*1.35*PPH_Data_Base28[[#This Row],[NO Condenser Fans]]</f>
        <v>0</v>
      </c>
      <c r="DA43" s="861" t="e">
        <f>INDEX($B$136:$F$154,MATCH(PPH_Data_Base28[[#This Row],[STD Supply Fan Motor]],$B$136:$B$154,0),5)*PPH_Data_Base28[[#This Row],[Fan QTY]]</f>
        <v>#N/A</v>
      </c>
      <c r="DB43" s="861">
        <f>47*1.35*PPH_Data_Base28[[#This Row],[No. of Unit  Compressors]]</f>
        <v>0</v>
      </c>
      <c r="DC43" s="861">
        <f>28*PPH_Data_Base28[[#This Row],[NO Condenser Fans]]</f>
        <v>0</v>
      </c>
      <c r="DD43" s="861" t="e">
        <f>INDEX($B$136:$F$154,MATCH(PPH_Data_Base28[[#This Row],[STD Supply Fan Motor]],$B$136:$B$154,0),3)*PPH_Data_Base28[[#This Row],[Fan QTY]]</f>
        <v>#N/A</v>
      </c>
      <c r="DE43" s="873"/>
      <c r="DF43" s="873">
        <f>58*PPH_Data_Base28[[#This Row],[NO Condenser Fans]]</f>
        <v>0</v>
      </c>
      <c r="DG43" s="873"/>
      <c r="DH43" s="861"/>
      <c r="DI43" s="861"/>
      <c r="DJ43" s="873"/>
      <c r="DK43" s="873"/>
      <c r="DL43" s="873"/>
      <c r="DM43" s="873"/>
      <c r="DN43" s="873"/>
      <c r="DO43" s="873"/>
      <c r="DP43" s="861"/>
      <c r="DQ43" s="861">
        <f>PPH_Data_Base28[[#This Row],[NEMA 4X For Electrical Panel]]</f>
        <v>0</v>
      </c>
      <c r="DR43" s="873"/>
      <c r="DS43" s="873"/>
      <c r="DT43" s="873">
        <f>PPH_Data_Base28[[#This Row],[NO Condenser Fans]]*350</f>
        <v>0</v>
      </c>
      <c r="DU43" s="873"/>
      <c r="DV43" s="873">
        <f>150*PPH_Data_Base28[[#This Row],[NO Condenser Fans]]</f>
        <v>0</v>
      </c>
      <c r="DW43" s="861">
        <f>720*1.35*PPH_Data_Base28[[#This Row],[NO Condenser Fans]]</f>
        <v>0</v>
      </c>
      <c r="DX43" s="861"/>
      <c r="DY43" s="873"/>
      <c r="DZ43" s="873"/>
      <c r="EA43" s="873"/>
      <c r="EB43" s="873"/>
      <c r="EC43" s="873"/>
      <c r="ED43" s="873"/>
      <c r="EE43" s="873"/>
      <c r="EF43" s="873"/>
      <c r="EG43" s="873"/>
      <c r="EH43" s="873"/>
      <c r="EI43" s="873"/>
      <c r="EJ43" s="873"/>
      <c r="EK43" s="873"/>
      <c r="EL43" s="873"/>
      <c r="EM43" s="873"/>
      <c r="EN43" s="873"/>
      <c r="EO43" s="873"/>
      <c r="EP43" s="873"/>
      <c r="EQ43" s="873"/>
      <c r="ER43" s="873"/>
      <c r="ES43" s="873"/>
      <c r="ET43" s="873"/>
      <c r="EU43" s="873"/>
      <c r="EV43" s="873"/>
      <c r="EW43" s="847"/>
      <c r="EX43" s="861">
        <f>4*50*1.35*PPH_Data_Base28[[#This Row],[Fan QTY]]</f>
        <v>0</v>
      </c>
      <c r="EY43" s="861">
        <f>4*100*1.35*PPH_Data_Base28[[#This Row],[Fan QTY]]</f>
        <v>0</v>
      </c>
      <c r="EZ43" s="873"/>
      <c r="FA43" s="873"/>
      <c r="FB43" s="873"/>
      <c r="FC43" s="873"/>
      <c r="FD43" s="873"/>
      <c r="FE43" s="873"/>
      <c r="FF43" s="873"/>
      <c r="FG43" s="873"/>
      <c r="FH43" s="873"/>
      <c r="FI43" s="873"/>
      <c r="FJ43" s="873"/>
      <c r="FK43" s="873">
        <f>PPH_Data_Base28[[#This Row],[Differential Pressure Switch]]*2</f>
        <v>0</v>
      </c>
      <c r="FL43" s="873"/>
      <c r="FM43" s="875"/>
      <c r="FN43" s="875"/>
      <c r="FO43" s="875">
        <f>PPH_Data_Base28[[#This Row],[Replaceble Filter Drier ]]</f>
        <v>0</v>
      </c>
      <c r="FP43" s="875">
        <f>PPH_Data_Base28[[#This Row],[2" Pre-Filter]]*2</f>
        <v>0</v>
      </c>
      <c r="FQ43" s="875">
        <f>PPH_Data_Base28[[#This Row],[Bag Filter EU-8]]</f>
        <v>0</v>
      </c>
      <c r="FR43" s="875"/>
      <c r="FS43" s="875"/>
      <c r="FT43" s="176"/>
      <c r="FU43" s="176"/>
      <c r="FV43" s="176"/>
      <c r="FW43" s="176"/>
      <c r="GW43" s="176"/>
      <c r="GX43" s="176"/>
      <c r="HC43" s="176"/>
    </row>
    <row r="44" spans="1:211">
      <c r="A44" s="780" t="s">
        <v>472</v>
      </c>
      <c r="B44" s="781" t="s">
        <v>1524</v>
      </c>
      <c r="C44" s="781" t="s">
        <v>511</v>
      </c>
      <c r="D44" s="870"/>
      <c r="E44" s="870"/>
      <c r="F44" s="870"/>
      <c r="G44" s="851">
        <v>0</v>
      </c>
      <c r="H44" s="870" t="s">
        <v>2249</v>
      </c>
      <c r="I44" s="781" t="s">
        <v>744</v>
      </c>
      <c r="J44" s="781" t="s">
        <v>1523</v>
      </c>
      <c r="K44" s="781">
        <v>1</v>
      </c>
      <c r="L44" s="781" t="s">
        <v>568</v>
      </c>
      <c r="M44" s="781">
        <v>1</v>
      </c>
      <c r="N44" s="300">
        <v>2</v>
      </c>
      <c r="O44" s="781">
        <v>10.5</v>
      </c>
      <c r="P44" s="781">
        <v>4.5999999999999996</v>
      </c>
      <c r="Q44" s="781">
        <v>1</v>
      </c>
      <c r="R44" s="781">
        <v>3.1</v>
      </c>
      <c r="S44" s="781">
        <v>1</v>
      </c>
      <c r="T44" s="781"/>
      <c r="U44" s="781"/>
      <c r="V44" s="781">
        <v>117</v>
      </c>
      <c r="W44" s="781">
        <v>210</v>
      </c>
      <c r="X44" s="870"/>
      <c r="Y44" s="835">
        <v>0</v>
      </c>
      <c r="Z44" s="782" t="s">
        <v>1433</v>
      </c>
      <c r="AA44" s="782">
        <v>2402.4063453843364</v>
      </c>
      <c r="AB44" s="870"/>
      <c r="AC44" s="834">
        <v>0</v>
      </c>
      <c r="AD44" s="781">
        <v>91.454802259887018</v>
      </c>
      <c r="AE44" s="870">
        <v>78.389830508474589</v>
      </c>
      <c r="AF44" s="870">
        <v>91.454802259887018</v>
      </c>
      <c r="AG44" s="870">
        <v>109.74576271186442</v>
      </c>
      <c r="AH44" s="781">
        <v>109.74576271186442</v>
      </c>
      <c r="AI44" s="870">
        <v>94.067796610169495</v>
      </c>
      <c r="AJ44" s="870">
        <v>109.74576271186442</v>
      </c>
      <c r="AK44" s="870">
        <v>131.69491525423729</v>
      </c>
      <c r="AL44" s="870">
        <f>PPH_Data_Base28[[#This Row],[PPH Unit Basic Price With Cu Tube]]*0.05</f>
        <v>120.12031726921683</v>
      </c>
      <c r="AM44" s="781">
        <v>36.048922139216955</v>
      </c>
      <c r="AN44" s="781"/>
      <c r="AO44" s="781"/>
      <c r="AP44" s="781">
        <v>162</v>
      </c>
      <c r="AQ44" s="781">
        <v>170.10000000000002</v>
      </c>
      <c r="AR44" s="781">
        <f>0.5*242</f>
        <v>121</v>
      </c>
      <c r="AS44" s="781">
        <v>211.77090956440676</v>
      </c>
      <c r="AT44" s="781">
        <v>1317.6470146250847</v>
      </c>
      <c r="AU44" s="781">
        <v>15.257885593220337</v>
      </c>
      <c r="AV44" s="781">
        <v>176.7467855655085</v>
      </c>
      <c r="AW44" s="870">
        <v>1203</v>
      </c>
      <c r="AX44" s="870">
        <v>266</v>
      </c>
      <c r="AY44" s="870">
        <v>471.83084218220341</v>
      </c>
      <c r="AZ44" s="870">
        <v>166.63076967823093</v>
      </c>
      <c r="BA44" s="870"/>
      <c r="BB44" s="870">
        <f>PPH_Data_Base28[[#This Row],[PPH Unit Basic Price With Cu Tube]]*0.1</f>
        <v>240.24063453843365</v>
      </c>
      <c r="BC44" s="870">
        <v>29.795168564590451</v>
      </c>
      <c r="BD44" s="870">
        <v>99.317228548634844</v>
      </c>
      <c r="BE44" s="870">
        <v>33.105742849544946</v>
      </c>
      <c r="BF44" s="870">
        <v>33.105742849544946</v>
      </c>
      <c r="BG44" s="870">
        <v>33.105742849544946</v>
      </c>
      <c r="BH44" s="870">
        <f>PPH_Data_Base28[[#This Row],[PPH Unit Basic Price With Cu Tube]]*0.075</f>
        <v>180.18047590382523</v>
      </c>
      <c r="BI44" s="870">
        <v>99.317228548634844</v>
      </c>
      <c r="BJ44" s="870">
        <v>33.105742849544946</v>
      </c>
      <c r="BK44" s="870">
        <v>33.105742849544946</v>
      </c>
      <c r="BL44" s="870">
        <v>33.105742849544946</v>
      </c>
      <c r="BM44" s="781">
        <f>PPH_Data_Base28[[#This Row],[Total Condenser Coil Area]]*Naming!$M$62*4</f>
        <v>940.8</v>
      </c>
      <c r="BN44" s="781">
        <f>PPH_Data_Base28[[#This Row],[Total Evaporator  Coil Area]]*Naming!$M$62*4</f>
        <v>412.15999999999997</v>
      </c>
      <c r="BO44" s="781">
        <f>PPH_Data_Base28[[#This Row],[Total Condenser Coil Area]]*Naming!$D$61*4</f>
        <v>14.280000000000001</v>
      </c>
      <c r="BP44" s="781">
        <f>PPH_Data_Base28[[#This Row],[Total Evaporator  Coil Area]]*Naming!$D$61*6</f>
        <v>9.3840000000000003</v>
      </c>
      <c r="BQ44" s="781">
        <f>$G$195*PPH_Data_Base28[[#This Row],[Total Evaporator  Coil Area]]</f>
        <v>20.7</v>
      </c>
      <c r="BR44" s="781">
        <f>$G$199*PPH_Data_Base28[[#This Row],[Total Evaporator  Coil Area]]</f>
        <v>31.279999999999998</v>
      </c>
      <c r="BS44" s="781">
        <f>$E$185*PPH_Data_Base28[[#This Row],[Total Evaporator  Coil Area]]</f>
        <v>92</v>
      </c>
      <c r="BT44" s="781">
        <f>$E$188*PPH_Data_Base28[[#This Row],[Total Evaporator  Coil Area]]</f>
        <v>128.79999999999998</v>
      </c>
      <c r="BU44" s="781">
        <f>$G$195*PPH_Data_Base28[[#This Row],[Total Condenser Coil Area]]</f>
        <v>47.25</v>
      </c>
      <c r="BV44" s="781">
        <f>$G$199*PPH_Data_Base28[[#This Row],[Total Condenser Coil Area]]</f>
        <v>71.399999999999991</v>
      </c>
      <c r="BW44" s="781">
        <f>$E$185*PPH_Data_Base28[[#This Row],[Total Condenser Coil Area]]</f>
        <v>210</v>
      </c>
      <c r="BX44" s="781">
        <f>$E$188*PPH_Data_Base28[[#This Row],[Total Condenser Coil Area]]</f>
        <v>294</v>
      </c>
      <c r="BY44" s="781">
        <v>112.70920592379548</v>
      </c>
      <c r="BZ44" s="870">
        <v>69.774174172853108</v>
      </c>
      <c r="CA44" s="870"/>
      <c r="CB44" s="870"/>
      <c r="CC44" s="870">
        <v>74.152542372881356</v>
      </c>
      <c r="CD44" s="870">
        <f>2*36.0169491525424</f>
        <v>72.033898305084804</v>
      </c>
      <c r="CE44" s="870">
        <v>20</v>
      </c>
      <c r="CF44" s="832">
        <v>0</v>
      </c>
      <c r="CG44" s="870">
        <f>PPH_Data_Base28[[#This Row],[PPH Unit Basic Price With Cu Tube]]*0.25</f>
        <v>600.6015863460841</v>
      </c>
      <c r="CH44" s="870">
        <f>PPH_Data_Base28[[#This Row],[DSP Unit Basic Price With Cu Tube]]*0.35</f>
        <v>0</v>
      </c>
      <c r="CI44" s="781">
        <v>89.190356144067806</v>
      </c>
      <c r="CJ44" s="781">
        <v>129.77347881355934</v>
      </c>
      <c r="CK44" s="781">
        <v>18.596238771186442</v>
      </c>
      <c r="CL44" s="781">
        <f>110*1.35*PPH_Data_Base28[[#This Row],[No. of Unit  Compressors]]</f>
        <v>148.5</v>
      </c>
      <c r="CM44" s="870">
        <v>50.847457627118651</v>
      </c>
      <c r="CN44" s="781">
        <v>36.016949152542374</v>
      </c>
      <c r="CO44" s="870">
        <v>123.86332203389833</v>
      </c>
      <c r="CP44" s="781">
        <v>39.340260663841804</v>
      </c>
      <c r="CQ44" s="870">
        <v>56.649742302259888</v>
      </c>
      <c r="CR44" s="781">
        <v>245.51832203389827</v>
      </c>
      <c r="CS44" s="870">
        <v>211.12825762711864</v>
      </c>
      <c r="CT44" s="781">
        <v>432.55649717514126</v>
      </c>
      <c r="CU44" s="870">
        <v>92.15585593220338</v>
      </c>
      <c r="CV44" s="870">
        <v>248.58757062146893</v>
      </c>
      <c r="CW44" s="781">
        <f>400*1.35*PPH_Data_Base28[[#This Row],[No. of Unit  Compressors]]</f>
        <v>540</v>
      </c>
      <c r="CX44" s="835"/>
      <c r="CY44" s="871">
        <f>47*PPH_Data_Base28[[#This Row],[No. of Unit  Compressors]]*1.35</f>
        <v>63.45</v>
      </c>
      <c r="CZ44" s="871">
        <f>30*1.35*PPH_Data_Base28[[#This Row],[NO Condenser Fans]]</f>
        <v>81</v>
      </c>
      <c r="DA44" s="781">
        <f>INDEX($B$136:$F$154,MATCH(PPH_Data_Base28[[#This Row],[STD Supply Fan Motor]],$B$136:$B$154,0),5)*PPH_Data_Base28[[#This Row],[Fan QTY]]</f>
        <v>38.073067937853111</v>
      </c>
      <c r="DB44" s="871">
        <f>47*1.35*PPH_Data_Base28[[#This Row],[No. of Unit  Compressors]]</f>
        <v>63.45</v>
      </c>
      <c r="DC44" s="871">
        <f>28*PPH_Data_Base28[[#This Row],[NO Condenser Fans]]</f>
        <v>56</v>
      </c>
      <c r="DD44" s="781">
        <f>INDEX($B$136:$F$154,MATCH(PPH_Data_Base28[[#This Row],[STD Supply Fan Motor]],$B$136:$B$154,0),3)*PPH_Data_Base28[[#This Row],[Fan QTY]]</f>
        <v>24.627741525423726</v>
      </c>
      <c r="DE44" s="870">
        <f>INDEX($B$114:$C$131,MATCH(PPH_Data_Base28[[#This Row],[Compressor 1 HP]],$B$114:$B$131,0),2)*PPH_Data_Base28[[#This Row],[Compressor 1 QTY]]+IFERROR(INDEX($B$114:$C$131,MATCH(PPH_Data_Base28[[#This Row],[Compressor 2 HP]],$B$114:$B$131,0),2)*PPH_Data_Base28[[#This Row],[Compressor 2 QTY]],0)</f>
        <v>36</v>
      </c>
      <c r="DF44" s="870">
        <f>38*PPH_Data_Base28[[#This Row],[NO Condenser Fans]]</f>
        <v>76</v>
      </c>
      <c r="DG44" s="870">
        <f>INDEX($B$136:$F$154,MATCH(PPH_Data_Base28[[#This Row],[STD Supply Fan Motor]],$B$136:$B$154,0),5)*PPH_Data_Base28[[#This Row],[Fan QTY]]</f>
        <v>38.073067937853111</v>
      </c>
      <c r="DH44" s="781">
        <v>58.262711864406782</v>
      </c>
      <c r="DI44" s="781">
        <v>58.262711864406782</v>
      </c>
      <c r="DJ44" s="870">
        <v>2600</v>
      </c>
      <c r="DK44" s="870">
        <v>2600</v>
      </c>
      <c r="DL44" s="870">
        <v>887</v>
      </c>
      <c r="DM44" s="870">
        <v>564.9717514124294</v>
      </c>
      <c r="DN44" s="870">
        <v>213.2530350282486</v>
      </c>
      <c r="DO44" s="870"/>
      <c r="DP44" s="870">
        <v>173.0225988700565</v>
      </c>
      <c r="DQ44" s="870">
        <v>173.0225988700565</v>
      </c>
      <c r="DR44" s="870">
        <v>173.0225988700565</v>
      </c>
      <c r="DS44" s="870"/>
      <c r="DT44" s="870">
        <f>PPH_Data_Base28[[#This Row],[NO Condenser Fans]]*350</f>
        <v>700</v>
      </c>
      <c r="DU44" s="870">
        <v>238.27442754237299</v>
      </c>
      <c r="DV44" s="870">
        <f>150*PPH_Data_Base28[[#This Row],[NO Condenser Fans]]</f>
        <v>300</v>
      </c>
      <c r="DW44" s="781">
        <v>757.4152542372882</v>
      </c>
      <c r="DX44" s="781">
        <v>250</v>
      </c>
      <c r="DY44" s="870">
        <v>700</v>
      </c>
      <c r="DZ44" s="870">
        <v>0</v>
      </c>
      <c r="EA44" s="870">
        <v>540</v>
      </c>
      <c r="EB44" s="870">
        <v>4.186805084745763</v>
      </c>
      <c r="EC44" s="870">
        <v>23.305084745762713</v>
      </c>
      <c r="ED44" s="870">
        <v>56.080321186440685</v>
      </c>
      <c r="EE44" s="870"/>
      <c r="EF44" s="870"/>
      <c r="EG44" s="870"/>
      <c r="EH44" s="870"/>
      <c r="EI44" s="870"/>
      <c r="EJ44" s="870"/>
      <c r="EK44" s="870"/>
      <c r="EL44" s="870"/>
      <c r="EM44" s="870"/>
      <c r="EN44" s="870"/>
      <c r="EO44" s="870"/>
      <c r="EP44" s="870"/>
      <c r="EQ44" s="870"/>
      <c r="ER44" s="870"/>
      <c r="ES44" s="870"/>
      <c r="ET44" s="870"/>
      <c r="EU44" s="870">
        <v>203</v>
      </c>
      <c r="EV44" s="870">
        <v>250</v>
      </c>
      <c r="EW44" s="847"/>
      <c r="EX44" s="781">
        <v>46.384451977401142</v>
      </c>
      <c r="EY44" s="781">
        <v>333.11975593220342</v>
      </c>
      <c r="EZ44" s="870">
        <v>19.209039548022599</v>
      </c>
      <c r="FA44" s="870">
        <v>40</v>
      </c>
      <c r="FB44" s="870">
        <v>40</v>
      </c>
      <c r="FC44" s="870">
        <v>24</v>
      </c>
      <c r="FD44" s="870">
        <v>24</v>
      </c>
      <c r="FE44" s="870">
        <v>19.774011299435031</v>
      </c>
      <c r="FF44" s="870">
        <v>26.129943502824862</v>
      </c>
      <c r="FG44" s="870" t="s">
        <v>1525</v>
      </c>
      <c r="FH44" s="870">
        <v>88.758614203392113</v>
      </c>
      <c r="FI44" s="870">
        <v>53.738911328623757</v>
      </c>
      <c r="FJ44" s="870">
        <v>26</v>
      </c>
      <c r="FK44" s="870">
        <f>PPH_Data_Base28[[#This Row],[Differential Pressure Switch]]*2</f>
        <v>52</v>
      </c>
      <c r="FL44" s="870">
        <v>42</v>
      </c>
      <c r="FM44" s="872">
        <f>PPH_Data_Base28[[#This Row],[STD PETRA DIAL DIFF.PRESS.GAUGE NOT DWYER]]*2</f>
        <v>84</v>
      </c>
      <c r="FN44" s="872"/>
      <c r="FO44" s="872">
        <f>PPH_Data_Base28[[#This Row],[Replaceble Filter Drier ]]</f>
        <v>148.5</v>
      </c>
      <c r="FP44" s="872">
        <f>PPH_Data_Base28[[#This Row],[2" Pre-Filter]]*2</f>
        <v>30.515771186440674</v>
      </c>
      <c r="FQ44" s="872">
        <f>PPH_Data_Base28[[#This Row],[Bag Filter EU-8]]</f>
        <v>176.7467855655085</v>
      </c>
      <c r="FR44" s="872"/>
      <c r="FS44" s="872">
        <v>30</v>
      </c>
      <c r="FT44" s="176"/>
      <c r="FU44" s="176"/>
      <c r="FV44" s="176"/>
      <c r="FW44" s="176"/>
      <c r="GW44" s="176"/>
      <c r="GX44" s="176"/>
      <c r="HC44" s="176"/>
    </row>
    <row r="45" spans="1:211">
      <c r="A45" s="780" t="s">
        <v>473</v>
      </c>
      <c r="B45" s="781" t="s">
        <v>1526</v>
      </c>
      <c r="C45" s="781" t="s">
        <v>512</v>
      </c>
      <c r="D45" s="870"/>
      <c r="E45" s="870"/>
      <c r="F45" s="870"/>
      <c r="G45" s="851">
        <v>0</v>
      </c>
      <c r="H45" s="870" t="s">
        <v>2249</v>
      </c>
      <c r="I45" s="781" t="s">
        <v>744</v>
      </c>
      <c r="J45" s="781" t="s">
        <v>1523</v>
      </c>
      <c r="K45" s="781">
        <v>1</v>
      </c>
      <c r="L45" s="781" t="s">
        <v>568</v>
      </c>
      <c r="M45" s="781">
        <v>1</v>
      </c>
      <c r="N45" s="300">
        <v>2</v>
      </c>
      <c r="O45" s="781">
        <v>10.5</v>
      </c>
      <c r="P45" s="781">
        <v>4.5999999999999996</v>
      </c>
      <c r="Q45" s="781">
        <v>1</v>
      </c>
      <c r="R45" s="781">
        <v>4.5</v>
      </c>
      <c r="S45" s="781">
        <v>1</v>
      </c>
      <c r="T45" s="781"/>
      <c r="U45" s="781"/>
      <c r="V45" s="781">
        <v>117</v>
      </c>
      <c r="W45" s="781">
        <v>210</v>
      </c>
      <c r="X45" s="870"/>
      <c r="Y45" s="835">
        <v>0</v>
      </c>
      <c r="Z45" s="782" t="s">
        <v>1433</v>
      </c>
      <c r="AA45" s="782">
        <v>2539.7180454776526</v>
      </c>
      <c r="AB45" s="870"/>
      <c r="AC45" s="834">
        <v>0</v>
      </c>
      <c r="AD45" s="781">
        <v>91.454802259887018</v>
      </c>
      <c r="AE45" s="870">
        <v>78.389830508474589</v>
      </c>
      <c r="AF45" s="870">
        <v>91.454802259887018</v>
      </c>
      <c r="AG45" s="870">
        <v>109.74576271186442</v>
      </c>
      <c r="AH45" s="781">
        <v>109.74576271186442</v>
      </c>
      <c r="AI45" s="870">
        <v>94.067796610169495</v>
      </c>
      <c r="AJ45" s="870">
        <v>109.74576271186442</v>
      </c>
      <c r="AK45" s="870">
        <v>131.69491525423729</v>
      </c>
      <c r="AL45" s="870">
        <f>PPH_Data_Base28[[#This Row],[PPH Unit Basic Price With Cu Tube]]*0.05</f>
        <v>126.98590227388263</v>
      </c>
      <c r="AM45" s="781">
        <v>36.048922139216955</v>
      </c>
      <c r="AN45" s="781"/>
      <c r="AO45" s="781"/>
      <c r="AP45" s="781">
        <v>162</v>
      </c>
      <c r="AQ45" s="781">
        <v>170.10000000000002</v>
      </c>
      <c r="AR45" s="781">
        <f>0.5*242</f>
        <v>121</v>
      </c>
      <c r="AS45" s="781">
        <v>211.77090956440676</v>
      </c>
      <c r="AT45" s="781">
        <v>1317.6470146250847</v>
      </c>
      <c r="AU45" s="781">
        <v>15.257885593220337</v>
      </c>
      <c r="AV45" s="781">
        <v>176.7467855655085</v>
      </c>
      <c r="AW45" s="870">
        <v>1203</v>
      </c>
      <c r="AX45" s="870">
        <v>266</v>
      </c>
      <c r="AY45" s="870">
        <v>471.83084218220341</v>
      </c>
      <c r="AZ45" s="870">
        <v>166.63076967823093</v>
      </c>
      <c r="BA45" s="870"/>
      <c r="BB45" s="870">
        <f>PPH_Data_Base28[[#This Row],[PPH Unit Basic Price With Cu Tube]]*0.1</f>
        <v>253.97180454776526</v>
      </c>
      <c r="BC45" s="870">
        <v>31.249579999492195</v>
      </c>
      <c r="BD45" s="870">
        <v>104.16526666497398</v>
      </c>
      <c r="BE45" s="870">
        <v>34.721755554991326</v>
      </c>
      <c r="BF45" s="870">
        <v>34.721755554991326</v>
      </c>
      <c r="BG45" s="870">
        <v>34.721755554991326</v>
      </c>
      <c r="BH45" s="870">
        <f>PPH_Data_Base28[[#This Row],[PPH Unit Basic Price With Cu Tube]]*0.075</f>
        <v>190.47885341082394</v>
      </c>
      <c r="BI45" s="870">
        <v>104.16526666497398</v>
      </c>
      <c r="BJ45" s="870">
        <v>34.721755554991326</v>
      </c>
      <c r="BK45" s="870">
        <v>34.721755554991326</v>
      </c>
      <c r="BL45" s="870">
        <v>34.721755554991326</v>
      </c>
      <c r="BM45" s="781">
        <f>PPH_Data_Base28[[#This Row],[Total Condenser Coil Area]]*Naming!$M$62*4</f>
        <v>940.8</v>
      </c>
      <c r="BN45" s="781">
        <f>PPH_Data_Base28[[#This Row],[Total Evaporator  Coil Area]]*Naming!$M$62*4</f>
        <v>412.15999999999997</v>
      </c>
      <c r="BO45" s="781">
        <f>PPH_Data_Base28[[#This Row],[Total Condenser Coil Area]]*Naming!$D$61*4</f>
        <v>14.280000000000001</v>
      </c>
      <c r="BP45" s="781">
        <f>PPH_Data_Base28[[#This Row],[Total Evaporator  Coil Area]]*Naming!$D$61*6</f>
        <v>9.3840000000000003</v>
      </c>
      <c r="BQ45" s="781">
        <f>$G$195*PPH_Data_Base28[[#This Row],[Total Evaporator  Coil Area]]</f>
        <v>20.7</v>
      </c>
      <c r="BR45" s="781">
        <f>$G$199*PPH_Data_Base28[[#This Row],[Total Evaporator  Coil Area]]</f>
        <v>31.279999999999998</v>
      </c>
      <c r="BS45" s="781">
        <f>$E$185*PPH_Data_Base28[[#This Row],[Total Evaporator  Coil Area]]</f>
        <v>92</v>
      </c>
      <c r="BT45" s="781">
        <f>$E$188*PPH_Data_Base28[[#This Row],[Total Evaporator  Coil Area]]</f>
        <v>128.79999999999998</v>
      </c>
      <c r="BU45" s="781">
        <f>$G$195*PPH_Data_Base28[[#This Row],[Total Condenser Coil Area]]</f>
        <v>47.25</v>
      </c>
      <c r="BV45" s="781">
        <f>$G$199*PPH_Data_Base28[[#This Row],[Total Condenser Coil Area]]</f>
        <v>71.399999999999991</v>
      </c>
      <c r="BW45" s="781">
        <f>$E$185*PPH_Data_Base28[[#This Row],[Total Condenser Coil Area]]</f>
        <v>210</v>
      </c>
      <c r="BX45" s="781">
        <f>$E$188*PPH_Data_Base28[[#This Row],[Total Condenser Coil Area]]</f>
        <v>294</v>
      </c>
      <c r="BY45" s="781">
        <v>112.70920592379548</v>
      </c>
      <c r="BZ45" s="870">
        <v>69.774174172853108</v>
      </c>
      <c r="CA45" s="870"/>
      <c r="CB45" s="870"/>
      <c r="CC45" s="870">
        <v>74.152542372881356</v>
      </c>
      <c r="CD45" s="870">
        <f t="shared" ref="CD45:CD53" si="7">2*36.0169491525424</f>
        <v>72.033898305084804</v>
      </c>
      <c r="CE45" s="870">
        <v>20</v>
      </c>
      <c r="CF45" s="832">
        <v>0</v>
      </c>
      <c r="CG45" s="870">
        <f>PPH_Data_Base28[[#This Row],[PPH Unit Basic Price With Cu Tube]]*0.25</f>
        <v>634.92951136941315</v>
      </c>
      <c r="CH45" s="870">
        <f>PPH_Data_Base28[[#This Row],[DSP Unit Basic Price With Cu Tube]]*0.35</f>
        <v>0</v>
      </c>
      <c r="CI45" s="781">
        <v>89.190356144067806</v>
      </c>
      <c r="CJ45" s="781">
        <v>129.77347881355934</v>
      </c>
      <c r="CK45" s="781">
        <v>18.596238771186442</v>
      </c>
      <c r="CL45" s="781">
        <f>110*1.35*PPH_Data_Base28[[#This Row],[No. of Unit  Compressors]]</f>
        <v>148.5</v>
      </c>
      <c r="CM45" s="870">
        <v>50.847457627118651</v>
      </c>
      <c r="CN45" s="781">
        <v>36.016949152542374</v>
      </c>
      <c r="CO45" s="870">
        <v>123.86332203389833</v>
      </c>
      <c r="CP45" s="781">
        <v>55.87069689265536</v>
      </c>
      <c r="CQ45" s="870">
        <v>56.649742302259888</v>
      </c>
      <c r="CR45" s="781">
        <v>245.51832203389827</v>
      </c>
      <c r="CS45" s="870">
        <v>248.08662627118645</v>
      </c>
      <c r="CT45" s="781">
        <v>432.55649717514126</v>
      </c>
      <c r="CU45" s="870">
        <v>92.15585593220338</v>
      </c>
      <c r="CV45" s="870">
        <v>248.58757062146893</v>
      </c>
      <c r="CW45" s="781">
        <f>400*1.35*PPH_Data_Base28[[#This Row],[No. of Unit  Compressors]]</f>
        <v>540</v>
      </c>
      <c r="CX45" s="835"/>
      <c r="CY45" s="871">
        <f>47*PPH_Data_Base28[[#This Row],[No. of Unit  Compressors]]*1.35</f>
        <v>63.45</v>
      </c>
      <c r="CZ45" s="871">
        <f>30*1.35*PPH_Data_Base28[[#This Row],[NO Condenser Fans]]</f>
        <v>81</v>
      </c>
      <c r="DA45" s="781">
        <f>INDEX($B$136:$F$154,MATCH(PPH_Data_Base28[[#This Row],[STD Supply Fan Motor]],$B$136:$B$154,0),5)*PPH_Data_Base28[[#This Row],[Fan QTY]]</f>
        <v>38.073067937853111</v>
      </c>
      <c r="DB45" s="871">
        <f>47*1.35*PPH_Data_Base28[[#This Row],[No. of Unit  Compressors]]</f>
        <v>63.45</v>
      </c>
      <c r="DC45" s="871">
        <f>28*PPH_Data_Base28[[#This Row],[NO Condenser Fans]]</f>
        <v>56</v>
      </c>
      <c r="DD45" s="781">
        <f>INDEX($B$136:$F$154,MATCH(PPH_Data_Base28[[#This Row],[STD Supply Fan Motor]],$B$136:$B$154,0),3)*PPH_Data_Base28[[#This Row],[Fan QTY]]</f>
        <v>24.627741525423726</v>
      </c>
      <c r="DE45" s="870">
        <f>INDEX($B$114:$C$131,MATCH(PPH_Data_Base28[[#This Row],[Compressor 1 HP]],$B$114:$B$131,0),2)*PPH_Data_Base28[[#This Row],[Compressor 1 QTY]]+IFERROR(INDEX($B$114:$C$131,MATCH(PPH_Data_Base28[[#This Row],[Compressor 2 HP]],$B$114:$B$131,0),2)*PPH_Data_Base28[[#This Row],[Compressor 2 QTY]],0)</f>
        <v>25</v>
      </c>
      <c r="DF45" s="870">
        <f>38*PPH_Data_Base28[[#This Row],[NO Condenser Fans]]</f>
        <v>76</v>
      </c>
      <c r="DG45" s="870">
        <f>INDEX($B$136:$F$154,MATCH(PPH_Data_Base28[[#This Row],[STD Supply Fan Motor]],$B$136:$B$154,0),5)*PPH_Data_Base28[[#This Row],[Fan QTY]]</f>
        <v>38.073067937853111</v>
      </c>
      <c r="DH45" s="781">
        <v>58.262711864406782</v>
      </c>
      <c r="DI45" s="781">
        <v>58.262711864406782</v>
      </c>
      <c r="DJ45" s="870">
        <v>2600</v>
      </c>
      <c r="DK45" s="870">
        <v>2600</v>
      </c>
      <c r="DL45" s="870">
        <v>887</v>
      </c>
      <c r="DM45" s="870">
        <v>564.9717514124294</v>
      </c>
      <c r="DN45" s="870">
        <v>213.2530350282486</v>
      </c>
      <c r="DO45" s="870"/>
      <c r="DP45" s="870">
        <v>173.0225988700565</v>
      </c>
      <c r="DQ45" s="870">
        <v>173.0225988700565</v>
      </c>
      <c r="DR45" s="870">
        <v>173.0225988700565</v>
      </c>
      <c r="DS45" s="870"/>
      <c r="DT45" s="870">
        <f>PPH_Data_Base28[[#This Row],[NO Condenser Fans]]*350</f>
        <v>700</v>
      </c>
      <c r="DU45" s="870">
        <v>238.27442754237299</v>
      </c>
      <c r="DV45" s="870">
        <f>150*PPH_Data_Base28[[#This Row],[NO Condenser Fans]]</f>
        <v>300</v>
      </c>
      <c r="DW45" s="781">
        <v>757.4152542372882</v>
      </c>
      <c r="DX45" s="781">
        <v>250</v>
      </c>
      <c r="DY45" s="870">
        <v>700</v>
      </c>
      <c r="DZ45" s="870">
        <v>0</v>
      </c>
      <c r="EA45" s="870">
        <v>540</v>
      </c>
      <c r="EB45" s="870">
        <v>4.186805084745763</v>
      </c>
      <c r="EC45" s="870">
        <v>23.305084745762713</v>
      </c>
      <c r="ED45" s="870">
        <v>56.080321186440685</v>
      </c>
      <c r="EE45" s="870"/>
      <c r="EF45" s="870"/>
      <c r="EG45" s="870"/>
      <c r="EH45" s="870"/>
      <c r="EI45" s="870"/>
      <c r="EJ45" s="870"/>
      <c r="EK45" s="870"/>
      <c r="EL45" s="870"/>
      <c r="EM45" s="870"/>
      <c r="EN45" s="870"/>
      <c r="EO45" s="870"/>
      <c r="EP45" s="870"/>
      <c r="EQ45" s="870"/>
      <c r="ER45" s="870"/>
      <c r="ES45" s="870"/>
      <c r="ET45" s="870"/>
      <c r="EU45" s="870">
        <v>203</v>
      </c>
      <c r="EV45" s="870">
        <v>250</v>
      </c>
      <c r="EW45" s="847"/>
      <c r="EX45" s="781">
        <v>46.384451977401142</v>
      </c>
      <c r="EY45" s="781">
        <v>333.11975593220342</v>
      </c>
      <c r="EZ45" s="870">
        <v>19.209039548022599</v>
      </c>
      <c r="FA45" s="870">
        <v>40</v>
      </c>
      <c r="FB45" s="870">
        <v>40</v>
      </c>
      <c r="FC45" s="870">
        <v>24</v>
      </c>
      <c r="FD45" s="870">
        <v>24</v>
      </c>
      <c r="FE45" s="870">
        <v>19.774011299435031</v>
      </c>
      <c r="FF45" s="870">
        <v>26.129943502824862</v>
      </c>
      <c r="FG45" s="870" t="s">
        <v>1525</v>
      </c>
      <c r="FH45" s="870">
        <v>88.758614203392113</v>
      </c>
      <c r="FI45" s="870">
        <v>53.738911328623757</v>
      </c>
      <c r="FJ45" s="870">
        <v>26</v>
      </c>
      <c r="FK45" s="870">
        <f>PPH_Data_Base28[[#This Row],[Differential Pressure Switch]]*2</f>
        <v>52</v>
      </c>
      <c r="FL45" s="870">
        <v>42</v>
      </c>
      <c r="FM45" s="872">
        <f>PPH_Data_Base28[[#This Row],[STD PETRA DIAL DIFF.PRESS.GAUGE NOT DWYER]]*2</f>
        <v>84</v>
      </c>
      <c r="FN45" s="872"/>
      <c r="FO45" s="872">
        <f>PPH_Data_Base28[[#This Row],[Replaceble Filter Drier ]]</f>
        <v>148.5</v>
      </c>
      <c r="FP45" s="872">
        <f>PPH_Data_Base28[[#This Row],[2" Pre-Filter]]*2</f>
        <v>30.515771186440674</v>
      </c>
      <c r="FQ45" s="872">
        <f>PPH_Data_Base28[[#This Row],[Bag Filter EU-8]]</f>
        <v>176.7467855655085</v>
      </c>
      <c r="FR45" s="872"/>
      <c r="FS45" s="872">
        <v>30</v>
      </c>
      <c r="FT45" s="176"/>
      <c r="FU45" s="176"/>
      <c r="FV45" s="176"/>
      <c r="FW45" s="176"/>
      <c r="GW45" s="176"/>
      <c r="GX45" s="176"/>
      <c r="HC45" s="176"/>
    </row>
    <row r="46" spans="1:211">
      <c r="A46" s="780" t="s">
        <v>474</v>
      </c>
      <c r="B46" s="781" t="s">
        <v>1527</v>
      </c>
      <c r="C46" s="781" t="s">
        <v>513</v>
      </c>
      <c r="D46" s="870"/>
      <c r="E46" s="870"/>
      <c r="F46" s="870"/>
      <c r="G46" s="851">
        <v>0</v>
      </c>
      <c r="H46" s="870" t="s">
        <v>2249</v>
      </c>
      <c r="I46" s="781" t="s">
        <v>744</v>
      </c>
      <c r="J46" s="781" t="s">
        <v>1523</v>
      </c>
      <c r="K46" s="781">
        <v>1</v>
      </c>
      <c r="L46" s="781" t="s">
        <v>568</v>
      </c>
      <c r="M46" s="781">
        <v>2</v>
      </c>
      <c r="N46" s="300">
        <v>2</v>
      </c>
      <c r="O46" s="781">
        <v>13.5</v>
      </c>
      <c r="P46" s="781">
        <v>4.5999999999999996</v>
      </c>
      <c r="Q46" s="781">
        <v>1</v>
      </c>
      <c r="R46" s="781">
        <v>5</v>
      </c>
      <c r="S46" s="781">
        <v>1</v>
      </c>
      <c r="T46" s="781"/>
      <c r="U46" s="781"/>
      <c r="V46" s="781">
        <v>117</v>
      </c>
      <c r="W46" s="781">
        <v>210</v>
      </c>
      <c r="X46" s="870"/>
      <c r="Y46" s="835">
        <v>0</v>
      </c>
      <c r="Z46" s="782" t="s">
        <v>1433</v>
      </c>
      <c r="AA46" s="782">
        <v>2809.2134406019536</v>
      </c>
      <c r="AB46" s="870"/>
      <c r="AC46" s="834">
        <v>0</v>
      </c>
      <c r="AD46" s="781">
        <v>91.454802259887018</v>
      </c>
      <c r="AE46" s="870">
        <v>78.389830508474589</v>
      </c>
      <c r="AF46" s="870">
        <v>91.454802259887018</v>
      </c>
      <c r="AG46" s="870">
        <v>109.74576271186442</v>
      </c>
      <c r="AH46" s="781">
        <v>109.74576271186442</v>
      </c>
      <c r="AI46" s="870">
        <v>94.067796610169495</v>
      </c>
      <c r="AJ46" s="870">
        <v>109.74576271186442</v>
      </c>
      <c r="AK46" s="870">
        <v>131.69491525423729</v>
      </c>
      <c r="AL46" s="870">
        <f>PPH_Data_Base28[[#This Row],[PPH Unit Basic Price With Cu Tube]]*0.05</f>
        <v>140.4606720300977</v>
      </c>
      <c r="AM46" s="781">
        <v>46.34861417899323</v>
      </c>
      <c r="AN46" s="781"/>
      <c r="AO46" s="781"/>
      <c r="AP46" s="781">
        <v>162</v>
      </c>
      <c r="AQ46" s="781">
        <v>170.10000000000002</v>
      </c>
      <c r="AR46" s="781">
        <f>0.5*242</f>
        <v>121</v>
      </c>
      <c r="AS46" s="781">
        <v>211.77090956440676</v>
      </c>
      <c r="AT46" s="781">
        <v>1317.6470146250847</v>
      </c>
      <c r="AU46" s="781">
        <v>15.257885593220337</v>
      </c>
      <c r="AV46" s="781">
        <v>176.7467855655085</v>
      </c>
      <c r="AW46" s="870">
        <v>1203</v>
      </c>
      <c r="AX46" s="870">
        <v>266</v>
      </c>
      <c r="AY46" s="870">
        <v>471.83084218220341</v>
      </c>
      <c r="AZ46" s="870">
        <v>166.63076967823093</v>
      </c>
      <c r="BA46" s="870"/>
      <c r="BB46" s="870">
        <f>PPH_Data_Base28[[#This Row],[PPH Unit Basic Price With Cu Tube]]*0.1</f>
        <v>280.92134406019539</v>
      </c>
      <c r="BC46" s="870">
        <v>33.333936663989377</v>
      </c>
      <c r="BD46" s="870">
        <v>111.11312221329793</v>
      </c>
      <c r="BE46" s="870">
        <v>37.037707404432645</v>
      </c>
      <c r="BF46" s="870">
        <v>37.037707404432645</v>
      </c>
      <c r="BG46" s="870">
        <v>37.037707404432645</v>
      </c>
      <c r="BH46" s="870">
        <f>PPH_Data_Base28[[#This Row],[PPH Unit Basic Price With Cu Tube]]*0.075</f>
        <v>210.6910080451465</v>
      </c>
      <c r="BI46" s="870">
        <v>111.11312221329793</v>
      </c>
      <c r="BJ46" s="870">
        <v>37.037707404432645</v>
      </c>
      <c r="BK46" s="870">
        <v>37.037707404432645</v>
      </c>
      <c r="BL46" s="870">
        <v>37.037707404432645</v>
      </c>
      <c r="BM46" s="781">
        <f>PPH_Data_Base28[[#This Row],[Total Condenser Coil Area]]*Naming!$M$62*4</f>
        <v>1209.5999999999999</v>
      </c>
      <c r="BN46" s="781">
        <f>PPH_Data_Base28[[#This Row],[Total Evaporator  Coil Area]]*Naming!$M$62*4</f>
        <v>412.15999999999997</v>
      </c>
      <c r="BO46" s="781">
        <f>PPH_Data_Base28[[#This Row],[Total Condenser Coil Area]]*Naming!$D$61*4</f>
        <v>18.360000000000003</v>
      </c>
      <c r="BP46" s="781">
        <f>PPH_Data_Base28[[#This Row],[Total Evaporator  Coil Area]]*Naming!$D$61*6</f>
        <v>9.3840000000000003</v>
      </c>
      <c r="BQ46" s="781">
        <f>$G$195*PPH_Data_Base28[[#This Row],[Total Evaporator  Coil Area]]</f>
        <v>20.7</v>
      </c>
      <c r="BR46" s="781">
        <f>$G$199*PPH_Data_Base28[[#This Row],[Total Evaporator  Coil Area]]</f>
        <v>31.279999999999998</v>
      </c>
      <c r="BS46" s="781">
        <f>$E$185*PPH_Data_Base28[[#This Row],[Total Evaporator  Coil Area]]</f>
        <v>92</v>
      </c>
      <c r="BT46" s="781">
        <f>$E$188*PPH_Data_Base28[[#This Row],[Total Evaporator  Coil Area]]</f>
        <v>128.79999999999998</v>
      </c>
      <c r="BU46" s="781">
        <f>$G$195*PPH_Data_Base28[[#This Row],[Total Condenser Coil Area]]</f>
        <v>60.75</v>
      </c>
      <c r="BV46" s="781">
        <f>$G$199*PPH_Data_Base28[[#This Row],[Total Condenser Coil Area]]</f>
        <v>91.8</v>
      </c>
      <c r="BW46" s="781">
        <f>$E$185*PPH_Data_Base28[[#This Row],[Total Condenser Coil Area]]</f>
        <v>270</v>
      </c>
      <c r="BX46" s="781">
        <f>$E$188*PPH_Data_Base28[[#This Row],[Total Condenser Coil Area]]</f>
        <v>378</v>
      </c>
      <c r="BY46" s="781">
        <v>112.70920592379548</v>
      </c>
      <c r="BZ46" s="870">
        <v>69.774174172853108</v>
      </c>
      <c r="CA46" s="870"/>
      <c r="CB46" s="870"/>
      <c r="CC46" s="870">
        <v>74.152542372881356</v>
      </c>
      <c r="CD46" s="870">
        <f t="shared" si="7"/>
        <v>72.033898305084804</v>
      </c>
      <c r="CE46" s="870">
        <v>20</v>
      </c>
      <c r="CF46" s="832">
        <v>0</v>
      </c>
      <c r="CG46" s="870">
        <f>PPH_Data_Base28[[#This Row],[PPH Unit Basic Price With Cu Tube]]*0.25</f>
        <v>702.3033601504884</v>
      </c>
      <c r="CH46" s="870">
        <f>PPH_Data_Base28[[#This Row],[DSP Unit Basic Price With Cu Tube]]*0.35</f>
        <v>0</v>
      </c>
      <c r="CI46" s="781">
        <v>89.190356144067806</v>
      </c>
      <c r="CJ46" s="781">
        <v>129.77347881355934</v>
      </c>
      <c r="CK46" s="781">
        <v>18.596238771186442</v>
      </c>
      <c r="CL46" s="781">
        <f>110*1.35*PPH_Data_Base28[[#This Row],[No. of Unit  Compressors]]</f>
        <v>148.5</v>
      </c>
      <c r="CM46" s="870">
        <v>50.847457627118651</v>
      </c>
      <c r="CN46" s="781">
        <v>36.016949152542374</v>
      </c>
      <c r="CO46" s="870">
        <v>123.86332203389833</v>
      </c>
      <c r="CP46" s="781">
        <v>55.87069689265536</v>
      </c>
      <c r="CQ46" s="870">
        <v>56.649742302259888</v>
      </c>
      <c r="CR46" s="781">
        <v>245.51832203389827</v>
      </c>
      <c r="CS46" s="870">
        <v>254.23357542372887</v>
      </c>
      <c r="CT46" s="781">
        <v>432.55649717514126</v>
      </c>
      <c r="CU46" s="870">
        <v>92.15585593220338</v>
      </c>
      <c r="CV46" s="870">
        <v>248.58757062146893</v>
      </c>
      <c r="CW46" s="781">
        <f>400*1.35*PPH_Data_Base28[[#This Row],[No. of Unit  Compressors]]</f>
        <v>540</v>
      </c>
      <c r="CX46" s="835"/>
      <c r="CY46" s="871">
        <f>47*PPH_Data_Base28[[#This Row],[No. of Unit  Compressors]]*1.35</f>
        <v>63.45</v>
      </c>
      <c r="CZ46" s="871">
        <f>30*1.35*PPH_Data_Base28[[#This Row],[NO Condenser Fans]]</f>
        <v>81</v>
      </c>
      <c r="DA46" s="781">
        <f>INDEX($B$136:$F$154,MATCH(PPH_Data_Base28[[#This Row],[STD Supply Fan Motor]],$B$136:$B$154,0),5)*PPH_Data_Base28[[#This Row],[Fan QTY]]</f>
        <v>38.073067937853111</v>
      </c>
      <c r="DB46" s="871">
        <f>47*1.35*PPH_Data_Base28[[#This Row],[No. of Unit  Compressors]]</f>
        <v>63.45</v>
      </c>
      <c r="DC46" s="871">
        <f>28*PPH_Data_Base28[[#This Row],[NO Condenser Fans]]</f>
        <v>56</v>
      </c>
      <c r="DD46" s="781">
        <f>INDEX($B$136:$F$154,MATCH(PPH_Data_Base28[[#This Row],[STD Supply Fan Motor]],$B$136:$B$154,0),3)*PPH_Data_Base28[[#This Row],[Fan QTY]]</f>
        <v>24.627741525423726</v>
      </c>
      <c r="DE46" s="870">
        <f>INDEX($B$114:$C$131,MATCH(PPH_Data_Base28[[#This Row],[Compressor 1 HP]],$B$114:$B$131,0),2)*PPH_Data_Base28[[#This Row],[Compressor 1 QTY]]+IFERROR(INDEX($B$114:$C$131,MATCH(PPH_Data_Base28[[#This Row],[Compressor 2 HP]],$B$114:$B$131,0),2)*PPH_Data_Base28[[#This Row],[Compressor 2 QTY]],0)</f>
        <v>30</v>
      </c>
      <c r="DF46" s="870">
        <f>38*PPH_Data_Base28[[#This Row],[NO Condenser Fans]]</f>
        <v>76</v>
      </c>
      <c r="DG46" s="870">
        <f>INDEX($B$136:$F$154,MATCH(PPH_Data_Base28[[#This Row],[STD Supply Fan Motor]],$B$136:$B$154,0),5)*PPH_Data_Base28[[#This Row],[Fan QTY]]</f>
        <v>38.073067937853111</v>
      </c>
      <c r="DH46" s="781">
        <v>58.262711864406782</v>
      </c>
      <c r="DI46" s="781">
        <v>58.262711864406782</v>
      </c>
      <c r="DJ46" s="870">
        <v>2600</v>
      </c>
      <c r="DK46" s="870">
        <v>2600</v>
      </c>
      <c r="DL46" s="870">
        <v>887</v>
      </c>
      <c r="DM46" s="870">
        <v>564.9717514124294</v>
      </c>
      <c r="DN46" s="870">
        <v>213.2530350282486</v>
      </c>
      <c r="DO46" s="870"/>
      <c r="DP46" s="870">
        <v>173.0225988700565</v>
      </c>
      <c r="DQ46" s="870">
        <v>173.0225988700565</v>
      </c>
      <c r="DR46" s="870">
        <v>173.0225988700565</v>
      </c>
      <c r="DS46" s="870"/>
      <c r="DT46" s="870">
        <f>PPH_Data_Base28[[#This Row],[NO Condenser Fans]]*350</f>
        <v>700</v>
      </c>
      <c r="DU46" s="870">
        <v>238.27442754237299</v>
      </c>
      <c r="DV46" s="870">
        <f>150*PPH_Data_Base28[[#This Row],[NO Condenser Fans]]</f>
        <v>300</v>
      </c>
      <c r="DW46" s="781">
        <v>757.4152542372882</v>
      </c>
      <c r="DX46" s="781">
        <v>250</v>
      </c>
      <c r="DY46" s="870">
        <v>700</v>
      </c>
      <c r="DZ46" s="870">
        <v>100</v>
      </c>
      <c r="EA46" s="870">
        <v>540</v>
      </c>
      <c r="EB46" s="870">
        <v>4.186805084745763</v>
      </c>
      <c r="EC46" s="870">
        <v>23.305084745762713</v>
      </c>
      <c r="ED46" s="870">
        <v>56.080321186440685</v>
      </c>
      <c r="EE46" s="870"/>
      <c r="EF46" s="870"/>
      <c r="EG46" s="870"/>
      <c r="EH46" s="870"/>
      <c r="EI46" s="870"/>
      <c r="EJ46" s="870"/>
      <c r="EK46" s="870"/>
      <c r="EL46" s="870"/>
      <c r="EM46" s="870"/>
      <c r="EN46" s="870"/>
      <c r="EO46" s="870"/>
      <c r="EP46" s="870"/>
      <c r="EQ46" s="870"/>
      <c r="ER46" s="870"/>
      <c r="ES46" s="870"/>
      <c r="ET46" s="870"/>
      <c r="EU46" s="870">
        <v>203</v>
      </c>
      <c r="EV46" s="870">
        <v>250</v>
      </c>
      <c r="EW46" s="847"/>
      <c r="EX46" s="781">
        <v>46.384451977401142</v>
      </c>
      <c r="EY46" s="781">
        <v>333.11975593220342</v>
      </c>
      <c r="EZ46" s="870">
        <v>19.209039548022599</v>
      </c>
      <c r="FA46" s="870">
        <v>40</v>
      </c>
      <c r="FB46" s="870">
        <v>40</v>
      </c>
      <c r="FC46" s="870">
        <v>24</v>
      </c>
      <c r="FD46" s="870">
        <v>24</v>
      </c>
      <c r="FE46" s="870">
        <v>19.774011299435031</v>
      </c>
      <c r="FF46" s="870">
        <v>26.129943502824862</v>
      </c>
      <c r="FG46" s="870" t="s">
        <v>1525</v>
      </c>
      <c r="FH46" s="870">
        <v>88.758614203392113</v>
      </c>
      <c r="FI46" s="870">
        <v>53.738911328623757</v>
      </c>
      <c r="FJ46" s="870">
        <v>26</v>
      </c>
      <c r="FK46" s="870">
        <f>PPH_Data_Base28[[#This Row],[Differential Pressure Switch]]*2</f>
        <v>52</v>
      </c>
      <c r="FL46" s="870">
        <v>42</v>
      </c>
      <c r="FM46" s="872">
        <f>PPH_Data_Base28[[#This Row],[STD PETRA DIAL DIFF.PRESS.GAUGE NOT DWYER]]*2</f>
        <v>84</v>
      </c>
      <c r="FN46" s="872"/>
      <c r="FO46" s="872">
        <f>PPH_Data_Base28[[#This Row],[Replaceble Filter Drier ]]</f>
        <v>148.5</v>
      </c>
      <c r="FP46" s="872">
        <f>PPH_Data_Base28[[#This Row],[2" Pre-Filter]]*2</f>
        <v>30.515771186440674</v>
      </c>
      <c r="FQ46" s="872">
        <f>PPH_Data_Base28[[#This Row],[Bag Filter EU-8]]</f>
        <v>176.7467855655085</v>
      </c>
      <c r="FR46" s="872"/>
      <c r="FS46" s="872">
        <v>30</v>
      </c>
      <c r="FT46" s="176"/>
      <c r="FU46" s="176"/>
      <c r="FV46" s="176"/>
      <c r="FW46" s="176"/>
      <c r="GW46" s="176"/>
      <c r="GX46" s="176"/>
      <c r="HC46" s="176"/>
    </row>
    <row r="47" spans="1:211">
      <c r="A47" s="780" t="s">
        <v>475</v>
      </c>
      <c r="B47" s="781" t="s">
        <v>1533</v>
      </c>
      <c r="C47" s="781" t="s">
        <v>515</v>
      </c>
      <c r="D47" s="870" t="s">
        <v>1646</v>
      </c>
      <c r="E47" s="870" t="s">
        <v>1534</v>
      </c>
      <c r="F47" s="870" t="s">
        <v>1534</v>
      </c>
      <c r="G47" s="851">
        <v>0</v>
      </c>
      <c r="H47" s="870" t="s">
        <v>2249</v>
      </c>
      <c r="I47" s="781" t="s">
        <v>1528</v>
      </c>
      <c r="J47" s="781" t="s">
        <v>1523</v>
      </c>
      <c r="K47" s="781">
        <v>1</v>
      </c>
      <c r="L47" s="781" t="s">
        <v>568</v>
      </c>
      <c r="M47" s="781">
        <v>2</v>
      </c>
      <c r="N47" s="300">
        <v>2</v>
      </c>
      <c r="O47" s="781">
        <v>13.5</v>
      </c>
      <c r="P47" s="781">
        <v>4.5999999999999996</v>
      </c>
      <c r="Q47" s="781">
        <v>1</v>
      </c>
      <c r="R47" s="781">
        <v>7</v>
      </c>
      <c r="S47" s="781">
        <v>1</v>
      </c>
      <c r="T47" s="781"/>
      <c r="U47" s="781"/>
      <c r="V47" s="781">
        <v>117</v>
      </c>
      <c r="W47" s="781">
        <v>210</v>
      </c>
      <c r="X47" s="870"/>
      <c r="Y47" s="835">
        <v>0</v>
      </c>
      <c r="Z47" s="782" t="s">
        <v>1433</v>
      </c>
      <c r="AA47" s="782">
        <v>3781.5417999176407</v>
      </c>
      <c r="AB47" s="870">
        <v>2627.3657412459911</v>
      </c>
      <c r="AC47" s="834">
        <v>0</v>
      </c>
      <c r="AD47" s="781">
        <v>91.454802259887018</v>
      </c>
      <c r="AE47" s="870">
        <v>78.389830508474589</v>
      </c>
      <c r="AF47" s="870">
        <v>91.454802259887018</v>
      </c>
      <c r="AG47" s="870">
        <v>109.74576271186442</v>
      </c>
      <c r="AH47" s="781">
        <v>109.74576271186442</v>
      </c>
      <c r="AI47" s="870">
        <v>94.067796610169495</v>
      </c>
      <c r="AJ47" s="870">
        <v>109.74576271186442</v>
      </c>
      <c r="AK47" s="870">
        <v>131.69491525423729</v>
      </c>
      <c r="AL47" s="870">
        <f>PPH_Data_Base28[[#This Row],[PPH Unit Basic Price With Cu Tube]]*0.05</f>
        <v>189.07708999588203</v>
      </c>
      <c r="AM47" s="781">
        <v>46.34861417899323</v>
      </c>
      <c r="AN47" s="781"/>
      <c r="AO47" s="781"/>
      <c r="AP47" s="781">
        <v>202.5</v>
      </c>
      <c r="AQ47" s="781">
        <v>170.10000000000002</v>
      </c>
      <c r="AR47" s="781">
        <f>0.5*242</f>
        <v>121</v>
      </c>
      <c r="AS47" s="781">
        <v>211.77090956440676</v>
      </c>
      <c r="AT47" s="781">
        <v>1317.6470146250847</v>
      </c>
      <c r="AU47" s="781">
        <v>15.257885593220337</v>
      </c>
      <c r="AV47" s="781">
        <v>176.7467855655085</v>
      </c>
      <c r="AW47" s="870">
        <v>1203</v>
      </c>
      <c r="AX47" s="870">
        <v>266</v>
      </c>
      <c r="AY47" s="870">
        <v>471.83084218220341</v>
      </c>
      <c r="AZ47" s="870">
        <v>166.63076967823093</v>
      </c>
      <c r="BA47" s="870"/>
      <c r="BB47" s="870">
        <f>PPH_Data_Base28[[#This Row],[PPH Unit Basic Price With Cu Tube]]*0.1</f>
        <v>378.15417999176407</v>
      </c>
      <c r="BC47" s="870">
        <v>42.536023545803964</v>
      </c>
      <c r="BD47" s="870">
        <v>141.78674515267988</v>
      </c>
      <c r="BE47" s="870">
        <v>47.262248384226631</v>
      </c>
      <c r="BF47" s="870">
        <v>47.262248384226631</v>
      </c>
      <c r="BG47" s="870">
        <v>47.262248384226631</v>
      </c>
      <c r="BH47" s="870">
        <f>PPH_Data_Base28[[#This Row],[PPH Unit Basic Price With Cu Tube]]*0.075</f>
        <v>283.61563499382305</v>
      </c>
      <c r="BI47" s="870">
        <v>141.78674515267988</v>
      </c>
      <c r="BJ47" s="870">
        <v>47.262248384226631</v>
      </c>
      <c r="BK47" s="870">
        <v>47.262248384226631</v>
      </c>
      <c r="BL47" s="870">
        <v>47.262248384226631</v>
      </c>
      <c r="BM47" s="781">
        <f>PPH_Data_Base28[[#This Row],[Total Condenser Coil Area]]*Naming!$M$62*4</f>
        <v>1209.5999999999999</v>
      </c>
      <c r="BN47" s="781">
        <f>PPH_Data_Base28[[#This Row],[Total Evaporator  Coil Area]]*Naming!$M$62*4</f>
        <v>412.15999999999997</v>
      </c>
      <c r="BO47" s="781">
        <f>PPH_Data_Base28[[#This Row],[Total Condenser Coil Area]]*Naming!$D$61*4</f>
        <v>18.360000000000003</v>
      </c>
      <c r="BP47" s="781">
        <f>PPH_Data_Base28[[#This Row],[Total Evaporator  Coil Area]]*Naming!$D$61*6</f>
        <v>9.3840000000000003</v>
      </c>
      <c r="BQ47" s="781">
        <f>$G$195*PPH_Data_Base28[[#This Row],[Total Evaporator  Coil Area]]</f>
        <v>20.7</v>
      </c>
      <c r="BR47" s="781">
        <f>$G$199*PPH_Data_Base28[[#This Row],[Total Evaporator  Coil Area]]</f>
        <v>31.279999999999998</v>
      </c>
      <c r="BS47" s="781">
        <f>$E$185*PPH_Data_Base28[[#This Row],[Total Evaporator  Coil Area]]</f>
        <v>92</v>
      </c>
      <c r="BT47" s="781">
        <f>$E$188*PPH_Data_Base28[[#This Row],[Total Evaporator  Coil Area]]</f>
        <v>128.79999999999998</v>
      </c>
      <c r="BU47" s="781">
        <f>$G$195*PPH_Data_Base28[[#This Row],[Total Condenser Coil Area]]</f>
        <v>60.75</v>
      </c>
      <c r="BV47" s="781">
        <f>$G$199*PPH_Data_Base28[[#This Row],[Total Condenser Coil Area]]</f>
        <v>91.8</v>
      </c>
      <c r="BW47" s="781">
        <f>$E$185*PPH_Data_Base28[[#This Row],[Total Condenser Coil Area]]</f>
        <v>270</v>
      </c>
      <c r="BX47" s="781">
        <f>$E$188*PPH_Data_Base28[[#This Row],[Total Condenser Coil Area]]</f>
        <v>378</v>
      </c>
      <c r="BY47" s="781">
        <v>112.70920592379548</v>
      </c>
      <c r="BZ47" s="870">
        <v>69.774174172853108</v>
      </c>
      <c r="CA47" s="870"/>
      <c r="CB47" s="870"/>
      <c r="CC47" s="870">
        <v>74.152542372881356</v>
      </c>
      <c r="CD47" s="870">
        <f t="shared" si="7"/>
        <v>72.033898305084804</v>
      </c>
      <c r="CE47" s="870">
        <v>20</v>
      </c>
      <c r="CF47" s="832">
        <v>0</v>
      </c>
      <c r="CG47" s="870">
        <f>PPH_Data_Base28[[#This Row],[PPH Unit Basic Price With Cu Tube]]*0.25</f>
        <v>945.38544997941017</v>
      </c>
      <c r="CH47" s="870">
        <f>PPH_Data_Base28[[#This Row],[DSP Unit Basic Price With Cu Tube]]*0.35</f>
        <v>919.57800943609686</v>
      </c>
      <c r="CI47" s="781">
        <v>89.190356144067806</v>
      </c>
      <c r="CJ47" s="781">
        <v>129.77347881355934</v>
      </c>
      <c r="CK47" s="781">
        <v>18.596238771186442</v>
      </c>
      <c r="CL47" s="781">
        <f>110*1.35*PPH_Data_Base28[[#This Row],[No. of Unit  Compressors]]</f>
        <v>148.5</v>
      </c>
      <c r="CM47" s="870">
        <v>50.847457627118651</v>
      </c>
      <c r="CN47" s="781">
        <v>52.824858757062145</v>
      </c>
      <c r="CO47" s="870">
        <v>0</v>
      </c>
      <c r="CP47" s="781">
        <v>86.306595268361576</v>
      </c>
      <c r="CQ47" s="870">
        <v>73.53953403954803</v>
      </c>
      <c r="CR47" s="781">
        <v>245.51832203389827</v>
      </c>
      <c r="CS47" s="870">
        <v>368.28734576271199</v>
      </c>
      <c r="CT47" s="781">
        <v>432.55649717514126</v>
      </c>
      <c r="CU47" s="870">
        <v>92.15585593220338</v>
      </c>
      <c r="CV47" s="870">
        <v>248.58757062146893</v>
      </c>
      <c r="CW47" s="781">
        <f>400*1.35*PPH_Data_Base28[[#This Row],[No. of Unit  Compressors]]</f>
        <v>540</v>
      </c>
      <c r="CX47" s="835"/>
      <c r="CY47" s="871">
        <f>47*PPH_Data_Base28[[#This Row],[No. of Unit  Compressors]]*1.35</f>
        <v>63.45</v>
      </c>
      <c r="CZ47" s="871">
        <f>30*1.35*PPH_Data_Base28[[#This Row],[NO Condenser Fans]]</f>
        <v>81</v>
      </c>
      <c r="DA47" s="781">
        <f>INDEX($B$136:$F$154,MATCH(PPH_Data_Base28[[#This Row],[STD Supply Fan Motor]],$B$136:$B$154,0),5)*PPH_Data_Base28[[#This Row],[Fan QTY]]</f>
        <v>38.073067937853111</v>
      </c>
      <c r="DB47" s="871">
        <f>47*1.35*PPH_Data_Base28[[#This Row],[No. of Unit  Compressors]]</f>
        <v>63.45</v>
      </c>
      <c r="DC47" s="871">
        <f>28*PPH_Data_Base28[[#This Row],[NO Condenser Fans]]</f>
        <v>56</v>
      </c>
      <c r="DD47" s="781">
        <f>INDEX($B$136:$F$154,MATCH(PPH_Data_Base28[[#This Row],[STD Supply Fan Motor]],$B$136:$B$154,0),3)*PPH_Data_Base28[[#This Row],[Fan QTY]]</f>
        <v>24.627741525423726</v>
      </c>
      <c r="DE47" s="870">
        <f>INDEX($B$114:$C$131,MATCH(PPH_Data_Base28[[#This Row],[Compressor 1 HP]],$B$114:$B$131,0),2)*PPH_Data_Base28[[#This Row],[Compressor 1 QTY]]+IFERROR(INDEX($B$114:$C$131,MATCH(PPH_Data_Base28[[#This Row],[Compressor 2 HP]],$B$114:$B$131,0),2)*PPH_Data_Base28[[#This Row],[Compressor 2 QTY]],0)</f>
        <v>30</v>
      </c>
      <c r="DF47" s="870">
        <f>38*PPH_Data_Base28[[#This Row],[NO Condenser Fans]]</f>
        <v>76</v>
      </c>
      <c r="DG47" s="870">
        <f>INDEX($B$136:$F$154,MATCH(PPH_Data_Base28[[#This Row],[STD Supply Fan Motor]],$B$136:$B$154,0),5)*PPH_Data_Base28[[#This Row],[Fan QTY]]</f>
        <v>38.073067937853111</v>
      </c>
      <c r="DH47" s="781">
        <v>58.262711864406782</v>
      </c>
      <c r="DI47" s="781">
        <v>58.262711864406782</v>
      </c>
      <c r="DJ47" s="870">
        <v>2700</v>
      </c>
      <c r="DK47" s="870">
        <v>2700</v>
      </c>
      <c r="DL47" s="870">
        <v>887</v>
      </c>
      <c r="DM47" s="870">
        <v>564.9717514124294</v>
      </c>
      <c r="DN47" s="870">
        <v>213.2530350282486</v>
      </c>
      <c r="DO47" s="870"/>
      <c r="DP47" s="870">
        <v>173.0225988700565</v>
      </c>
      <c r="DQ47" s="870">
        <v>173.0225988700565</v>
      </c>
      <c r="DR47" s="870">
        <v>173.0225988700565</v>
      </c>
      <c r="DS47" s="870"/>
      <c r="DT47" s="870">
        <f>PPH_Data_Base28[[#This Row],[NO Condenser Fans]]*350</f>
        <v>700</v>
      </c>
      <c r="DU47" s="870">
        <v>238.27442754237299</v>
      </c>
      <c r="DV47" s="870">
        <f>150*PPH_Data_Base28[[#This Row],[NO Condenser Fans]]</f>
        <v>300</v>
      </c>
      <c r="DW47" s="781">
        <v>757.4152542372882</v>
      </c>
      <c r="DX47" s="781">
        <v>250</v>
      </c>
      <c r="DY47" s="870">
        <v>700</v>
      </c>
      <c r="DZ47" s="870">
        <v>100</v>
      </c>
      <c r="EA47" s="870">
        <v>540</v>
      </c>
      <c r="EB47" s="870">
        <v>4.186805084745763</v>
      </c>
      <c r="EC47" s="870">
        <v>23.305084745762713</v>
      </c>
      <c r="ED47" s="870">
        <v>56.080321186440685</v>
      </c>
      <c r="EE47" s="870"/>
      <c r="EF47" s="870"/>
      <c r="EG47" s="870"/>
      <c r="EH47" s="870"/>
      <c r="EI47" s="870"/>
      <c r="EJ47" s="870"/>
      <c r="EK47" s="870"/>
      <c r="EL47" s="870"/>
      <c r="EM47" s="870"/>
      <c r="EN47" s="870"/>
      <c r="EO47" s="870"/>
      <c r="EP47" s="870"/>
      <c r="EQ47" s="870"/>
      <c r="ER47" s="870"/>
      <c r="ES47" s="870"/>
      <c r="ET47" s="870"/>
      <c r="EU47" s="870">
        <v>203</v>
      </c>
      <c r="EV47" s="870">
        <v>250</v>
      </c>
      <c r="EW47" s="847"/>
      <c r="EX47" s="781">
        <v>46.384451977401142</v>
      </c>
      <c r="EY47" s="781">
        <v>333.11975593220342</v>
      </c>
      <c r="EZ47" s="870">
        <v>19.209039548022599</v>
      </c>
      <c r="FA47" s="870">
        <v>40</v>
      </c>
      <c r="FB47" s="870">
        <v>40</v>
      </c>
      <c r="FC47" s="870">
        <v>24</v>
      </c>
      <c r="FD47" s="870">
        <v>24</v>
      </c>
      <c r="FE47" s="870">
        <v>19.774011299435031</v>
      </c>
      <c r="FF47" s="870">
        <v>26.129943502824862</v>
      </c>
      <c r="FG47" s="870">
        <v>200</v>
      </c>
      <c r="FH47" s="870">
        <v>88.758614203392113</v>
      </c>
      <c r="FI47" s="870">
        <v>53.738911328623757</v>
      </c>
      <c r="FJ47" s="870">
        <v>26</v>
      </c>
      <c r="FK47" s="870">
        <f>PPH_Data_Base28[[#This Row],[Differential Pressure Switch]]*2</f>
        <v>52</v>
      </c>
      <c r="FL47" s="870">
        <v>42</v>
      </c>
      <c r="FM47" s="872">
        <f>PPH_Data_Base28[[#This Row],[STD PETRA DIAL DIFF.PRESS.GAUGE NOT DWYER]]*2</f>
        <v>84</v>
      </c>
      <c r="FN47" s="872"/>
      <c r="FO47" s="872">
        <f>PPH_Data_Base28[[#This Row],[Replaceble Filter Drier ]]</f>
        <v>148.5</v>
      </c>
      <c r="FP47" s="872">
        <f>PPH_Data_Base28[[#This Row],[2" Pre-Filter]]*2</f>
        <v>30.515771186440674</v>
      </c>
      <c r="FQ47" s="872">
        <f>PPH_Data_Base28[[#This Row],[Bag Filter EU-8]]</f>
        <v>176.7467855655085</v>
      </c>
      <c r="FR47" s="872"/>
      <c r="FS47" s="872">
        <v>30</v>
      </c>
      <c r="FT47" s="176"/>
      <c r="FU47" s="176"/>
      <c r="FV47" s="176"/>
      <c r="FW47" s="176"/>
      <c r="GW47" s="176"/>
      <c r="GX47" s="176"/>
      <c r="HC47" s="176"/>
    </row>
    <row r="48" spans="1:211">
      <c r="A48" s="780" t="s">
        <v>476</v>
      </c>
      <c r="B48" s="781" t="s">
        <v>1539</v>
      </c>
      <c r="C48" s="781" t="s">
        <v>516</v>
      </c>
      <c r="D48" s="870" t="s">
        <v>1647</v>
      </c>
      <c r="E48" s="870" t="s">
        <v>1540</v>
      </c>
      <c r="F48" s="870" t="s">
        <v>1648</v>
      </c>
      <c r="G48" s="851">
        <v>0</v>
      </c>
      <c r="H48" s="870" t="s">
        <v>2249</v>
      </c>
      <c r="I48" s="781" t="s">
        <v>1537</v>
      </c>
      <c r="J48" s="781" t="s">
        <v>1538</v>
      </c>
      <c r="K48" s="781">
        <v>1</v>
      </c>
      <c r="L48" s="781" t="s">
        <v>568</v>
      </c>
      <c r="M48" s="781">
        <v>2</v>
      </c>
      <c r="N48" s="300">
        <v>2</v>
      </c>
      <c r="O48" s="781">
        <v>18</v>
      </c>
      <c r="P48" s="781">
        <v>9</v>
      </c>
      <c r="Q48" s="781">
        <v>1</v>
      </c>
      <c r="R48" s="781">
        <v>7</v>
      </c>
      <c r="S48" s="781">
        <v>1</v>
      </c>
      <c r="T48" s="781"/>
      <c r="U48" s="781"/>
      <c r="V48" s="781">
        <v>128</v>
      </c>
      <c r="W48" s="781">
        <v>259</v>
      </c>
      <c r="X48" s="870"/>
      <c r="Y48" s="835">
        <v>0</v>
      </c>
      <c r="Z48" s="782">
        <v>3987.6435486262944</v>
      </c>
      <c r="AA48" s="782">
        <v>4268.5817444980521</v>
      </c>
      <c r="AB48" s="870">
        <v>2871.0619783568573</v>
      </c>
      <c r="AC48" s="834">
        <v>0</v>
      </c>
      <c r="AD48" s="781">
        <v>143.71468926553672</v>
      </c>
      <c r="AE48" s="870">
        <v>130.64971751412429</v>
      </c>
      <c r="AF48" s="870">
        <v>130.64971751412429</v>
      </c>
      <c r="AG48" s="870">
        <v>156.77966101694918</v>
      </c>
      <c r="AH48" s="781">
        <v>172.45762711864407</v>
      </c>
      <c r="AI48" s="870">
        <v>156.77966101694918</v>
      </c>
      <c r="AJ48" s="870">
        <v>156.77966101694918</v>
      </c>
      <c r="AK48" s="870">
        <v>188.13559322033899</v>
      </c>
      <c r="AL48" s="870">
        <f>PPH_Data_Base28[[#This Row],[PPH Unit Basic Price With Cu Tube]]*0.05</f>
        <v>213.42908722490262</v>
      </c>
      <c r="AM48" s="781">
        <v>61.798152238657636</v>
      </c>
      <c r="AN48" s="781"/>
      <c r="AO48" s="781"/>
      <c r="AP48" s="781">
        <v>202.5</v>
      </c>
      <c r="AQ48" s="781">
        <v>170.10000000000002</v>
      </c>
      <c r="AR48" s="781">
        <f t="shared" ref="AR48:AR57" si="8">0.75*242</f>
        <v>181.5</v>
      </c>
      <c r="AS48" s="781">
        <v>289.67720595559325</v>
      </c>
      <c r="AT48" s="781">
        <v>1442.2970888509831</v>
      </c>
      <c r="AU48" s="781">
        <v>23.72069010495764</v>
      </c>
      <c r="AV48" s="781">
        <v>216.62725959292374</v>
      </c>
      <c r="AW48" s="870">
        <v>1682</v>
      </c>
      <c r="AX48" s="870">
        <v>266</v>
      </c>
      <c r="AY48" s="870">
        <v>976.27345360169488</v>
      </c>
      <c r="AZ48" s="870">
        <v>339.07655867319914</v>
      </c>
      <c r="BA48" s="870"/>
      <c r="BB48" s="870">
        <f>PPH_Data_Base28[[#This Row],[PPH Unit Basic Price With Cu Tube]]*0.1</f>
        <v>426.85817444980523</v>
      </c>
      <c r="BC48" s="870">
        <v>47.206051587914146</v>
      </c>
      <c r="BD48" s="870">
        <v>157.35350529304716</v>
      </c>
      <c r="BE48" s="870">
        <v>52.451168431015724</v>
      </c>
      <c r="BF48" s="870">
        <v>52.451168431015724</v>
      </c>
      <c r="BG48" s="870">
        <v>52.451168431015724</v>
      </c>
      <c r="BH48" s="870">
        <f>PPH_Data_Base28[[#This Row],[PPH Unit Basic Price With Cu Tube]]*0.075</f>
        <v>320.1436308373539</v>
      </c>
      <c r="BI48" s="870">
        <v>157.35350529304716</v>
      </c>
      <c r="BJ48" s="870">
        <v>52.451168431015724</v>
      </c>
      <c r="BK48" s="870">
        <v>52.451168431015724</v>
      </c>
      <c r="BL48" s="870">
        <v>52.451168431015724</v>
      </c>
      <c r="BM48" s="781">
        <f>PPH_Data_Base28[[#This Row],[Total Condenser Coil Area]]*Naming!$M$62*4</f>
        <v>1612.8</v>
      </c>
      <c r="BN48" s="781">
        <f>PPH_Data_Base28[[#This Row],[Total Evaporator  Coil Area]]*Naming!$M$62*4</f>
        <v>806.4</v>
      </c>
      <c r="BO48" s="781">
        <f>PPH_Data_Base28[[#This Row],[Total Condenser Coil Area]]*Naming!$D$61*4</f>
        <v>24.48</v>
      </c>
      <c r="BP48" s="781">
        <f>PPH_Data_Base28[[#This Row],[Total Evaporator  Coil Area]]*Naming!$D$61*6</f>
        <v>18.36</v>
      </c>
      <c r="BQ48" s="781">
        <f>$G$195*PPH_Data_Base28[[#This Row],[Total Evaporator  Coil Area]]</f>
        <v>40.5</v>
      </c>
      <c r="BR48" s="781">
        <f>$G$199*PPH_Data_Base28[[#This Row],[Total Evaporator  Coil Area]]</f>
        <v>61.199999999999996</v>
      </c>
      <c r="BS48" s="781">
        <f>$E$185*PPH_Data_Base28[[#This Row],[Total Evaporator  Coil Area]]</f>
        <v>180</v>
      </c>
      <c r="BT48" s="781">
        <f>$E$188*PPH_Data_Base28[[#This Row],[Total Evaporator  Coil Area]]</f>
        <v>252</v>
      </c>
      <c r="BU48" s="781">
        <f>$G$195*PPH_Data_Base28[[#This Row],[Total Condenser Coil Area]]</f>
        <v>81</v>
      </c>
      <c r="BV48" s="781">
        <f>$G$199*PPH_Data_Base28[[#This Row],[Total Condenser Coil Area]]</f>
        <v>122.39999999999999</v>
      </c>
      <c r="BW48" s="781">
        <f>$E$185*PPH_Data_Base28[[#This Row],[Total Condenser Coil Area]]</f>
        <v>360</v>
      </c>
      <c r="BX48" s="781">
        <f>$E$188*PPH_Data_Base28[[#This Row],[Total Condenser Coil Area]]</f>
        <v>504</v>
      </c>
      <c r="BY48" s="781">
        <v>164.49451675364747</v>
      </c>
      <c r="BZ48" s="870">
        <v>101.83257852254236</v>
      </c>
      <c r="CA48" s="870"/>
      <c r="CB48" s="870"/>
      <c r="CC48" s="870">
        <v>74.152542372881356</v>
      </c>
      <c r="CD48" s="870">
        <f t="shared" si="7"/>
        <v>72.033898305084804</v>
      </c>
      <c r="CE48" s="870">
        <v>20</v>
      </c>
      <c r="CF48" s="832">
        <v>0</v>
      </c>
      <c r="CG48" s="870">
        <f>PPH_Data_Base28[[#This Row],[PPH Unit Basic Price With Cu Tube]]*0.25</f>
        <v>1067.145436124513</v>
      </c>
      <c r="CH48" s="870">
        <f>PPH_Data_Base28[[#This Row],[DSP Unit Basic Price With Cu Tube]]*0.35</f>
        <v>1004.8716924248999</v>
      </c>
      <c r="CI48" s="781">
        <v>89.190356144067806</v>
      </c>
      <c r="CJ48" s="781">
        <v>129.77347881355934</v>
      </c>
      <c r="CK48" s="781">
        <v>18.596238771186442</v>
      </c>
      <c r="CL48" s="781">
        <f>110*1.35*PPH_Data_Base28[[#This Row],[No. of Unit  Compressors]]</f>
        <v>148.5</v>
      </c>
      <c r="CM48" s="870">
        <v>50.847457627118651</v>
      </c>
      <c r="CN48" s="781">
        <v>52.824858757062145</v>
      </c>
      <c r="CO48" s="870">
        <v>0</v>
      </c>
      <c r="CP48" s="781">
        <v>86.306595268361576</v>
      </c>
      <c r="CQ48" s="870">
        <v>73.53953403954803</v>
      </c>
      <c r="CR48" s="781">
        <v>245.51832203389827</v>
      </c>
      <c r="CS48" s="870">
        <v>368.28734576271199</v>
      </c>
      <c r="CT48" s="781">
        <v>432.55649717514126</v>
      </c>
      <c r="CU48" s="870">
        <v>92.15585593220338</v>
      </c>
      <c r="CV48" s="870">
        <v>248.58757062146893</v>
      </c>
      <c r="CW48" s="781">
        <f>400*1.35*PPH_Data_Base28[[#This Row],[No. of Unit  Compressors]]</f>
        <v>540</v>
      </c>
      <c r="CX48" s="835"/>
      <c r="CY48" s="871">
        <f>47*PPH_Data_Base28[[#This Row],[No. of Unit  Compressors]]*1.35</f>
        <v>63.45</v>
      </c>
      <c r="CZ48" s="871">
        <f>30*1.35*PPH_Data_Base28[[#This Row],[NO Condenser Fans]]</f>
        <v>81</v>
      </c>
      <c r="DA48" s="781">
        <f>INDEX($B$136:$F$154,MATCH(PPH_Data_Base28[[#This Row],[STD Supply Fan Motor]],$B$136:$B$154,0),5)*PPH_Data_Base28[[#This Row],[Fan QTY]]</f>
        <v>36.69975367231639</v>
      </c>
      <c r="DB48" s="871">
        <f>47*1.35*PPH_Data_Base28[[#This Row],[No. of Unit  Compressors]]</f>
        <v>63.45</v>
      </c>
      <c r="DC48" s="871">
        <f>28*PPH_Data_Base28[[#This Row],[NO Condenser Fans]]</f>
        <v>56</v>
      </c>
      <c r="DD48" s="781">
        <f>INDEX($B$136:$F$154,MATCH(PPH_Data_Base28[[#This Row],[STD Supply Fan Motor]],$B$136:$B$154,0),3)*PPH_Data_Base28[[#This Row],[Fan QTY]]</f>
        <v>24.627741525423726</v>
      </c>
      <c r="DE48" s="870">
        <f>INDEX($B$114:$C$131,MATCH(PPH_Data_Base28[[#This Row],[Compressor 1 HP]],$B$114:$B$131,0),2)*PPH_Data_Base28[[#This Row],[Compressor 1 QTY]]+IFERROR(INDEX($B$114:$C$131,MATCH(PPH_Data_Base28[[#This Row],[Compressor 2 HP]],$B$114:$B$131,0),2)*PPH_Data_Base28[[#This Row],[Compressor 2 QTY]],0)</f>
        <v>30</v>
      </c>
      <c r="DF48" s="870">
        <f>38*PPH_Data_Base28[[#This Row],[NO Condenser Fans]]</f>
        <v>76</v>
      </c>
      <c r="DG48" s="870">
        <f>INDEX($B$136:$F$154,MATCH(PPH_Data_Base28[[#This Row],[STD Supply Fan Motor]],$B$136:$B$154,0),5)*PPH_Data_Base28[[#This Row],[Fan QTY]]</f>
        <v>36.69975367231639</v>
      </c>
      <c r="DH48" s="781">
        <v>58.262711864406782</v>
      </c>
      <c r="DI48" s="781">
        <v>58.262711864406782</v>
      </c>
      <c r="DJ48" s="870">
        <v>2700</v>
      </c>
      <c r="DK48" s="870">
        <v>2700</v>
      </c>
      <c r="DL48" s="870">
        <v>905</v>
      </c>
      <c r="DM48" s="870">
        <v>564.9717514124294</v>
      </c>
      <c r="DN48" s="870">
        <v>213.2530350282486</v>
      </c>
      <c r="DO48" s="870"/>
      <c r="DP48" s="870">
        <v>173.0225988700565</v>
      </c>
      <c r="DQ48" s="870">
        <v>173.0225988700565</v>
      </c>
      <c r="DR48" s="870">
        <v>173.0225988700565</v>
      </c>
      <c r="DS48" s="870"/>
      <c r="DT48" s="870">
        <f>PPH_Data_Base28[[#This Row],[NO Condenser Fans]]*350</f>
        <v>700</v>
      </c>
      <c r="DU48" s="870">
        <v>238.27442754237299</v>
      </c>
      <c r="DV48" s="870">
        <f>150*PPH_Data_Base28[[#This Row],[NO Condenser Fans]]</f>
        <v>300</v>
      </c>
      <c r="DW48" s="781">
        <v>757.4152542372882</v>
      </c>
      <c r="DX48" s="781">
        <v>250</v>
      </c>
      <c r="DY48" s="870">
        <v>700</v>
      </c>
      <c r="DZ48" s="870">
        <v>100</v>
      </c>
      <c r="EA48" s="870">
        <v>540</v>
      </c>
      <c r="EB48" s="870">
        <v>4.186805084745763</v>
      </c>
      <c r="EC48" s="870">
        <v>23.305084745762713</v>
      </c>
      <c r="ED48" s="870">
        <v>56.080321186440685</v>
      </c>
      <c r="EE48" s="870"/>
      <c r="EF48" s="870"/>
      <c r="EG48" s="870"/>
      <c r="EH48" s="870"/>
      <c r="EI48" s="870"/>
      <c r="EJ48" s="870"/>
      <c r="EK48" s="870"/>
      <c r="EL48" s="870"/>
      <c r="EM48" s="870"/>
      <c r="EN48" s="870"/>
      <c r="EO48" s="870"/>
      <c r="EP48" s="870"/>
      <c r="EQ48" s="870"/>
      <c r="ER48" s="870"/>
      <c r="ES48" s="870"/>
      <c r="ET48" s="870"/>
      <c r="EU48" s="870">
        <v>203</v>
      </c>
      <c r="EV48" s="870">
        <v>250</v>
      </c>
      <c r="EW48" s="847"/>
      <c r="EX48" s="781">
        <v>46.384451977401142</v>
      </c>
      <c r="EY48" s="781">
        <v>333.11975593220342</v>
      </c>
      <c r="EZ48" s="870">
        <v>19.209039548022599</v>
      </c>
      <c r="FA48" s="870">
        <v>40</v>
      </c>
      <c r="FB48" s="870">
        <v>40</v>
      </c>
      <c r="FC48" s="870">
        <v>24</v>
      </c>
      <c r="FD48" s="870">
        <v>24</v>
      </c>
      <c r="FE48" s="870">
        <v>19.774011299435031</v>
      </c>
      <c r="FF48" s="870">
        <v>26.129943502824862</v>
      </c>
      <c r="FG48" s="870">
        <v>200</v>
      </c>
      <c r="FH48" s="870">
        <v>145.93000229340572</v>
      </c>
      <c r="FI48" s="870">
        <v>88.681403834083682</v>
      </c>
      <c r="FJ48" s="870">
        <v>26</v>
      </c>
      <c r="FK48" s="870">
        <f>PPH_Data_Base28[[#This Row],[Differential Pressure Switch]]*2</f>
        <v>52</v>
      </c>
      <c r="FL48" s="870">
        <v>42</v>
      </c>
      <c r="FM48" s="872">
        <f>PPH_Data_Base28[[#This Row],[STD PETRA DIAL DIFF.PRESS.GAUGE NOT DWYER]]*2</f>
        <v>84</v>
      </c>
      <c r="FN48" s="872"/>
      <c r="FO48" s="872">
        <f>PPH_Data_Base28[[#This Row],[Replaceble Filter Drier ]]</f>
        <v>148.5</v>
      </c>
      <c r="FP48" s="872">
        <f>PPH_Data_Base28[[#This Row],[2" Pre-Filter]]*2</f>
        <v>47.44138020991528</v>
      </c>
      <c r="FQ48" s="872">
        <f>PPH_Data_Base28[[#This Row],[Bag Filter EU-8]]</f>
        <v>216.62725959292374</v>
      </c>
      <c r="FR48" s="872"/>
      <c r="FS48" s="872">
        <v>30</v>
      </c>
      <c r="FT48" s="176"/>
      <c r="FU48" s="176"/>
      <c r="FV48" s="176"/>
      <c r="FW48" s="176"/>
      <c r="GW48" s="176"/>
      <c r="GX48" s="176"/>
      <c r="HC48" s="176"/>
    </row>
    <row r="49" spans="1:211">
      <c r="A49" s="780" t="s">
        <v>477</v>
      </c>
      <c r="B49" s="781" t="s">
        <v>1543</v>
      </c>
      <c r="C49" s="781" t="s">
        <v>517</v>
      </c>
      <c r="D49" s="870" t="s">
        <v>1649</v>
      </c>
      <c r="E49" s="870" t="s">
        <v>1049</v>
      </c>
      <c r="F49" s="870" t="s">
        <v>1650</v>
      </c>
      <c r="G49" s="851">
        <v>0</v>
      </c>
      <c r="H49" s="870" t="s">
        <v>2249</v>
      </c>
      <c r="I49" s="781" t="s">
        <v>1537</v>
      </c>
      <c r="J49" s="781" t="s">
        <v>1538</v>
      </c>
      <c r="K49" s="781">
        <v>1</v>
      </c>
      <c r="L49" s="781" t="s">
        <v>568</v>
      </c>
      <c r="M49" s="781">
        <v>2</v>
      </c>
      <c r="N49" s="300">
        <v>2</v>
      </c>
      <c r="O49" s="781">
        <v>18</v>
      </c>
      <c r="P49" s="781">
        <v>9</v>
      </c>
      <c r="Q49" s="781">
        <v>2</v>
      </c>
      <c r="R49" s="781">
        <v>4.5</v>
      </c>
      <c r="S49" s="781">
        <v>1</v>
      </c>
      <c r="T49" s="781">
        <v>3</v>
      </c>
      <c r="U49" s="781">
        <v>1</v>
      </c>
      <c r="V49" s="781">
        <v>128</v>
      </c>
      <c r="W49" s="781">
        <v>259</v>
      </c>
      <c r="X49" s="870"/>
      <c r="Y49" s="835">
        <v>0</v>
      </c>
      <c r="Z49" s="782">
        <v>3883.8831209179993</v>
      </c>
      <c r="AA49" s="782">
        <v>4133.9734530431078</v>
      </c>
      <c r="AB49" s="870">
        <v>2729.6457323343002</v>
      </c>
      <c r="AC49" s="834">
        <v>0</v>
      </c>
      <c r="AD49" s="781">
        <v>143.71468926553672</v>
      </c>
      <c r="AE49" s="870">
        <v>130.64971751412429</v>
      </c>
      <c r="AF49" s="870">
        <v>130.64971751412429</v>
      </c>
      <c r="AG49" s="870">
        <v>156.77966101694918</v>
      </c>
      <c r="AH49" s="781">
        <v>172.45762711864407</v>
      </c>
      <c r="AI49" s="870">
        <v>156.77966101694918</v>
      </c>
      <c r="AJ49" s="870">
        <v>156.77966101694918</v>
      </c>
      <c r="AK49" s="870">
        <v>188.13559322033899</v>
      </c>
      <c r="AL49" s="870">
        <f>PPH_Data_Base28[[#This Row],[PPH Unit Basic Price With Cu Tube]]*0.05</f>
        <v>206.69867265215541</v>
      </c>
      <c r="AM49" s="781">
        <v>61.798152238657636</v>
      </c>
      <c r="AN49" s="781"/>
      <c r="AO49" s="781"/>
      <c r="AP49" s="781">
        <v>202.5</v>
      </c>
      <c r="AQ49" s="781">
        <v>170.10000000000002</v>
      </c>
      <c r="AR49" s="781">
        <f t="shared" si="8"/>
        <v>181.5</v>
      </c>
      <c r="AS49" s="781">
        <v>289.67720595559325</v>
      </c>
      <c r="AT49" s="781">
        <v>1442.2970888509831</v>
      </c>
      <c r="AU49" s="781">
        <v>23.72069010495764</v>
      </c>
      <c r="AV49" s="781">
        <v>216.62725959292374</v>
      </c>
      <c r="AW49" s="870">
        <v>1682</v>
      </c>
      <c r="AX49" s="870">
        <v>266</v>
      </c>
      <c r="AY49" s="870">
        <v>976.27345360169488</v>
      </c>
      <c r="AZ49" s="870">
        <v>339.07655867319914</v>
      </c>
      <c r="BA49" s="870"/>
      <c r="BB49" s="870">
        <f>PPH_Data_Base28[[#This Row],[PPH Unit Basic Price With Cu Tube]]*0.1</f>
        <v>413.39734530431082</v>
      </c>
      <c r="BC49" s="870">
        <v>51.301328975479365</v>
      </c>
      <c r="BD49" s="870">
        <v>171.00442991826455</v>
      </c>
      <c r="BE49" s="870">
        <v>57.001476639421519</v>
      </c>
      <c r="BF49" s="870">
        <v>57.001476639421519</v>
      </c>
      <c r="BG49" s="870">
        <v>57.001476639421519</v>
      </c>
      <c r="BH49" s="870">
        <f>PPH_Data_Base28[[#This Row],[PPH Unit Basic Price With Cu Tube]]*0.075</f>
        <v>310.0480089782331</v>
      </c>
      <c r="BI49" s="870">
        <v>171.00442991826455</v>
      </c>
      <c r="BJ49" s="870">
        <v>57.001476639421519</v>
      </c>
      <c r="BK49" s="870">
        <v>57.001476639421519</v>
      </c>
      <c r="BL49" s="870">
        <v>57.001476639421519</v>
      </c>
      <c r="BM49" s="781">
        <f>PPH_Data_Base28[[#This Row],[Total Condenser Coil Area]]*Naming!$M$62*4</f>
        <v>1612.8</v>
      </c>
      <c r="BN49" s="781">
        <f>PPH_Data_Base28[[#This Row],[Total Evaporator  Coil Area]]*Naming!$M$62*4</f>
        <v>806.4</v>
      </c>
      <c r="BO49" s="781">
        <f>PPH_Data_Base28[[#This Row],[Total Condenser Coil Area]]*Naming!$D$61*4</f>
        <v>24.48</v>
      </c>
      <c r="BP49" s="781">
        <f>PPH_Data_Base28[[#This Row],[Total Evaporator  Coil Area]]*Naming!$D$61*6</f>
        <v>18.36</v>
      </c>
      <c r="BQ49" s="781">
        <f>$G$195*PPH_Data_Base28[[#This Row],[Total Evaporator  Coil Area]]</f>
        <v>40.5</v>
      </c>
      <c r="BR49" s="781">
        <f>$G$199*PPH_Data_Base28[[#This Row],[Total Evaporator  Coil Area]]</f>
        <v>61.199999999999996</v>
      </c>
      <c r="BS49" s="781">
        <f>$E$185*PPH_Data_Base28[[#This Row],[Total Evaporator  Coil Area]]</f>
        <v>180</v>
      </c>
      <c r="BT49" s="781">
        <f>$E$188*PPH_Data_Base28[[#This Row],[Total Evaporator  Coil Area]]</f>
        <v>252</v>
      </c>
      <c r="BU49" s="781">
        <f>$G$195*PPH_Data_Base28[[#This Row],[Total Condenser Coil Area]]</f>
        <v>81</v>
      </c>
      <c r="BV49" s="781">
        <f>$G$199*PPH_Data_Base28[[#This Row],[Total Condenser Coil Area]]</f>
        <v>122.39999999999999</v>
      </c>
      <c r="BW49" s="781">
        <f>$E$185*PPH_Data_Base28[[#This Row],[Total Condenser Coil Area]]</f>
        <v>360</v>
      </c>
      <c r="BX49" s="781">
        <f>$E$188*PPH_Data_Base28[[#This Row],[Total Condenser Coil Area]]</f>
        <v>504</v>
      </c>
      <c r="BY49" s="781">
        <v>164.49451675364747</v>
      </c>
      <c r="BZ49" s="870">
        <v>101.83257852254236</v>
      </c>
      <c r="CA49" s="870"/>
      <c r="CB49" s="870"/>
      <c r="CC49" s="870">
        <v>74.152542372881356</v>
      </c>
      <c r="CD49" s="870">
        <f t="shared" si="7"/>
        <v>72.033898305084804</v>
      </c>
      <c r="CE49" s="870">
        <v>20</v>
      </c>
      <c r="CF49" s="832">
        <v>0</v>
      </c>
      <c r="CG49" s="870">
        <f>PPH_Data_Base28[[#This Row],[PPH Unit Basic Price With Cu Tube]]*0.25</f>
        <v>1033.493363260777</v>
      </c>
      <c r="CH49" s="870">
        <f>PPH_Data_Base28[[#This Row],[DSP Unit Basic Price With Cu Tube]]*0.35</f>
        <v>955.37600631700502</v>
      </c>
      <c r="CI49" s="781">
        <v>178.38071228813561</v>
      </c>
      <c r="CJ49" s="781">
        <v>259.54695762711867</v>
      </c>
      <c r="CK49" s="781">
        <v>37.192477542372885</v>
      </c>
      <c r="CL49" s="781">
        <f>110*1.35*PPH_Data_Base28[[#This Row],[No. of Unit  Compressors]]</f>
        <v>297</v>
      </c>
      <c r="CM49" s="870">
        <v>101.6949152542373</v>
      </c>
      <c r="CN49" s="781">
        <v>72.033898305084747</v>
      </c>
      <c r="CO49" s="870">
        <v>247.72664406779666</v>
      </c>
      <c r="CP49" s="781">
        <v>95.210957556497178</v>
      </c>
      <c r="CQ49" s="870">
        <v>113.29948460451978</v>
      </c>
      <c r="CR49" s="781">
        <v>245.51832203389827</v>
      </c>
      <c r="CS49" s="870">
        <v>459.21488389830506</v>
      </c>
      <c r="CT49" s="781">
        <v>865.11299435028252</v>
      </c>
      <c r="CU49" s="870">
        <v>184.31171186440676</v>
      </c>
      <c r="CV49" s="870">
        <v>497.17514124293785</v>
      </c>
      <c r="CW49" s="781">
        <f>400*1.35*PPH_Data_Base28[[#This Row],[No. of Unit  Compressors]]</f>
        <v>1080</v>
      </c>
      <c r="CX49" s="835"/>
      <c r="CY49" s="871">
        <f>47*PPH_Data_Base28[[#This Row],[No. of Unit  Compressors]]*1.35</f>
        <v>126.9</v>
      </c>
      <c r="CZ49" s="871">
        <f>30*1.35*PPH_Data_Base28[[#This Row],[NO Condenser Fans]]</f>
        <v>81</v>
      </c>
      <c r="DA49" s="781">
        <f>INDEX($B$136:$F$154,MATCH(PPH_Data_Base28[[#This Row],[STD Supply Fan Motor]],$B$136:$B$154,0),5)*PPH_Data_Base28[[#This Row],[Fan QTY]]</f>
        <v>36.69975367231639</v>
      </c>
      <c r="DB49" s="871">
        <f>47*1.35*PPH_Data_Base28[[#This Row],[No. of Unit  Compressors]]</f>
        <v>126.9</v>
      </c>
      <c r="DC49" s="871">
        <f>28*PPH_Data_Base28[[#This Row],[NO Condenser Fans]]</f>
        <v>56</v>
      </c>
      <c r="DD49" s="781">
        <f>INDEX($B$136:$F$154,MATCH(PPH_Data_Base28[[#This Row],[STD Supply Fan Motor]],$B$136:$B$154,0),3)*PPH_Data_Base28[[#This Row],[Fan QTY]]</f>
        <v>24.627741525423726</v>
      </c>
      <c r="DE49" s="870">
        <f>INDEX($B$114:$C$131,MATCH(PPH_Data_Base28[[#This Row],[Compressor 1 HP]],$B$114:$B$131,0),2)*PPH_Data_Base28[[#This Row],[Compressor 1 QTY]]+IFERROR(INDEX($B$114:$C$131,MATCH(PPH_Data_Base28[[#This Row],[Compressor 2 HP]],$B$114:$B$131,0),2)*PPH_Data_Base28[[#This Row],[Compressor 2 QTY]],0)</f>
        <v>61</v>
      </c>
      <c r="DF49" s="870">
        <f>38*PPH_Data_Base28[[#This Row],[NO Condenser Fans]]</f>
        <v>76</v>
      </c>
      <c r="DG49" s="870">
        <f>INDEX($B$136:$F$154,MATCH(PPH_Data_Base28[[#This Row],[STD Supply Fan Motor]],$B$136:$B$154,0),5)*PPH_Data_Base28[[#This Row],[Fan QTY]]</f>
        <v>36.69975367231639</v>
      </c>
      <c r="DH49" s="781">
        <v>58.262711864406782</v>
      </c>
      <c r="DI49" s="781">
        <v>58.262711864406782</v>
      </c>
      <c r="DJ49" s="870">
        <v>2600</v>
      </c>
      <c r="DK49" s="870">
        <v>5200</v>
      </c>
      <c r="DL49" s="870">
        <v>905</v>
      </c>
      <c r="DM49" s="870">
        <v>564.9717514124294</v>
      </c>
      <c r="DN49" s="870">
        <v>213.2530350282486</v>
      </c>
      <c r="DO49" s="870"/>
      <c r="DP49" s="870">
        <v>173.0225988700565</v>
      </c>
      <c r="DQ49" s="870">
        <v>173.0225988700565</v>
      </c>
      <c r="DR49" s="870">
        <v>173.0225988700565</v>
      </c>
      <c r="DS49" s="870"/>
      <c r="DT49" s="870">
        <f>PPH_Data_Base28[[#This Row],[NO Condenser Fans]]*350</f>
        <v>700</v>
      </c>
      <c r="DU49" s="870">
        <v>238.27442754237299</v>
      </c>
      <c r="DV49" s="870">
        <f>150*PPH_Data_Base28[[#This Row],[NO Condenser Fans]]</f>
        <v>300</v>
      </c>
      <c r="DW49" s="781">
        <v>757.4152542372882</v>
      </c>
      <c r="DX49" s="781">
        <v>250</v>
      </c>
      <c r="DY49" s="870">
        <v>700</v>
      </c>
      <c r="DZ49" s="870">
        <v>100</v>
      </c>
      <c r="EA49" s="870">
        <v>540</v>
      </c>
      <c r="EB49" s="870">
        <v>4.186805084745763</v>
      </c>
      <c r="EC49" s="870">
        <v>23.305084745762713</v>
      </c>
      <c r="ED49" s="870">
        <v>56.080321186440685</v>
      </c>
      <c r="EE49" s="870"/>
      <c r="EF49" s="870"/>
      <c r="EG49" s="870"/>
      <c r="EH49" s="870"/>
      <c r="EI49" s="870"/>
      <c r="EJ49" s="870"/>
      <c r="EK49" s="870"/>
      <c r="EL49" s="870"/>
      <c r="EM49" s="870"/>
      <c r="EN49" s="870"/>
      <c r="EO49" s="870"/>
      <c r="EP49" s="870"/>
      <c r="EQ49" s="870"/>
      <c r="ER49" s="870"/>
      <c r="ES49" s="870"/>
      <c r="ET49" s="870"/>
      <c r="EU49" s="870">
        <v>203</v>
      </c>
      <c r="EV49" s="870">
        <v>250</v>
      </c>
      <c r="EW49" s="847"/>
      <c r="EX49" s="781">
        <v>46.384451977401142</v>
      </c>
      <c r="EY49" s="781">
        <v>333.11975593220342</v>
      </c>
      <c r="EZ49" s="870">
        <v>19.209039548022599</v>
      </c>
      <c r="FA49" s="870">
        <v>40</v>
      </c>
      <c r="FB49" s="870">
        <v>40</v>
      </c>
      <c r="FC49" s="870">
        <v>24</v>
      </c>
      <c r="FD49" s="870">
        <v>24</v>
      </c>
      <c r="FE49" s="870">
        <v>19.774011299435031</v>
      </c>
      <c r="FF49" s="870">
        <v>26.129943502824862</v>
      </c>
      <c r="FG49" s="870">
        <v>200</v>
      </c>
      <c r="FH49" s="870">
        <v>145.93000229340572</v>
      </c>
      <c r="FI49" s="870">
        <v>88.681403834083682</v>
      </c>
      <c r="FJ49" s="870">
        <v>26</v>
      </c>
      <c r="FK49" s="870">
        <f>PPH_Data_Base28[[#This Row],[Differential Pressure Switch]]*2</f>
        <v>52</v>
      </c>
      <c r="FL49" s="870">
        <v>42</v>
      </c>
      <c r="FM49" s="872">
        <f>PPH_Data_Base28[[#This Row],[STD PETRA DIAL DIFF.PRESS.GAUGE NOT DWYER]]*2</f>
        <v>84</v>
      </c>
      <c r="FN49" s="872"/>
      <c r="FO49" s="872">
        <f>PPH_Data_Base28[[#This Row],[Replaceble Filter Drier ]]</f>
        <v>297</v>
      </c>
      <c r="FP49" s="872">
        <f>PPH_Data_Base28[[#This Row],[2" Pre-Filter]]*2</f>
        <v>47.44138020991528</v>
      </c>
      <c r="FQ49" s="872">
        <f>PPH_Data_Base28[[#This Row],[Bag Filter EU-8]]</f>
        <v>216.62725959292374</v>
      </c>
      <c r="FR49" s="872"/>
      <c r="FS49" s="872">
        <v>30</v>
      </c>
      <c r="FT49" s="176"/>
      <c r="FU49" s="176"/>
      <c r="FV49" s="176"/>
      <c r="FW49" s="176"/>
      <c r="GW49" s="176"/>
      <c r="GX49" s="176"/>
      <c r="HC49" s="176"/>
    </row>
    <row r="50" spans="1:211">
      <c r="A50" s="780" t="s">
        <v>478</v>
      </c>
      <c r="B50" s="781" t="s">
        <v>1546</v>
      </c>
      <c r="C50" s="781" t="s">
        <v>518</v>
      </c>
      <c r="D50" s="870" t="s">
        <v>1651</v>
      </c>
      <c r="E50" s="870" t="s">
        <v>1547</v>
      </c>
      <c r="F50" s="870" t="s">
        <v>1652</v>
      </c>
      <c r="G50" s="851">
        <v>0</v>
      </c>
      <c r="H50" s="870" t="s">
        <v>2249</v>
      </c>
      <c r="I50" s="781" t="s">
        <v>1537</v>
      </c>
      <c r="J50" s="781" t="s">
        <v>1538</v>
      </c>
      <c r="K50" s="781">
        <v>1</v>
      </c>
      <c r="L50" s="781" t="s">
        <v>568</v>
      </c>
      <c r="M50" s="781">
        <v>2</v>
      </c>
      <c r="N50" s="300">
        <v>2</v>
      </c>
      <c r="O50" s="781">
        <v>18</v>
      </c>
      <c r="P50" s="781">
        <v>9</v>
      </c>
      <c r="Q50" s="781">
        <v>1</v>
      </c>
      <c r="R50" s="781">
        <v>9</v>
      </c>
      <c r="S50" s="781">
        <v>1</v>
      </c>
      <c r="T50" s="781"/>
      <c r="U50" s="781"/>
      <c r="V50" s="781">
        <v>128</v>
      </c>
      <c r="W50" s="781">
        <v>259</v>
      </c>
      <c r="X50" s="870"/>
      <c r="Y50" s="835">
        <v>0</v>
      </c>
      <c r="Z50" s="782">
        <v>4331.6655957673056</v>
      </c>
      <c r="AA50" s="782">
        <v>4604.2463006464159</v>
      </c>
      <c r="AB50" s="870">
        <v>3206.1399516593679</v>
      </c>
      <c r="AC50" s="834">
        <v>0</v>
      </c>
      <c r="AD50" s="781">
        <v>143.71468926553672</v>
      </c>
      <c r="AE50" s="870">
        <v>130.64971751412429</v>
      </c>
      <c r="AF50" s="870">
        <v>130.64971751412429</v>
      </c>
      <c r="AG50" s="870">
        <v>156.77966101694918</v>
      </c>
      <c r="AH50" s="781">
        <v>172.45762711864407</v>
      </c>
      <c r="AI50" s="870">
        <v>156.77966101694918</v>
      </c>
      <c r="AJ50" s="870">
        <v>156.77966101694918</v>
      </c>
      <c r="AK50" s="870">
        <v>188.13559322033899</v>
      </c>
      <c r="AL50" s="870">
        <f>PPH_Data_Base28[[#This Row],[PPH Unit Basic Price With Cu Tube]]*0.05</f>
        <v>230.21231503232082</v>
      </c>
      <c r="AM50" s="781">
        <v>61.798152238657636</v>
      </c>
      <c r="AN50" s="781"/>
      <c r="AO50" s="781"/>
      <c r="AP50" s="781">
        <v>243.00000000000003</v>
      </c>
      <c r="AQ50" s="781">
        <v>270</v>
      </c>
      <c r="AR50" s="781">
        <f t="shared" si="8"/>
        <v>181.5</v>
      </c>
      <c r="AS50" s="781">
        <v>295.37529917593218</v>
      </c>
      <c r="AT50" s="781">
        <v>1451.4140380035255</v>
      </c>
      <c r="AU50" s="781">
        <v>23.72069010495764</v>
      </c>
      <c r="AV50" s="781">
        <v>216.62725959292374</v>
      </c>
      <c r="AW50" s="870">
        <v>1731</v>
      </c>
      <c r="AX50" s="870">
        <v>266</v>
      </c>
      <c r="AY50" s="870">
        <v>976.27345360169488</v>
      </c>
      <c r="AZ50" s="870">
        <v>339.07655867319914</v>
      </c>
      <c r="BA50" s="870"/>
      <c r="BB50" s="870">
        <f>PPH_Data_Base28[[#This Row],[PPH Unit Basic Price With Cu Tube]]*0.1</f>
        <v>460.42463006464163</v>
      </c>
      <c r="BC50" s="870">
        <v>48.951976640370425</v>
      </c>
      <c r="BD50" s="870">
        <v>163.17325546790141</v>
      </c>
      <c r="BE50" s="870">
        <v>54.39108515596714</v>
      </c>
      <c r="BF50" s="870">
        <v>54.39108515596714</v>
      </c>
      <c r="BG50" s="870">
        <v>54.39108515596714</v>
      </c>
      <c r="BH50" s="870">
        <f>PPH_Data_Base28[[#This Row],[PPH Unit Basic Price With Cu Tube]]*0.075</f>
        <v>345.31847254848117</v>
      </c>
      <c r="BI50" s="870">
        <v>163.17325546790141</v>
      </c>
      <c r="BJ50" s="870">
        <v>54.39108515596714</v>
      </c>
      <c r="BK50" s="870">
        <v>54.39108515596714</v>
      </c>
      <c r="BL50" s="870">
        <v>54.39108515596714</v>
      </c>
      <c r="BM50" s="781">
        <f>PPH_Data_Base28[[#This Row],[Total Condenser Coil Area]]*Naming!$M$62*4</f>
        <v>1612.8</v>
      </c>
      <c r="BN50" s="781">
        <f>PPH_Data_Base28[[#This Row],[Total Evaporator  Coil Area]]*Naming!$M$62*4</f>
        <v>806.4</v>
      </c>
      <c r="BO50" s="781">
        <f>PPH_Data_Base28[[#This Row],[Total Condenser Coil Area]]*Naming!$D$61*4</f>
        <v>24.48</v>
      </c>
      <c r="BP50" s="781">
        <f>PPH_Data_Base28[[#This Row],[Total Evaporator  Coil Area]]*Naming!$D$61*6</f>
        <v>18.36</v>
      </c>
      <c r="BQ50" s="781">
        <f>$G$195*PPH_Data_Base28[[#This Row],[Total Evaporator  Coil Area]]</f>
        <v>40.5</v>
      </c>
      <c r="BR50" s="781">
        <f>$G$199*PPH_Data_Base28[[#This Row],[Total Evaporator  Coil Area]]</f>
        <v>61.199999999999996</v>
      </c>
      <c r="BS50" s="781">
        <f>$E$185*PPH_Data_Base28[[#This Row],[Total Evaporator  Coil Area]]</f>
        <v>180</v>
      </c>
      <c r="BT50" s="781">
        <f>$E$188*PPH_Data_Base28[[#This Row],[Total Evaporator  Coil Area]]</f>
        <v>252</v>
      </c>
      <c r="BU50" s="781">
        <f>$G$195*PPH_Data_Base28[[#This Row],[Total Condenser Coil Area]]</f>
        <v>81</v>
      </c>
      <c r="BV50" s="781">
        <f>$G$199*PPH_Data_Base28[[#This Row],[Total Condenser Coil Area]]</f>
        <v>122.39999999999999</v>
      </c>
      <c r="BW50" s="781">
        <f>$E$185*PPH_Data_Base28[[#This Row],[Total Condenser Coil Area]]</f>
        <v>360</v>
      </c>
      <c r="BX50" s="781">
        <f>$E$188*PPH_Data_Base28[[#This Row],[Total Condenser Coil Area]]</f>
        <v>504</v>
      </c>
      <c r="BY50" s="781">
        <v>164.49451675364747</v>
      </c>
      <c r="BZ50" s="870">
        <v>101.83257852254236</v>
      </c>
      <c r="CA50" s="870"/>
      <c r="CB50" s="870"/>
      <c r="CC50" s="870">
        <v>74.152542372881356</v>
      </c>
      <c r="CD50" s="870">
        <f t="shared" si="7"/>
        <v>72.033898305084804</v>
      </c>
      <c r="CE50" s="870">
        <v>20</v>
      </c>
      <c r="CF50" s="832">
        <v>0</v>
      </c>
      <c r="CG50" s="870">
        <f>PPH_Data_Base28[[#This Row],[PPH Unit Basic Price With Cu Tube]]*0.25</f>
        <v>1151.061575161604</v>
      </c>
      <c r="CH50" s="870">
        <f>PPH_Data_Base28[[#This Row],[DSP Unit Basic Price With Cu Tube]]*0.35</f>
        <v>1122.1489830807786</v>
      </c>
      <c r="CI50" s="781">
        <v>89.190356144067806</v>
      </c>
      <c r="CJ50" s="781">
        <v>129.77347881355934</v>
      </c>
      <c r="CK50" s="781">
        <v>18.596238771186442</v>
      </c>
      <c r="CL50" s="781">
        <f>110*1.35*PPH_Data_Base28[[#This Row],[No. of Unit  Compressors]]</f>
        <v>148.5</v>
      </c>
      <c r="CM50" s="870">
        <v>50.847457627118651</v>
      </c>
      <c r="CN50" s="781">
        <v>52.824858757062145</v>
      </c>
      <c r="CO50" s="870">
        <v>0</v>
      </c>
      <c r="CP50" s="781">
        <v>86.306595268361576</v>
      </c>
      <c r="CQ50" s="870">
        <v>73.53953403954803</v>
      </c>
      <c r="CR50" s="781">
        <v>245.51832203389827</v>
      </c>
      <c r="CS50" s="870">
        <v>383.28903389830515</v>
      </c>
      <c r="CT50" s="781">
        <v>432.55649717514126</v>
      </c>
      <c r="CU50" s="870">
        <v>92.15585593220338</v>
      </c>
      <c r="CV50" s="870">
        <v>248.58757062146893</v>
      </c>
      <c r="CW50" s="781">
        <f>400*1.35*PPH_Data_Base28[[#This Row],[No. of Unit  Compressors]]</f>
        <v>540</v>
      </c>
      <c r="CX50" s="835"/>
      <c r="CY50" s="871">
        <f>47*PPH_Data_Base28[[#This Row],[No. of Unit  Compressors]]*1.35</f>
        <v>63.45</v>
      </c>
      <c r="CZ50" s="871">
        <f>30*1.35*PPH_Data_Base28[[#This Row],[NO Condenser Fans]]</f>
        <v>81</v>
      </c>
      <c r="DA50" s="781">
        <f>INDEX($B$136:$F$154,MATCH(PPH_Data_Base28[[#This Row],[STD Supply Fan Motor]],$B$136:$B$154,0),5)*PPH_Data_Base28[[#This Row],[Fan QTY]]</f>
        <v>36.69975367231639</v>
      </c>
      <c r="DB50" s="871">
        <f>47*1.35*PPH_Data_Base28[[#This Row],[No. of Unit  Compressors]]</f>
        <v>63.45</v>
      </c>
      <c r="DC50" s="871">
        <f>28*PPH_Data_Base28[[#This Row],[NO Condenser Fans]]</f>
        <v>56</v>
      </c>
      <c r="DD50" s="781">
        <f>INDEX($B$136:$F$154,MATCH(PPH_Data_Base28[[#This Row],[STD Supply Fan Motor]],$B$136:$B$154,0),3)*PPH_Data_Base28[[#This Row],[Fan QTY]]</f>
        <v>24.627741525423726</v>
      </c>
      <c r="DE50" s="870">
        <f>INDEX($B$114:$C$131,MATCH(PPH_Data_Base28[[#This Row],[Compressor 1 HP]],$B$114:$B$131,0),2)*PPH_Data_Base28[[#This Row],[Compressor 1 QTY]]+IFERROR(INDEX($B$114:$C$131,MATCH(PPH_Data_Base28[[#This Row],[Compressor 2 HP]],$B$114:$B$131,0),2)*PPH_Data_Base28[[#This Row],[Compressor 2 QTY]],0)</f>
        <v>42</v>
      </c>
      <c r="DF50" s="870">
        <f>38*PPH_Data_Base28[[#This Row],[NO Condenser Fans]]</f>
        <v>76</v>
      </c>
      <c r="DG50" s="870">
        <f>INDEX($B$136:$F$154,MATCH(PPH_Data_Base28[[#This Row],[STD Supply Fan Motor]],$B$136:$B$154,0),5)*PPH_Data_Base28[[#This Row],[Fan QTY]]</f>
        <v>36.69975367231639</v>
      </c>
      <c r="DH50" s="781">
        <v>58.262711864406782</v>
      </c>
      <c r="DI50" s="781">
        <v>58.262711864406782</v>
      </c>
      <c r="DJ50" s="870">
        <v>3000</v>
      </c>
      <c r="DK50" s="870">
        <v>3000</v>
      </c>
      <c r="DL50" s="870">
        <v>905</v>
      </c>
      <c r="DM50" s="870">
        <v>564.9717514124294</v>
      </c>
      <c r="DN50" s="870">
        <v>213.2530350282486</v>
      </c>
      <c r="DO50" s="870"/>
      <c r="DP50" s="870">
        <v>173.0225988700565</v>
      </c>
      <c r="DQ50" s="870">
        <v>173.0225988700565</v>
      </c>
      <c r="DR50" s="870">
        <v>173.0225988700565</v>
      </c>
      <c r="DS50" s="870"/>
      <c r="DT50" s="870">
        <f>PPH_Data_Base28[[#This Row],[NO Condenser Fans]]*350</f>
        <v>700</v>
      </c>
      <c r="DU50" s="870">
        <v>238.27442754237299</v>
      </c>
      <c r="DV50" s="870">
        <f>150*PPH_Data_Base28[[#This Row],[NO Condenser Fans]]</f>
        <v>300</v>
      </c>
      <c r="DW50" s="781">
        <v>757.4152542372882</v>
      </c>
      <c r="DX50" s="781">
        <v>250</v>
      </c>
      <c r="DY50" s="870">
        <v>700</v>
      </c>
      <c r="DZ50" s="870">
        <v>100</v>
      </c>
      <c r="EA50" s="870">
        <v>540</v>
      </c>
      <c r="EB50" s="870">
        <v>4.186805084745763</v>
      </c>
      <c r="EC50" s="870">
        <v>23.305084745762713</v>
      </c>
      <c r="ED50" s="870">
        <v>56.080321186440685</v>
      </c>
      <c r="EE50" s="870"/>
      <c r="EF50" s="870"/>
      <c r="EG50" s="870"/>
      <c r="EH50" s="870"/>
      <c r="EI50" s="870"/>
      <c r="EJ50" s="870"/>
      <c r="EK50" s="870"/>
      <c r="EL50" s="870"/>
      <c r="EM50" s="870"/>
      <c r="EN50" s="870"/>
      <c r="EO50" s="870"/>
      <c r="EP50" s="870"/>
      <c r="EQ50" s="870"/>
      <c r="ER50" s="870"/>
      <c r="ES50" s="870"/>
      <c r="ET50" s="870"/>
      <c r="EU50" s="870">
        <v>203</v>
      </c>
      <c r="EV50" s="870">
        <v>250</v>
      </c>
      <c r="EW50" s="847"/>
      <c r="EX50" s="781">
        <v>46.384451977401142</v>
      </c>
      <c r="EY50" s="781">
        <v>333.11975593220342</v>
      </c>
      <c r="EZ50" s="870">
        <v>19.209039548022599</v>
      </c>
      <c r="FA50" s="870">
        <v>40</v>
      </c>
      <c r="FB50" s="870">
        <v>40</v>
      </c>
      <c r="FC50" s="870">
        <v>24</v>
      </c>
      <c r="FD50" s="870">
        <v>24</v>
      </c>
      <c r="FE50" s="870">
        <v>19.774011299435031</v>
      </c>
      <c r="FF50" s="870">
        <v>26.129943502824862</v>
      </c>
      <c r="FG50" s="870">
        <v>200</v>
      </c>
      <c r="FH50" s="870">
        <v>145.93000229340572</v>
      </c>
      <c r="FI50" s="870">
        <v>88.681403834083682</v>
      </c>
      <c r="FJ50" s="870">
        <v>26</v>
      </c>
      <c r="FK50" s="870">
        <f>PPH_Data_Base28[[#This Row],[Differential Pressure Switch]]*2</f>
        <v>52</v>
      </c>
      <c r="FL50" s="870">
        <v>42</v>
      </c>
      <c r="FM50" s="872">
        <f>PPH_Data_Base28[[#This Row],[STD PETRA DIAL DIFF.PRESS.GAUGE NOT DWYER]]*2</f>
        <v>84</v>
      </c>
      <c r="FN50" s="872"/>
      <c r="FO50" s="872">
        <f>PPH_Data_Base28[[#This Row],[Replaceble Filter Drier ]]</f>
        <v>148.5</v>
      </c>
      <c r="FP50" s="872">
        <f>PPH_Data_Base28[[#This Row],[2" Pre-Filter]]*2</f>
        <v>47.44138020991528</v>
      </c>
      <c r="FQ50" s="872">
        <f>PPH_Data_Base28[[#This Row],[Bag Filter EU-8]]</f>
        <v>216.62725959292374</v>
      </c>
      <c r="FR50" s="872"/>
      <c r="FS50" s="872">
        <v>30</v>
      </c>
      <c r="FT50" s="176"/>
      <c r="FU50" s="176"/>
      <c r="FV50" s="176"/>
      <c r="FW50" s="176"/>
      <c r="GW50" s="176"/>
      <c r="GX50" s="176"/>
      <c r="HC50" s="176"/>
    </row>
    <row r="51" spans="1:211">
      <c r="A51" s="780" t="s">
        <v>479</v>
      </c>
      <c r="B51" s="781" t="s">
        <v>1550</v>
      </c>
      <c r="C51" s="781" t="s">
        <v>519</v>
      </c>
      <c r="D51" s="870" t="s">
        <v>1653</v>
      </c>
      <c r="E51" s="870" t="s">
        <v>1551</v>
      </c>
      <c r="F51" s="870" t="s">
        <v>1654</v>
      </c>
      <c r="G51" s="851">
        <v>0</v>
      </c>
      <c r="H51" s="870" t="s">
        <v>2249</v>
      </c>
      <c r="I51" s="781" t="s">
        <v>1537</v>
      </c>
      <c r="J51" s="781" t="s">
        <v>1538</v>
      </c>
      <c r="K51" s="781">
        <v>1</v>
      </c>
      <c r="L51" s="781" t="s">
        <v>568</v>
      </c>
      <c r="M51" s="781">
        <v>2</v>
      </c>
      <c r="N51" s="300">
        <v>2</v>
      </c>
      <c r="O51" s="781">
        <v>18</v>
      </c>
      <c r="P51" s="781">
        <v>9</v>
      </c>
      <c r="Q51" s="781">
        <v>2</v>
      </c>
      <c r="R51" s="781">
        <v>5</v>
      </c>
      <c r="S51" s="781">
        <v>1</v>
      </c>
      <c r="T51" s="781">
        <v>4</v>
      </c>
      <c r="U51" s="781">
        <v>1</v>
      </c>
      <c r="V51" s="781">
        <v>128</v>
      </c>
      <c r="W51" s="781">
        <v>259</v>
      </c>
      <c r="X51" s="870"/>
      <c r="Y51" s="835">
        <v>0</v>
      </c>
      <c r="Z51" s="782">
        <v>4179.0250708585318</v>
      </c>
      <c r="AA51" s="782">
        <v>4432.8651192472043</v>
      </c>
      <c r="AB51" s="870">
        <v>2983.9646535722982</v>
      </c>
      <c r="AC51" s="834">
        <v>0</v>
      </c>
      <c r="AD51" s="781">
        <v>143.71468926553672</v>
      </c>
      <c r="AE51" s="870">
        <v>130.64971751412429</v>
      </c>
      <c r="AF51" s="870">
        <v>130.64971751412429</v>
      </c>
      <c r="AG51" s="870">
        <v>156.77966101694918</v>
      </c>
      <c r="AH51" s="781">
        <v>172.45762711864407</v>
      </c>
      <c r="AI51" s="870">
        <v>156.77966101694918</v>
      </c>
      <c r="AJ51" s="870">
        <v>156.77966101694918</v>
      </c>
      <c r="AK51" s="870">
        <v>188.13559322033899</v>
      </c>
      <c r="AL51" s="870">
        <f>PPH_Data_Base28[[#This Row],[PPH Unit Basic Price With Cu Tube]]*0.05</f>
        <v>221.64325596236023</v>
      </c>
      <c r="AM51" s="781">
        <v>61.798152238657636</v>
      </c>
      <c r="AN51" s="781"/>
      <c r="AO51" s="781"/>
      <c r="AP51" s="781">
        <v>243.00000000000003</v>
      </c>
      <c r="AQ51" s="781">
        <v>270</v>
      </c>
      <c r="AR51" s="781">
        <f t="shared" si="8"/>
        <v>181.5</v>
      </c>
      <c r="AS51" s="781">
        <v>295.37529917593218</v>
      </c>
      <c r="AT51" s="781">
        <v>1451.4140380035255</v>
      </c>
      <c r="AU51" s="781">
        <v>23.72069010495764</v>
      </c>
      <c r="AV51" s="781">
        <v>216.62725959292374</v>
      </c>
      <c r="AW51" s="870">
        <v>1731</v>
      </c>
      <c r="AX51" s="870">
        <v>266</v>
      </c>
      <c r="AY51" s="870">
        <v>976.27345360169488</v>
      </c>
      <c r="AZ51" s="870">
        <v>339.07655867319914</v>
      </c>
      <c r="BA51" s="870"/>
      <c r="BB51" s="870">
        <f>PPH_Data_Base28[[#This Row],[PPH Unit Basic Price With Cu Tube]]*0.1</f>
        <v>443.28651192472046</v>
      </c>
      <c r="BC51" s="870">
        <v>52.954585324969891</v>
      </c>
      <c r="BD51" s="870">
        <v>176.51528441656632</v>
      </c>
      <c r="BE51" s="870">
        <v>58.838428138855441</v>
      </c>
      <c r="BF51" s="870">
        <v>58.838428138855441</v>
      </c>
      <c r="BG51" s="870">
        <v>58.838428138855441</v>
      </c>
      <c r="BH51" s="870">
        <f>PPH_Data_Base28[[#This Row],[PPH Unit Basic Price With Cu Tube]]*0.075</f>
        <v>332.46488394354031</v>
      </c>
      <c r="BI51" s="870">
        <v>176.51528441656632</v>
      </c>
      <c r="BJ51" s="870">
        <v>58.838428138855441</v>
      </c>
      <c r="BK51" s="870">
        <v>58.838428138855441</v>
      </c>
      <c r="BL51" s="870">
        <v>58.838428138855441</v>
      </c>
      <c r="BM51" s="781">
        <f>PPH_Data_Base28[[#This Row],[Total Condenser Coil Area]]*Naming!$M$62*4</f>
        <v>1612.8</v>
      </c>
      <c r="BN51" s="781">
        <f>PPH_Data_Base28[[#This Row],[Total Evaporator  Coil Area]]*Naming!$M$62*4</f>
        <v>806.4</v>
      </c>
      <c r="BO51" s="781">
        <f>PPH_Data_Base28[[#This Row],[Total Condenser Coil Area]]*Naming!$D$61*4</f>
        <v>24.48</v>
      </c>
      <c r="BP51" s="781">
        <f>PPH_Data_Base28[[#This Row],[Total Evaporator  Coil Area]]*Naming!$D$61*6</f>
        <v>18.36</v>
      </c>
      <c r="BQ51" s="781">
        <f>$G$195*PPH_Data_Base28[[#This Row],[Total Evaporator  Coil Area]]</f>
        <v>40.5</v>
      </c>
      <c r="BR51" s="781">
        <f>$G$199*PPH_Data_Base28[[#This Row],[Total Evaporator  Coil Area]]</f>
        <v>61.199999999999996</v>
      </c>
      <c r="BS51" s="781">
        <f>$E$185*PPH_Data_Base28[[#This Row],[Total Evaporator  Coil Area]]</f>
        <v>180</v>
      </c>
      <c r="BT51" s="781">
        <f>$E$188*PPH_Data_Base28[[#This Row],[Total Evaporator  Coil Area]]</f>
        <v>252</v>
      </c>
      <c r="BU51" s="781">
        <f>$G$195*PPH_Data_Base28[[#This Row],[Total Condenser Coil Area]]</f>
        <v>81</v>
      </c>
      <c r="BV51" s="781">
        <f>$G$199*PPH_Data_Base28[[#This Row],[Total Condenser Coil Area]]</f>
        <v>122.39999999999999</v>
      </c>
      <c r="BW51" s="781">
        <f>$E$185*PPH_Data_Base28[[#This Row],[Total Condenser Coil Area]]</f>
        <v>360</v>
      </c>
      <c r="BX51" s="781">
        <f>$E$188*PPH_Data_Base28[[#This Row],[Total Condenser Coil Area]]</f>
        <v>504</v>
      </c>
      <c r="BY51" s="781">
        <v>164.49451675364747</v>
      </c>
      <c r="BZ51" s="870">
        <v>101.83257852254236</v>
      </c>
      <c r="CA51" s="870"/>
      <c r="CB51" s="870"/>
      <c r="CC51" s="870">
        <v>74.152542372881356</v>
      </c>
      <c r="CD51" s="870">
        <f t="shared" si="7"/>
        <v>72.033898305084804</v>
      </c>
      <c r="CE51" s="870">
        <v>20</v>
      </c>
      <c r="CF51" s="832">
        <v>0</v>
      </c>
      <c r="CG51" s="870">
        <f>PPH_Data_Base28[[#This Row],[PPH Unit Basic Price With Cu Tube]]*0.25</f>
        <v>1108.2162798118011</v>
      </c>
      <c r="CH51" s="870">
        <f>PPH_Data_Base28[[#This Row],[DSP Unit Basic Price With Cu Tube]]*0.35</f>
        <v>1044.3876287503042</v>
      </c>
      <c r="CI51" s="781">
        <v>178.38071228813561</v>
      </c>
      <c r="CJ51" s="781">
        <v>259.54695762711867</v>
      </c>
      <c r="CK51" s="781">
        <v>37.192477542372885</v>
      </c>
      <c r="CL51" s="781">
        <f>110*1.35*PPH_Data_Base28[[#This Row],[No. of Unit  Compressors]]</f>
        <v>297</v>
      </c>
      <c r="CM51" s="870">
        <v>101.6949152542373</v>
      </c>
      <c r="CN51" s="781">
        <v>72.033898305084747</v>
      </c>
      <c r="CO51" s="870">
        <v>247.72664406779666</v>
      </c>
      <c r="CP51" s="781">
        <v>111.74139378531072</v>
      </c>
      <c r="CQ51" s="870">
        <v>113.29948460451978</v>
      </c>
      <c r="CR51" s="781">
        <v>245.51832203389827</v>
      </c>
      <c r="CS51" s="870">
        <v>502.32020169491528</v>
      </c>
      <c r="CT51" s="781">
        <v>865.11299435028252</v>
      </c>
      <c r="CU51" s="870">
        <v>184.31171186440676</v>
      </c>
      <c r="CV51" s="870">
        <v>497.17514124293785</v>
      </c>
      <c r="CW51" s="781">
        <f>400*1.35*PPH_Data_Base28[[#This Row],[No. of Unit  Compressors]]</f>
        <v>1080</v>
      </c>
      <c r="CX51" s="835"/>
      <c r="CY51" s="871">
        <f>47*PPH_Data_Base28[[#This Row],[No. of Unit  Compressors]]*1.35</f>
        <v>126.9</v>
      </c>
      <c r="CZ51" s="871">
        <f>30*1.35*PPH_Data_Base28[[#This Row],[NO Condenser Fans]]</f>
        <v>81</v>
      </c>
      <c r="DA51" s="781">
        <f>INDEX($B$136:$F$154,MATCH(PPH_Data_Base28[[#This Row],[STD Supply Fan Motor]],$B$136:$B$154,0),5)*PPH_Data_Base28[[#This Row],[Fan QTY]]</f>
        <v>36.69975367231639</v>
      </c>
      <c r="DB51" s="871">
        <f>47*1.35*PPH_Data_Base28[[#This Row],[No. of Unit  Compressors]]</f>
        <v>126.9</v>
      </c>
      <c r="DC51" s="871">
        <f>28*PPH_Data_Base28[[#This Row],[NO Condenser Fans]]</f>
        <v>56</v>
      </c>
      <c r="DD51" s="781">
        <f>INDEX($B$136:$F$154,MATCH(PPH_Data_Base28[[#This Row],[STD Supply Fan Motor]],$B$136:$B$154,0),3)*PPH_Data_Base28[[#This Row],[Fan QTY]]</f>
        <v>24.627741525423726</v>
      </c>
      <c r="DE51" s="870">
        <f>INDEX($B$114:$C$131,MATCH(PPH_Data_Base28[[#This Row],[Compressor 1 HP]],$B$114:$B$131,0),2)*PPH_Data_Base28[[#This Row],[Compressor 1 QTY]]+IFERROR(INDEX($B$114:$C$131,MATCH(PPH_Data_Base28[[#This Row],[Compressor 2 HP]],$B$114:$B$131,0),2)*PPH_Data_Base28[[#This Row],[Compressor 2 QTY]],0)</f>
        <v>55</v>
      </c>
      <c r="DF51" s="870">
        <f>38*PPH_Data_Base28[[#This Row],[NO Condenser Fans]]</f>
        <v>76</v>
      </c>
      <c r="DG51" s="870">
        <f>INDEX($B$136:$F$154,MATCH(PPH_Data_Base28[[#This Row],[STD Supply Fan Motor]],$B$136:$B$154,0),5)*PPH_Data_Base28[[#This Row],[Fan QTY]]</f>
        <v>36.69975367231639</v>
      </c>
      <c r="DH51" s="781">
        <v>58.262711864406782</v>
      </c>
      <c r="DI51" s="781">
        <v>58.262711864406782</v>
      </c>
      <c r="DJ51" s="870">
        <v>2600</v>
      </c>
      <c r="DK51" s="870">
        <v>5200</v>
      </c>
      <c r="DL51" s="870">
        <v>905</v>
      </c>
      <c r="DM51" s="870">
        <v>564.9717514124294</v>
      </c>
      <c r="DN51" s="870">
        <v>213.2530350282486</v>
      </c>
      <c r="DO51" s="870"/>
      <c r="DP51" s="870">
        <v>173.0225988700565</v>
      </c>
      <c r="DQ51" s="870">
        <v>173.0225988700565</v>
      </c>
      <c r="DR51" s="870">
        <v>173.0225988700565</v>
      </c>
      <c r="DS51" s="870"/>
      <c r="DT51" s="870">
        <f>PPH_Data_Base28[[#This Row],[NO Condenser Fans]]*350</f>
        <v>700</v>
      </c>
      <c r="DU51" s="870">
        <v>238.27442754237299</v>
      </c>
      <c r="DV51" s="870">
        <f>150*PPH_Data_Base28[[#This Row],[NO Condenser Fans]]</f>
        <v>300</v>
      </c>
      <c r="DW51" s="781">
        <v>757.4152542372882</v>
      </c>
      <c r="DX51" s="781">
        <v>250</v>
      </c>
      <c r="DY51" s="870">
        <v>700</v>
      </c>
      <c r="DZ51" s="870">
        <v>100</v>
      </c>
      <c r="EA51" s="870">
        <v>540</v>
      </c>
      <c r="EB51" s="870">
        <v>4.186805084745763</v>
      </c>
      <c r="EC51" s="870">
        <v>23.305084745762713</v>
      </c>
      <c r="ED51" s="870">
        <v>56.080321186440685</v>
      </c>
      <c r="EE51" s="870"/>
      <c r="EF51" s="870"/>
      <c r="EG51" s="870"/>
      <c r="EH51" s="870"/>
      <c r="EI51" s="870"/>
      <c r="EJ51" s="870"/>
      <c r="EK51" s="870"/>
      <c r="EL51" s="870"/>
      <c r="EM51" s="870"/>
      <c r="EN51" s="870"/>
      <c r="EO51" s="870"/>
      <c r="EP51" s="870"/>
      <c r="EQ51" s="870"/>
      <c r="ER51" s="870"/>
      <c r="ES51" s="870"/>
      <c r="ET51" s="870"/>
      <c r="EU51" s="870">
        <v>203</v>
      </c>
      <c r="EV51" s="870">
        <v>250</v>
      </c>
      <c r="EW51" s="847"/>
      <c r="EX51" s="781">
        <v>46.384451977401142</v>
      </c>
      <c r="EY51" s="781">
        <v>333.11975593220342</v>
      </c>
      <c r="EZ51" s="870">
        <v>19.209039548022599</v>
      </c>
      <c r="FA51" s="870">
        <v>40</v>
      </c>
      <c r="FB51" s="870">
        <v>40</v>
      </c>
      <c r="FC51" s="870">
        <v>24</v>
      </c>
      <c r="FD51" s="870">
        <v>24</v>
      </c>
      <c r="FE51" s="870">
        <v>19.774011299435031</v>
      </c>
      <c r="FF51" s="870">
        <v>26.129943502824862</v>
      </c>
      <c r="FG51" s="870">
        <v>200</v>
      </c>
      <c r="FH51" s="870">
        <v>145.93000229340572</v>
      </c>
      <c r="FI51" s="870">
        <v>88.681403834083682</v>
      </c>
      <c r="FJ51" s="870">
        <v>26</v>
      </c>
      <c r="FK51" s="870">
        <f>PPH_Data_Base28[[#This Row],[Differential Pressure Switch]]*2</f>
        <v>52</v>
      </c>
      <c r="FL51" s="870">
        <v>42</v>
      </c>
      <c r="FM51" s="872">
        <f>PPH_Data_Base28[[#This Row],[STD PETRA DIAL DIFF.PRESS.GAUGE NOT DWYER]]*2</f>
        <v>84</v>
      </c>
      <c r="FN51" s="872"/>
      <c r="FO51" s="872">
        <f>PPH_Data_Base28[[#This Row],[Replaceble Filter Drier ]]</f>
        <v>297</v>
      </c>
      <c r="FP51" s="872">
        <f>PPH_Data_Base28[[#This Row],[2" Pre-Filter]]*2</f>
        <v>47.44138020991528</v>
      </c>
      <c r="FQ51" s="872">
        <f>PPH_Data_Base28[[#This Row],[Bag Filter EU-8]]</f>
        <v>216.62725959292374</v>
      </c>
      <c r="FR51" s="872"/>
      <c r="FS51" s="872">
        <v>30</v>
      </c>
      <c r="FT51" s="176"/>
      <c r="FU51" s="176"/>
      <c r="FV51" s="176"/>
      <c r="FW51" s="176"/>
      <c r="GW51" s="176"/>
      <c r="GX51" s="176"/>
      <c r="HC51" s="176"/>
    </row>
    <row r="52" spans="1:211">
      <c r="A52" s="780" t="s">
        <v>480</v>
      </c>
      <c r="B52" s="781" t="s">
        <v>1555</v>
      </c>
      <c r="C52" s="781" t="s">
        <v>520</v>
      </c>
      <c r="D52" s="870" t="s">
        <v>1655</v>
      </c>
      <c r="E52" s="870" t="s">
        <v>1556</v>
      </c>
      <c r="F52" s="870" t="s">
        <v>1656</v>
      </c>
      <c r="G52" s="851">
        <v>0</v>
      </c>
      <c r="H52" s="870" t="s">
        <v>2249</v>
      </c>
      <c r="I52" s="781" t="s">
        <v>1554</v>
      </c>
      <c r="J52" s="781" t="s">
        <v>1538</v>
      </c>
      <c r="K52" s="781">
        <v>1</v>
      </c>
      <c r="L52" s="781" t="s">
        <v>568</v>
      </c>
      <c r="M52" s="781">
        <v>2</v>
      </c>
      <c r="N52" s="300">
        <v>2</v>
      </c>
      <c r="O52" s="781">
        <v>18</v>
      </c>
      <c r="P52" s="781">
        <v>9</v>
      </c>
      <c r="Q52" s="781">
        <v>1</v>
      </c>
      <c r="R52" s="781">
        <v>10.5</v>
      </c>
      <c r="S52" s="781">
        <v>1</v>
      </c>
      <c r="T52" s="781"/>
      <c r="U52" s="781"/>
      <c r="V52" s="781">
        <v>163</v>
      </c>
      <c r="W52" s="781">
        <v>259</v>
      </c>
      <c r="X52" s="870"/>
      <c r="Y52" s="835">
        <v>0</v>
      </c>
      <c r="Z52" s="782">
        <v>4306.3533048389972</v>
      </c>
      <c r="AA52" s="782">
        <v>4566.6045455540698</v>
      </c>
      <c r="AB52" s="870">
        <v>3227.9434686123122</v>
      </c>
      <c r="AC52" s="834">
        <v>0</v>
      </c>
      <c r="AD52" s="781">
        <v>143.71468926553672</v>
      </c>
      <c r="AE52" s="870">
        <v>130.64971751412429</v>
      </c>
      <c r="AF52" s="870">
        <v>130.64971751412429</v>
      </c>
      <c r="AG52" s="870">
        <v>156.77966101694918</v>
      </c>
      <c r="AH52" s="781">
        <v>172.45762711864407</v>
      </c>
      <c r="AI52" s="870">
        <v>156.77966101694918</v>
      </c>
      <c r="AJ52" s="870">
        <v>156.77966101694918</v>
      </c>
      <c r="AK52" s="870">
        <v>188.13559322033899</v>
      </c>
      <c r="AL52" s="870">
        <f>PPH_Data_Base28[[#This Row],[PPH Unit Basic Price With Cu Tube]]*0.05</f>
        <v>228.3302272777035</v>
      </c>
      <c r="AM52" s="781">
        <v>61.798152238657636</v>
      </c>
      <c r="AN52" s="781"/>
      <c r="AO52" s="781"/>
      <c r="AP52" s="781">
        <v>297</v>
      </c>
      <c r="AQ52" s="781">
        <v>270</v>
      </c>
      <c r="AR52" s="781">
        <f t="shared" si="8"/>
        <v>181.5</v>
      </c>
      <c r="AS52" s="781">
        <v>296.58728010813553</v>
      </c>
      <c r="AT52" s="781">
        <v>1453.3532074950506</v>
      </c>
      <c r="AU52" s="781">
        <v>23.72069010495764</v>
      </c>
      <c r="AV52" s="781">
        <v>216.62725959292374</v>
      </c>
      <c r="AW52" s="870">
        <v>1731</v>
      </c>
      <c r="AX52" s="870">
        <v>266</v>
      </c>
      <c r="AY52" s="870">
        <v>976.27345360169488</v>
      </c>
      <c r="AZ52" s="870">
        <v>339.07655867319914</v>
      </c>
      <c r="BA52" s="870"/>
      <c r="BB52" s="870">
        <f>PPH_Data_Base28[[#This Row],[PPH Unit Basic Price With Cu Tube]]*0.1</f>
        <v>456.660454555407</v>
      </c>
      <c r="BC52" s="870">
        <v>53.463484335743303</v>
      </c>
      <c r="BD52" s="870">
        <v>178.21161445247768</v>
      </c>
      <c r="BE52" s="870">
        <v>59.403871484159225</v>
      </c>
      <c r="BF52" s="870">
        <v>59.403871484159225</v>
      </c>
      <c r="BG52" s="870">
        <v>59.403871484159225</v>
      </c>
      <c r="BH52" s="870">
        <f>PPH_Data_Base28[[#This Row],[PPH Unit Basic Price With Cu Tube]]*0.075</f>
        <v>342.49534091655522</v>
      </c>
      <c r="BI52" s="870">
        <v>178.21161445247768</v>
      </c>
      <c r="BJ52" s="870">
        <v>59.403871484159225</v>
      </c>
      <c r="BK52" s="870">
        <v>59.403871484159225</v>
      </c>
      <c r="BL52" s="870">
        <v>59.403871484159225</v>
      </c>
      <c r="BM52" s="781">
        <f>PPH_Data_Base28[[#This Row],[Total Condenser Coil Area]]*Naming!$M$62*4</f>
        <v>1612.8</v>
      </c>
      <c r="BN52" s="781">
        <f>PPH_Data_Base28[[#This Row],[Total Evaporator  Coil Area]]*Naming!$M$62*4</f>
        <v>806.4</v>
      </c>
      <c r="BO52" s="781">
        <f>PPH_Data_Base28[[#This Row],[Total Condenser Coil Area]]*Naming!$D$61*4</f>
        <v>24.48</v>
      </c>
      <c r="BP52" s="781">
        <f>PPH_Data_Base28[[#This Row],[Total Evaporator  Coil Area]]*Naming!$D$61*6</f>
        <v>18.36</v>
      </c>
      <c r="BQ52" s="781">
        <f>$G$195*PPH_Data_Base28[[#This Row],[Total Evaporator  Coil Area]]</f>
        <v>40.5</v>
      </c>
      <c r="BR52" s="781">
        <f>$G$199*PPH_Data_Base28[[#This Row],[Total Evaporator  Coil Area]]</f>
        <v>61.199999999999996</v>
      </c>
      <c r="BS52" s="781">
        <f>$E$185*PPH_Data_Base28[[#This Row],[Total Evaporator  Coil Area]]</f>
        <v>180</v>
      </c>
      <c r="BT52" s="781">
        <f>$E$188*PPH_Data_Base28[[#This Row],[Total Evaporator  Coil Area]]</f>
        <v>252</v>
      </c>
      <c r="BU52" s="781">
        <f>$G$195*PPH_Data_Base28[[#This Row],[Total Condenser Coil Area]]</f>
        <v>81</v>
      </c>
      <c r="BV52" s="781">
        <f>$G$199*PPH_Data_Base28[[#This Row],[Total Condenser Coil Area]]</f>
        <v>122.39999999999999</v>
      </c>
      <c r="BW52" s="781">
        <f>$E$185*PPH_Data_Base28[[#This Row],[Total Condenser Coil Area]]</f>
        <v>360</v>
      </c>
      <c r="BX52" s="781">
        <f>$E$188*PPH_Data_Base28[[#This Row],[Total Condenser Coil Area]]</f>
        <v>504</v>
      </c>
      <c r="BY52" s="781">
        <v>164.49451675364747</v>
      </c>
      <c r="BZ52" s="870">
        <v>101.83257852254236</v>
      </c>
      <c r="CA52" s="870"/>
      <c r="CB52" s="870"/>
      <c r="CC52" s="870">
        <v>74.152542372881356</v>
      </c>
      <c r="CD52" s="870">
        <f t="shared" si="7"/>
        <v>72.033898305084804</v>
      </c>
      <c r="CE52" s="870">
        <v>20</v>
      </c>
      <c r="CF52" s="832">
        <v>0</v>
      </c>
      <c r="CG52" s="870">
        <f>PPH_Data_Base28[[#This Row],[PPH Unit Basic Price With Cu Tube]]*0.25</f>
        <v>1141.6511363885174</v>
      </c>
      <c r="CH52" s="870">
        <f>PPH_Data_Base28[[#This Row],[DSP Unit Basic Price With Cu Tube]]*0.35</f>
        <v>1129.7802140143092</v>
      </c>
      <c r="CI52" s="781">
        <v>89.190356144067806</v>
      </c>
      <c r="CJ52" s="781">
        <v>129.77347881355934</v>
      </c>
      <c r="CK52" s="781">
        <v>18.596238771186442</v>
      </c>
      <c r="CL52" s="781">
        <f>110*1.35*PPH_Data_Base28[[#This Row],[No. of Unit  Compressors]]</f>
        <v>148.5</v>
      </c>
      <c r="CM52" s="870">
        <v>50.847457627118651</v>
      </c>
      <c r="CN52" s="781">
        <v>52.824858757062145</v>
      </c>
      <c r="CO52" s="870">
        <v>0</v>
      </c>
      <c r="CP52" s="781">
        <v>86.306595268361576</v>
      </c>
      <c r="CQ52" s="870">
        <v>73.53953403954803</v>
      </c>
      <c r="CR52" s="781">
        <v>245.51832203389827</v>
      </c>
      <c r="CS52" s="870">
        <v>383.28903389830515</v>
      </c>
      <c r="CT52" s="781">
        <v>432.55649717514126</v>
      </c>
      <c r="CU52" s="870">
        <v>92.15585593220338</v>
      </c>
      <c r="CV52" s="870">
        <v>248.58757062146893</v>
      </c>
      <c r="CW52" s="781">
        <f>400*1.35*PPH_Data_Base28[[#This Row],[No. of Unit  Compressors]]</f>
        <v>540</v>
      </c>
      <c r="CX52" s="835"/>
      <c r="CY52" s="871">
        <f>47*PPH_Data_Base28[[#This Row],[No. of Unit  Compressors]]*1.35</f>
        <v>63.45</v>
      </c>
      <c r="CZ52" s="871">
        <f>30*1.35*PPH_Data_Base28[[#This Row],[NO Condenser Fans]]</f>
        <v>81</v>
      </c>
      <c r="DA52" s="781">
        <f>INDEX($B$136:$F$154,MATCH(PPH_Data_Base28[[#This Row],[STD Supply Fan Motor]],$B$136:$B$154,0),5)*PPH_Data_Base28[[#This Row],[Fan QTY]]</f>
        <v>36.69975367231639</v>
      </c>
      <c r="DB52" s="871">
        <f>47*1.35*PPH_Data_Base28[[#This Row],[No. of Unit  Compressors]]</f>
        <v>63.45</v>
      </c>
      <c r="DC52" s="871">
        <f>28*PPH_Data_Base28[[#This Row],[NO Condenser Fans]]</f>
        <v>56</v>
      </c>
      <c r="DD52" s="781">
        <f>INDEX($B$136:$F$154,MATCH(PPH_Data_Base28[[#This Row],[STD Supply Fan Motor]],$B$136:$B$154,0),3)*PPH_Data_Base28[[#This Row],[Fan QTY]]</f>
        <v>24.627741525423726</v>
      </c>
      <c r="DE52" s="870">
        <f>INDEX($B$114:$C$131,MATCH(PPH_Data_Base28[[#This Row],[Compressor 1 HP]],$B$114:$B$131,0),2)*PPH_Data_Base28[[#This Row],[Compressor 1 QTY]]+IFERROR(INDEX($B$114:$C$131,MATCH(PPH_Data_Base28[[#This Row],[Compressor 2 HP]],$B$114:$B$131,0),2)*PPH_Data_Base28[[#This Row],[Compressor 2 QTY]],0)</f>
        <v>42</v>
      </c>
      <c r="DF52" s="870">
        <f>38*PPH_Data_Base28[[#This Row],[NO Condenser Fans]]</f>
        <v>76</v>
      </c>
      <c r="DG52" s="870">
        <f>INDEX($B$136:$F$154,MATCH(PPH_Data_Base28[[#This Row],[STD Supply Fan Motor]],$B$136:$B$154,0),5)*PPH_Data_Base28[[#This Row],[Fan QTY]]</f>
        <v>36.69975367231639</v>
      </c>
      <c r="DH52" s="781">
        <v>139.83050847457628</v>
      </c>
      <c r="DI52" s="781">
        <v>58.262711864406782</v>
      </c>
      <c r="DJ52" s="870">
        <v>3000</v>
      </c>
      <c r="DK52" s="870">
        <v>3000</v>
      </c>
      <c r="DL52" s="870">
        <v>905</v>
      </c>
      <c r="DM52" s="870">
        <v>564.9717514124294</v>
      </c>
      <c r="DN52" s="870">
        <v>213.2530350282486</v>
      </c>
      <c r="DO52" s="870"/>
      <c r="DP52" s="870">
        <v>173.0225988700565</v>
      </c>
      <c r="DQ52" s="870">
        <v>173.0225988700565</v>
      </c>
      <c r="DR52" s="870">
        <v>173.0225988700565</v>
      </c>
      <c r="DS52" s="870"/>
      <c r="DT52" s="870">
        <f>PPH_Data_Base28[[#This Row],[NO Condenser Fans]]*350</f>
        <v>700</v>
      </c>
      <c r="DU52" s="870">
        <v>238.27442754237299</v>
      </c>
      <c r="DV52" s="870">
        <f>150*PPH_Data_Base28[[#This Row],[NO Condenser Fans]]</f>
        <v>300</v>
      </c>
      <c r="DW52" s="781">
        <v>757.4152542372882</v>
      </c>
      <c r="DX52" s="781">
        <v>250</v>
      </c>
      <c r="DY52" s="870">
        <v>700</v>
      </c>
      <c r="DZ52" s="870">
        <v>100</v>
      </c>
      <c r="EA52" s="870">
        <v>540</v>
      </c>
      <c r="EB52" s="870">
        <v>4.186805084745763</v>
      </c>
      <c r="EC52" s="870">
        <v>23.305084745762713</v>
      </c>
      <c r="ED52" s="870">
        <v>56.080321186440685</v>
      </c>
      <c r="EE52" s="870"/>
      <c r="EF52" s="870"/>
      <c r="EG52" s="870"/>
      <c r="EH52" s="870"/>
      <c r="EI52" s="870"/>
      <c r="EJ52" s="870"/>
      <c r="EK52" s="870"/>
      <c r="EL52" s="870"/>
      <c r="EM52" s="870"/>
      <c r="EN52" s="870"/>
      <c r="EO52" s="870"/>
      <c r="EP52" s="870"/>
      <c r="EQ52" s="870"/>
      <c r="ER52" s="870"/>
      <c r="ES52" s="870"/>
      <c r="ET52" s="870"/>
      <c r="EU52" s="870">
        <v>203</v>
      </c>
      <c r="EV52" s="870">
        <v>250</v>
      </c>
      <c r="EW52" s="847"/>
      <c r="EX52" s="781">
        <v>46.384451977401142</v>
      </c>
      <c r="EY52" s="781">
        <v>333.11975593220342</v>
      </c>
      <c r="EZ52" s="870">
        <v>19.209039548022599</v>
      </c>
      <c r="FA52" s="870">
        <v>40</v>
      </c>
      <c r="FB52" s="870">
        <v>40</v>
      </c>
      <c r="FC52" s="870">
        <v>24</v>
      </c>
      <c r="FD52" s="870">
        <v>24</v>
      </c>
      <c r="FE52" s="870">
        <v>19.774011299435031</v>
      </c>
      <c r="FF52" s="870">
        <v>26.129943502824862</v>
      </c>
      <c r="FG52" s="870">
        <v>200</v>
      </c>
      <c r="FH52" s="870">
        <v>145.93000229340572</v>
      </c>
      <c r="FI52" s="870">
        <v>88.681403834083682</v>
      </c>
      <c r="FJ52" s="870">
        <v>26</v>
      </c>
      <c r="FK52" s="870">
        <f>PPH_Data_Base28[[#This Row],[Differential Pressure Switch]]*2</f>
        <v>52</v>
      </c>
      <c r="FL52" s="870">
        <v>42</v>
      </c>
      <c r="FM52" s="872">
        <f>PPH_Data_Base28[[#This Row],[STD PETRA DIAL DIFF.PRESS.GAUGE NOT DWYER]]*2</f>
        <v>84</v>
      </c>
      <c r="FN52" s="872"/>
      <c r="FO52" s="872">
        <f>PPH_Data_Base28[[#This Row],[Replaceble Filter Drier ]]</f>
        <v>148.5</v>
      </c>
      <c r="FP52" s="872">
        <f>PPH_Data_Base28[[#This Row],[2" Pre-Filter]]*2</f>
        <v>47.44138020991528</v>
      </c>
      <c r="FQ52" s="872">
        <f>PPH_Data_Base28[[#This Row],[Bag Filter EU-8]]</f>
        <v>216.62725959292374</v>
      </c>
      <c r="FR52" s="872"/>
      <c r="FS52" s="872">
        <v>30</v>
      </c>
      <c r="FT52" s="176"/>
      <c r="FU52" s="176"/>
      <c r="FV52" s="176"/>
      <c r="FW52" s="176"/>
      <c r="GW52" s="176"/>
      <c r="GX52" s="176"/>
      <c r="HC52" s="176"/>
    </row>
    <row r="53" spans="1:211">
      <c r="A53" s="780" t="s">
        <v>481</v>
      </c>
      <c r="B53" s="781" t="s">
        <v>1559</v>
      </c>
      <c r="C53" s="781" t="s">
        <v>521</v>
      </c>
      <c r="D53" s="870" t="s">
        <v>1657</v>
      </c>
      <c r="E53" s="870" t="s">
        <v>1053</v>
      </c>
      <c r="F53" s="870" t="s">
        <v>1658</v>
      </c>
      <c r="G53" s="851">
        <v>0</v>
      </c>
      <c r="H53" s="870" t="s">
        <v>2249</v>
      </c>
      <c r="I53" s="781" t="s">
        <v>1554</v>
      </c>
      <c r="J53" s="781" t="s">
        <v>1538</v>
      </c>
      <c r="K53" s="781">
        <v>1</v>
      </c>
      <c r="L53" s="781" t="s">
        <v>568</v>
      </c>
      <c r="M53" s="781">
        <v>2</v>
      </c>
      <c r="N53" s="300">
        <v>2</v>
      </c>
      <c r="O53" s="781">
        <v>18</v>
      </c>
      <c r="P53" s="781">
        <v>9</v>
      </c>
      <c r="Q53" s="781">
        <v>2</v>
      </c>
      <c r="R53" s="781">
        <v>5</v>
      </c>
      <c r="S53" s="781">
        <v>2</v>
      </c>
      <c r="T53" s="781"/>
      <c r="U53" s="781"/>
      <c r="V53" s="781">
        <v>163</v>
      </c>
      <c r="W53" s="781">
        <v>259</v>
      </c>
      <c r="X53" s="870"/>
      <c r="Y53" s="835">
        <v>0</v>
      </c>
      <c r="Z53" s="782">
        <v>4273.2126347639587</v>
      </c>
      <c r="AA53" s="782">
        <v>4526.3812482347757</v>
      </c>
      <c r="AB53" s="870">
        <v>3038.8065194095425</v>
      </c>
      <c r="AC53" s="834">
        <v>0</v>
      </c>
      <c r="AD53" s="781">
        <v>143.71468926553672</v>
      </c>
      <c r="AE53" s="870">
        <v>130.64971751412429</v>
      </c>
      <c r="AF53" s="870">
        <v>130.64971751412429</v>
      </c>
      <c r="AG53" s="870">
        <v>156.77966101694918</v>
      </c>
      <c r="AH53" s="781">
        <v>172.45762711864407</v>
      </c>
      <c r="AI53" s="870">
        <v>156.77966101694918</v>
      </c>
      <c r="AJ53" s="870">
        <v>156.77966101694918</v>
      </c>
      <c r="AK53" s="870">
        <v>188.13559322033899</v>
      </c>
      <c r="AL53" s="870">
        <f>PPH_Data_Base28[[#This Row],[PPH Unit Basic Price With Cu Tube]]*0.05</f>
        <v>226.3190624117388</v>
      </c>
      <c r="AM53" s="781">
        <v>61.798152238657636</v>
      </c>
      <c r="AN53" s="781"/>
      <c r="AO53" s="781"/>
      <c r="AP53" s="781">
        <v>297</v>
      </c>
      <c r="AQ53" s="781">
        <v>270</v>
      </c>
      <c r="AR53" s="781">
        <f t="shared" si="8"/>
        <v>181.5</v>
      </c>
      <c r="AS53" s="781">
        <v>296.58728010813553</v>
      </c>
      <c r="AT53" s="781">
        <v>1453.3532074950506</v>
      </c>
      <c r="AU53" s="781">
        <v>23.72069010495764</v>
      </c>
      <c r="AV53" s="781">
        <v>216.62725959292374</v>
      </c>
      <c r="AW53" s="870">
        <v>1731</v>
      </c>
      <c r="AX53" s="870">
        <v>266</v>
      </c>
      <c r="AY53" s="870">
        <v>976.27345360169488</v>
      </c>
      <c r="AZ53" s="870">
        <v>339.07655867319914</v>
      </c>
      <c r="BA53" s="870"/>
      <c r="BB53" s="870">
        <f>PPH_Data_Base28[[#This Row],[PPH Unit Basic Price With Cu Tube]]*0.1</f>
        <v>452.6381248234776</v>
      </c>
      <c r="BC53" s="870">
        <v>55.505660258417336</v>
      </c>
      <c r="BD53" s="870">
        <v>185.0188675280578</v>
      </c>
      <c r="BE53" s="870">
        <v>61.67295584268593</v>
      </c>
      <c r="BF53" s="870">
        <v>61.67295584268593</v>
      </c>
      <c r="BG53" s="870">
        <v>61.67295584268593</v>
      </c>
      <c r="BH53" s="870">
        <f>PPH_Data_Base28[[#This Row],[PPH Unit Basic Price With Cu Tube]]*0.075</f>
        <v>339.47859361760817</v>
      </c>
      <c r="BI53" s="870">
        <v>185.0188675280578</v>
      </c>
      <c r="BJ53" s="870">
        <v>61.67295584268593</v>
      </c>
      <c r="BK53" s="870">
        <v>61.67295584268593</v>
      </c>
      <c r="BL53" s="870">
        <v>61.67295584268593</v>
      </c>
      <c r="BM53" s="781">
        <f>PPH_Data_Base28[[#This Row],[Total Condenser Coil Area]]*Naming!$M$62*4</f>
        <v>1612.8</v>
      </c>
      <c r="BN53" s="781">
        <f>PPH_Data_Base28[[#This Row],[Total Evaporator  Coil Area]]*Naming!$M$62*4</f>
        <v>806.4</v>
      </c>
      <c r="BO53" s="781">
        <f>PPH_Data_Base28[[#This Row],[Total Condenser Coil Area]]*Naming!$D$61*4</f>
        <v>24.48</v>
      </c>
      <c r="BP53" s="781">
        <f>PPH_Data_Base28[[#This Row],[Total Evaporator  Coil Area]]*Naming!$D$61*6</f>
        <v>18.36</v>
      </c>
      <c r="BQ53" s="781">
        <f>$G$195*PPH_Data_Base28[[#This Row],[Total Evaporator  Coil Area]]</f>
        <v>40.5</v>
      </c>
      <c r="BR53" s="781">
        <f>$G$199*PPH_Data_Base28[[#This Row],[Total Evaporator  Coil Area]]</f>
        <v>61.199999999999996</v>
      </c>
      <c r="BS53" s="781">
        <f>$E$185*PPH_Data_Base28[[#This Row],[Total Evaporator  Coil Area]]</f>
        <v>180</v>
      </c>
      <c r="BT53" s="781">
        <f>$E$188*PPH_Data_Base28[[#This Row],[Total Evaporator  Coil Area]]</f>
        <v>252</v>
      </c>
      <c r="BU53" s="781">
        <f>$G$195*PPH_Data_Base28[[#This Row],[Total Condenser Coil Area]]</f>
        <v>81</v>
      </c>
      <c r="BV53" s="781">
        <f>$G$199*PPH_Data_Base28[[#This Row],[Total Condenser Coil Area]]</f>
        <v>122.39999999999999</v>
      </c>
      <c r="BW53" s="781">
        <f>$E$185*PPH_Data_Base28[[#This Row],[Total Condenser Coil Area]]</f>
        <v>360</v>
      </c>
      <c r="BX53" s="781">
        <f>$E$188*PPH_Data_Base28[[#This Row],[Total Condenser Coil Area]]</f>
        <v>504</v>
      </c>
      <c r="BY53" s="781">
        <v>164.49451675364747</v>
      </c>
      <c r="BZ53" s="870">
        <v>101.83257852254236</v>
      </c>
      <c r="CA53" s="870"/>
      <c r="CB53" s="870"/>
      <c r="CC53" s="870">
        <v>74.152542372881356</v>
      </c>
      <c r="CD53" s="870">
        <f t="shared" si="7"/>
        <v>72.033898305084804</v>
      </c>
      <c r="CE53" s="870">
        <v>20</v>
      </c>
      <c r="CF53" s="832">
        <v>0</v>
      </c>
      <c r="CG53" s="870">
        <f>PPH_Data_Base28[[#This Row],[PPH Unit Basic Price With Cu Tube]]*0.25</f>
        <v>1131.5953120586939</v>
      </c>
      <c r="CH53" s="870">
        <f>PPH_Data_Base28[[#This Row],[DSP Unit Basic Price With Cu Tube]]*0.35</f>
        <v>1063.5822817933399</v>
      </c>
      <c r="CI53" s="781">
        <v>178.38071228813561</v>
      </c>
      <c r="CJ53" s="781">
        <v>259.54695762711867</v>
      </c>
      <c r="CK53" s="781">
        <v>37.192477542372885</v>
      </c>
      <c r="CL53" s="781">
        <f>110*1.35*PPH_Data_Base28[[#This Row],[No. of Unit  Compressors]]</f>
        <v>297</v>
      </c>
      <c r="CM53" s="870">
        <v>101.6949152542373</v>
      </c>
      <c r="CN53" s="781">
        <v>72.033898305084747</v>
      </c>
      <c r="CO53" s="870">
        <v>247.72664406779666</v>
      </c>
      <c r="CP53" s="781">
        <v>111.74139378531072</v>
      </c>
      <c r="CQ53" s="870">
        <v>113.29948460451978</v>
      </c>
      <c r="CR53" s="781">
        <v>245.51832203389827</v>
      </c>
      <c r="CS53" s="870">
        <v>508.46715084745773</v>
      </c>
      <c r="CT53" s="781">
        <v>865.11299435028252</v>
      </c>
      <c r="CU53" s="870">
        <v>184.31171186440676</v>
      </c>
      <c r="CV53" s="870">
        <v>497.17514124293785</v>
      </c>
      <c r="CW53" s="781">
        <f>400*1.35*PPH_Data_Base28[[#This Row],[No. of Unit  Compressors]]</f>
        <v>1080</v>
      </c>
      <c r="CX53" s="835"/>
      <c r="CY53" s="871">
        <f>47*PPH_Data_Base28[[#This Row],[No. of Unit  Compressors]]*1.35</f>
        <v>126.9</v>
      </c>
      <c r="CZ53" s="871">
        <f>30*1.35*PPH_Data_Base28[[#This Row],[NO Condenser Fans]]</f>
        <v>81</v>
      </c>
      <c r="DA53" s="781">
        <f>INDEX($B$136:$F$154,MATCH(PPH_Data_Base28[[#This Row],[STD Supply Fan Motor]],$B$136:$B$154,0),5)*PPH_Data_Base28[[#This Row],[Fan QTY]]</f>
        <v>36.69975367231639</v>
      </c>
      <c r="DB53" s="871">
        <f>47*1.35*PPH_Data_Base28[[#This Row],[No. of Unit  Compressors]]</f>
        <v>126.9</v>
      </c>
      <c r="DC53" s="871">
        <f>28*PPH_Data_Base28[[#This Row],[NO Condenser Fans]]</f>
        <v>56</v>
      </c>
      <c r="DD53" s="781">
        <f>INDEX($B$136:$F$154,MATCH(PPH_Data_Base28[[#This Row],[STD Supply Fan Motor]],$B$136:$B$154,0),3)*PPH_Data_Base28[[#This Row],[Fan QTY]]</f>
        <v>24.627741525423726</v>
      </c>
      <c r="DE53" s="870">
        <f>INDEX($B$114:$C$131,MATCH(PPH_Data_Base28[[#This Row],[Compressor 1 HP]],$B$114:$B$131,0),2)*PPH_Data_Base28[[#This Row],[Compressor 1 QTY]]+IFERROR(INDEX($B$114:$C$131,MATCH(PPH_Data_Base28[[#This Row],[Compressor 2 HP]],$B$114:$B$131,0),2)*PPH_Data_Base28[[#This Row],[Compressor 2 QTY]],0)</f>
        <v>60</v>
      </c>
      <c r="DF53" s="870">
        <f>38*PPH_Data_Base28[[#This Row],[NO Condenser Fans]]</f>
        <v>76</v>
      </c>
      <c r="DG53" s="870">
        <f>INDEX($B$136:$F$154,MATCH(PPH_Data_Base28[[#This Row],[STD Supply Fan Motor]],$B$136:$B$154,0),5)*PPH_Data_Base28[[#This Row],[Fan QTY]]</f>
        <v>36.69975367231639</v>
      </c>
      <c r="DH53" s="781">
        <v>139.83050847457628</v>
      </c>
      <c r="DI53" s="781">
        <v>58.262711864406782</v>
      </c>
      <c r="DJ53" s="870">
        <v>2600</v>
      </c>
      <c r="DK53" s="870">
        <v>5200</v>
      </c>
      <c r="DL53" s="870">
        <v>905</v>
      </c>
      <c r="DM53" s="870">
        <v>564.9717514124294</v>
      </c>
      <c r="DN53" s="870">
        <v>213.2530350282486</v>
      </c>
      <c r="DO53" s="870"/>
      <c r="DP53" s="870">
        <v>173.0225988700565</v>
      </c>
      <c r="DQ53" s="870">
        <v>173.0225988700565</v>
      </c>
      <c r="DR53" s="870">
        <v>173.0225988700565</v>
      </c>
      <c r="DS53" s="870"/>
      <c r="DT53" s="870">
        <f>PPH_Data_Base28[[#This Row],[NO Condenser Fans]]*350</f>
        <v>700</v>
      </c>
      <c r="DU53" s="870">
        <v>238.27442754237299</v>
      </c>
      <c r="DV53" s="870">
        <f>150*PPH_Data_Base28[[#This Row],[NO Condenser Fans]]</f>
        <v>300</v>
      </c>
      <c r="DW53" s="781">
        <v>757.4152542372882</v>
      </c>
      <c r="DX53" s="781">
        <v>250</v>
      </c>
      <c r="DY53" s="870">
        <v>700</v>
      </c>
      <c r="DZ53" s="870">
        <v>100</v>
      </c>
      <c r="EA53" s="870">
        <v>540</v>
      </c>
      <c r="EB53" s="870">
        <v>4.186805084745763</v>
      </c>
      <c r="EC53" s="870">
        <v>23.305084745762713</v>
      </c>
      <c r="ED53" s="870">
        <v>56.080321186440685</v>
      </c>
      <c r="EE53" s="870"/>
      <c r="EF53" s="870"/>
      <c r="EG53" s="870"/>
      <c r="EH53" s="870"/>
      <c r="EI53" s="870"/>
      <c r="EJ53" s="870"/>
      <c r="EK53" s="870"/>
      <c r="EL53" s="870"/>
      <c r="EM53" s="870"/>
      <c r="EN53" s="870"/>
      <c r="EO53" s="870"/>
      <c r="EP53" s="870"/>
      <c r="EQ53" s="870"/>
      <c r="ER53" s="870"/>
      <c r="ES53" s="870"/>
      <c r="ET53" s="870"/>
      <c r="EU53" s="870">
        <v>203</v>
      </c>
      <c r="EV53" s="870">
        <v>250</v>
      </c>
      <c r="EW53" s="847"/>
      <c r="EX53" s="781">
        <v>46.384451977401142</v>
      </c>
      <c r="EY53" s="781">
        <v>333.11975593220342</v>
      </c>
      <c r="EZ53" s="870">
        <v>19.209039548022599</v>
      </c>
      <c r="FA53" s="870">
        <v>40</v>
      </c>
      <c r="FB53" s="870">
        <v>40</v>
      </c>
      <c r="FC53" s="870">
        <v>24</v>
      </c>
      <c r="FD53" s="870">
        <v>24</v>
      </c>
      <c r="FE53" s="870">
        <v>19.774011299435031</v>
      </c>
      <c r="FF53" s="870">
        <v>26.129943502824862</v>
      </c>
      <c r="FG53" s="870">
        <v>200</v>
      </c>
      <c r="FH53" s="870">
        <v>145.93000229340572</v>
      </c>
      <c r="FI53" s="870">
        <v>88.681403834083682</v>
      </c>
      <c r="FJ53" s="870">
        <v>26</v>
      </c>
      <c r="FK53" s="870">
        <f>PPH_Data_Base28[[#This Row],[Differential Pressure Switch]]*2</f>
        <v>52</v>
      </c>
      <c r="FL53" s="870">
        <v>42</v>
      </c>
      <c r="FM53" s="872">
        <f>PPH_Data_Base28[[#This Row],[STD PETRA DIAL DIFF.PRESS.GAUGE NOT DWYER]]*2</f>
        <v>84</v>
      </c>
      <c r="FN53" s="872"/>
      <c r="FO53" s="872">
        <f>PPH_Data_Base28[[#This Row],[Replaceble Filter Drier ]]</f>
        <v>297</v>
      </c>
      <c r="FP53" s="872">
        <f>PPH_Data_Base28[[#This Row],[2" Pre-Filter]]*2</f>
        <v>47.44138020991528</v>
      </c>
      <c r="FQ53" s="872">
        <f>PPH_Data_Base28[[#This Row],[Bag Filter EU-8]]</f>
        <v>216.62725959292374</v>
      </c>
      <c r="FR53" s="872"/>
      <c r="FS53" s="872">
        <v>30</v>
      </c>
      <c r="FT53" s="176"/>
      <c r="FU53" s="176"/>
      <c r="FV53" s="176"/>
      <c r="FW53" s="176"/>
      <c r="GW53" s="176"/>
      <c r="GX53" s="176"/>
      <c r="HC53" s="176"/>
    </row>
    <row r="54" spans="1:211">
      <c r="A54" s="780" t="s">
        <v>482</v>
      </c>
      <c r="B54" s="781" t="s">
        <v>1563</v>
      </c>
      <c r="C54" s="781" t="s">
        <v>522</v>
      </c>
      <c r="D54" s="870" t="s">
        <v>1659</v>
      </c>
      <c r="E54" s="870" t="s">
        <v>1564</v>
      </c>
      <c r="F54" s="870" t="s">
        <v>1660</v>
      </c>
      <c r="G54" s="851">
        <v>0</v>
      </c>
      <c r="H54" s="870" t="s">
        <v>2249</v>
      </c>
      <c r="I54" s="781" t="s">
        <v>1554</v>
      </c>
      <c r="J54" s="781" t="s">
        <v>1562</v>
      </c>
      <c r="K54" s="781">
        <v>1</v>
      </c>
      <c r="L54" s="781" t="s">
        <v>568</v>
      </c>
      <c r="M54" s="781">
        <v>2</v>
      </c>
      <c r="N54" s="300">
        <v>2</v>
      </c>
      <c r="O54" s="781">
        <v>18</v>
      </c>
      <c r="P54" s="781">
        <v>9</v>
      </c>
      <c r="Q54" s="781">
        <v>1</v>
      </c>
      <c r="R54" s="781">
        <v>12</v>
      </c>
      <c r="S54" s="781">
        <v>1</v>
      </c>
      <c r="T54" s="781"/>
      <c r="U54" s="781"/>
      <c r="V54" s="781">
        <v>163</v>
      </c>
      <c r="W54" s="781">
        <v>383</v>
      </c>
      <c r="X54" s="870"/>
      <c r="Y54" s="835">
        <v>0</v>
      </c>
      <c r="Z54" s="782">
        <v>4420.3328866179272</v>
      </c>
      <c r="AA54" s="782">
        <v>4844.7075719005834</v>
      </c>
      <c r="AB54" s="870">
        <v>3331.9987938345389</v>
      </c>
      <c r="AC54" s="834">
        <v>0</v>
      </c>
      <c r="AD54" s="781">
        <v>143.71468926553672</v>
      </c>
      <c r="AE54" s="870">
        <v>130.64971751412429</v>
      </c>
      <c r="AF54" s="870">
        <v>130.64971751412429</v>
      </c>
      <c r="AG54" s="870">
        <v>156.77966101694918</v>
      </c>
      <c r="AH54" s="781">
        <v>172.45762711864407</v>
      </c>
      <c r="AI54" s="870">
        <v>156.77966101694918</v>
      </c>
      <c r="AJ54" s="870">
        <v>156.77966101694918</v>
      </c>
      <c r="AK54" s="870">
        <v>188.13559322033899</v>
      </c>
      <c r="AL54" s="870">
        <f>PPH_Data_Base28[[#This Row],[PPH Unit Basic Price With Cu Tube]]*0.05</f>
        <v>242.23537859502918</v>
      </c>
      <c r="AM54" s="781">
        <v>61.798152238657636</v>
      </c>
      <c r="AN54" s="781"/>
      <c r="AO54" s="781"/>
      <c r="AP54" s="781">
        <v>297</v>
      </c>
      <c r="AQ54" s="781">
        <v>295.65000000000003</v>
      </c>
      <c r="AR54" s="781">
        <f t="shared" si="8"/>
        <v>181.5</v>
      </c>
      <c r="AS54" s="781">
        <v>296.58728010813553</v>
      </c>
      <c r="AT54" s="781">
        <v>1453.3532074950506</v>
      </c>
      <c r="AU54" s="781">
        <v>23.72069010495764</v>
      </c>
      <c r="AV54" s="781">
        <v>216.62725959292374</v>
      </c>
      <c r="AW54" s="870">
        <v>2157</v>
      </c>
      <c r="AX54" s="870">
        <v>266</v>
      </c>
      <c r="AY54" s="870">
        <v>976.27345360169488</v>
      </c>
      <c r="AZ54" s="870">
        <v>339.07655867319914</v>
      </c>
      <c r="BA54" s="870"/>
      <c r="BB54" s="870">
        <f>PPH_Data_Base28[[#This Row],[PPH Unit Basic Price With Cu Tube]]*0.1</f>
        <v>484.47075719005835</v>
      </c>
      <c r="BC54" s="870">
        <v>55.33657396122004</v>
      </c>
      <c r="BD54" s="870">
        <v>184.45524653740014</v>
      </c>
      <c r="BE54" s="870">
        <v>61.485082179133379</v>
      </c>
      <c r="BF54" s="870">
        <v>61.485082179133379</v>
      </c>
      <c r="BG54" s="870">
        <v>61.485082179133379</v>
      </c>
      <c r="BH54" s="870">
        <f>PPH_Data_Base28[[#This Row],[PPH Unit Basic Price With Cu Tube]]*0.075</f>
        <v>363.35306789254372</v>
      </c>
      <c r="BI54" s="870">
        <v>184.45524653740014</v>
      </c>
      <c r="BJ54" s="870">
        <v>61.485082179133379</v>
      </c>
      <c r="BK54" s="870">
        <v>61.485082179133379</v>
      </c>
      <c r="BL54" s="870">
        <v>61.485082179133379</v>
      </c>
      <c r="BM54" s="781">
        <f>PPH_Data_Base28[[#This Row],[Total Condenser Coil Area]]*Naming!$M$62*4</f>
        <v>1612.8</v>
      </c>
      <c r="BN54" s="781">
        <f>PPH_Data_Base28[[#This Row],[Total Evaporator  Coil Area]]*Naming!$M$62*4</f>
        <v>806.4</v>
      </c>
      <c r="BO54" s="781">
        <f>PPH_Data_Base28[[#This Row],[Total Condenser Coil Area]]*Naming!$D$61*4</f>
        <v>24.48</v>
      </c>
      <c r="BP54" s="781">
        <f>PPH_Data_Base28[[#This Row],[Total Evaporator  Coil Area]]*Naming!$D$61*6</f>
        <v>18.36</v>
      </c>
      <c r="BQ54" s="781">
        <f>$G$195*PPH_Data_Base28[[#This Row],[Total Evaporator  Coil Area]]</f>
        <v>40.5</v>
      </c>
      <c r="BR54" s="781">
        <f>$G$199*PPH_Data_Base28[[#This Row],[Total Evaporator  Coil Area]]</f>
        <v>61.199999999999996</v>
      </c>
      <c r="BS54" s="781">
        <f>$E$185*PPH_Data_Base28[[#This Row],[Total Evaporator  Coil Area]]</f>
        <v>180</v>
      </c>
      <c r="BT54" s="781">
        <f>$E$188*PPH_Data_Base28[[#This Row],[Total Evaporator  Coil Area]]</f>
        <v>252</v>
      </c>
      <c r="BU54" s="781">
        <f>$G$195*PPH_Data_Base28[[#This Row],[Total Condenser Coil Area]]</f>
        <v>81</v>
      </c>
      <c r="BV54" s="781">
        <f>$G$199*PPH_Data_Base28[[#This Row],[Total Condenser Coil Area]]</f>
        <v>122.39999999999999</v>
      </c>
      <c r="BW54" s="781">
        <f>$E$185*PPH_Data_Base28[[#This Row],[Total Condenser Coil Area]]</f>
        <v>360</v>
      </c>
      <c r="BX54" s="781">
        <f>$E$188*PPH_Data_Base28[[#This Row],[Total Condenser Coil Area]]</f>
        <v>504</v>
      </c>
      <c r="BY54" s="781">
        <v>164.49451675364747</v>
      </c>
      <c r="BZ54" s="870">
        <v>101.83257852254236</v>
      </c>
      <c r="CA54" s="870"/>
      <c r="CB54" s="870"/>
      <c r="CC54" s="870">
        <v>98.870056497175142</v>
      </c>
      <c r="CD54" s="870">
        <f>2*48.0225988700565</f>
        <v>96.045197740112997</v>
      </c>
      <c r="CE54" s="870">
        <v>20</v>
      </c>
      <c r="CF54" s="832">
        <v>0</v>
      </c>
      <c r="CG54" s="870">
        <f>PPH_Data_Base28[[#This Row],[PPH Unit Basic Price With Cu Tube]]*0.25</f>
        <v>1211.1768929751458</v>
      </c>
      <c r="CH54" s="870">
        <f>PPH_Data_Base28[[#This Row],[DSP Unit Basic Price With Cu Tube]]*0.35</f>
        <v>1166.1995778420885</v>
      </c>
      <c r="CI54" s="781">
        <v>89.190356144067806</v>
      </c>
      <c r="CJ54" s="781">
        <v>129.77347881355934</v>
      </c>
      <c r="CK54" s="781">
        <v>18.596238771186442</v>
      </c>
      <c r="CL54" s="781">
        <f>110*1.35*PPH_Data_Base28[[#This Row],[No. of Unit  Compressors]]</f>
        <v>148.5</v>
      </c>
      <c r="CM54" s="870">
        <v>50.847457627118651</v>
      </c>
      <c r="CN54" s="781">
        <v>52.824858757062145</v>
      </c>
      <c r="CO54" s="870">
        <v>0</v>
      </c>
      <c r="CP54" s="781">
        <v>86.306595268361576</v>
      </c>
      <c r="CQ54" s="870">
        <v>128.36872401129943</v>
      </c>
      <c r="CR54" s="781">
        <v>245.51832203389827</v>
      </c>
      <c r="CS54" s="870">
        <v>430.5804811652543</v>
      </c>
      <c r="CT54" s="781">
        <v>432.55649717514126</v>
      </c>
      <c r="CU54" s="870">
        <v>92.15585593220338</v>
      </c>
      <c r="CV54" s="870">
        <v>248.58757062146893</v>
      </c>
      <c r="CW54" s="781">
        <f>400*1.35*PPH_Data_Base28[[#This Row],[No. of Unit  Compressors]]</f>
        <v>540</v>
      </c>
      <c r="CX54" s="835"/>
      <c r="CY54" s="871">
        <f>47*PPH_Data_Base28[[#This Row],[No. of Unit  Compressors]]*1.35</f>
        <v>63.45</v>
      </c>
      <c r="CZ54" s="871">
        <f>30*1.35*PPH_Data_Base28[[#This Row],[NO Condenser Fans]]</f>
        <v>81</v>
      </c>
      <c r="DA54" s="781">
        <f>INDEX($B$136:$F$154,MATCH(PPH_Data_Base28[[#This Row],[STD Supply Fan Motor]],$B$136:$B$154,0),5)*PPH_Data_Base28[[#This Row],[Fan QTY]]</f>
        <v>36.69975367231639</v>
      </c>
      <c r="DB54" s="871">
        <f>47*1.35*PPH_Data_Base28[[#This Row],[No. of Unit  Compressors]]</f>
        <v>63.45</v>
      </c>
      <c r="DC54" s="871">
        <f>28*PPH_Data_Base28[[#This Row],[NO Condenser Fans]]</f>
        <v>56</v>
      </c>
      <c r="DD54" s="781">
        <f>INDEX($B$136:$F$154,MATCH(PPH_Data_Base28[[#This Row],[STD Supply Fan Motor]],$B$136:$B$154,0),3)*PPH_Data_Base28[[#This Row],[Fan QTY]]</f>
        <v>24.627741525423726</v>
      </c>
      <c r="DE54" s="870">
        <f>INDEX($B$114:$C$131,MATCH(PPH_Data_Base28[[#This Row],[Compressor 1 HP]],$B$114:$B$131,0),2)*PPH_Data_Base28[[#This Row],[Compressor 1 QTY]]+IFERROR(INDEX($B$114:$C$131,MATCH(PPH_Data_Base28[[#This Row],[Compressor 2 HP]],$B$114:$B$131,0),2)*PPH_Data_Base28[[#This Row],[Compressor 2 QTY]],0)</f>
        <v>54</v>
      </c>
      <c r="DF54" s="870">
        <f>38*PPH_Data_Base28[[#This Row],[NO Condenser Fans]]</f>
        <v>76</v>
      </c>
      <c r="DG54" s="870">
        <f>INDEX($B$136:$F$154,MATCH(PPH_Data_Base28[[#This Row],[STD Supply Fan Motor]],$B$136:$B$154,0),5)*PPH_Data_Base28[[#This Row],[Fan QTY]]</f>
        <v>36.69975367231639</v>
      </c>
      <c r="DH54" s="781">
        <v>139.83050847457628</v>
      </c>
      <c r="DI54" s="781">
        <v>58.262711864406782</v>
      </c>
      <c r="DJ54" s="870">
        <v>3000</v>
      </c>
      <c r="DK54" s="870">
        <v>3000</v>
      </c>
      <c r="DL54" s="870">
        <v>1699</v>
      </c>
      <c r="DM54" s="870">
        <v>564.9717514124294</v>
      </c>
      <c r="DN54" s="870">
        <v>213.2530350282486</v>
      </c>
      <c r="DO54" s="870"/>
      <c r="DP54" s="870">
        <v>173.0225988700565</v>
      </c>
      <c r="DQ54" s="870">
        <v>173.0225988700565</v>
      </c>
      <c r="DR54" s="870">
        <v>173.0225988700565</v>
      </c>
      <c r="DS54" s="870"/>
      <c r="DT54" s="870">
        <f>PPH_Data_Base28[[#This Row],[NO Condenser Fans]]*350</f>
        <v>700</v>
      </c>
      <c r="DU54" s="870">
        <v>238.27442754237299</v>
      </c>
      <c r="DV54" s="870">
        <f>150*PPH_Data_Base28[[#This Row],[NO Condenser Fans]]</f>
        <v>300</v>
      </c>
      <c r="DW54" s="781">
        <v>757.4152542372882</v>
      </c>
      <c r="DX54" s="781">
        <v>250</v>
      </c>
      <c r="DY54" s="870">
        <v>700</v>
      </c>
      <c r="DZ54" s="870">
        <v>100</v>
      </c>
      <c r="EA54" s="870">
        <v>540</v>
      </c>
      <c r="EB54" s="870">
        <v>4.186805084745763</v>
      </c>
      <c r="EC54" s="870">
        <v>23.305084745762713</v>
      </c>
      <c r="ED54" s="870">
        <v>56.080321186440685</v>
      </c>
      <c r="EE54" s="870"/>
      <c r="EF54" s="870"/>
      <c r="EG54" s="870"/>
      <c r="EH54" s="870"/>
      <c r="EI54" s="870"/>
      <c r="EJ54" s="870"/>
      <c r="EK54" s="870"/>
      <c r="EL54" s="870"/>
      <c r="EM54" s="870"/>
      <c r="EN54" s="870"/>
      <c r="EO54" s="870"/>
      <c r="EP54" s="870"/>
      <c r="EQ54" s="870"/>
      <c r="ER54" s="870"/>
      <c r="ES54" s="870"/>
      <c r="ET54" s="870"/>
      <c r="EU54" s="870">
        <v>203</v>
      </c>
      <c r="EV54" s="870">
        <v>250</v>
      </c>
      <c r="EW54" s="847"/>
      <c r="EX54" s="781">
        <v>46.384451977401142</v>
      </c>
      <c r="EY54" s="781">
        <v>333.11975593220342</v>
      </c>
      <c r="EZ54" s="870">
        <v>19.209039548022599</v>
      </c>
      <c r="FA54" s="870">
        <v>40</v>
      </c>
      <c r="FB54" s="870">
        <v>40</v>
      </c>
      <c r="FC54" s="870">
        <v>24</v>
      </c>
      <c r="FD54" s="870">
        <v>24</v>
      </c>
      <c r="FE54" s="870">
        <v>19.774011299435031</v>
      </c>
      <c r="FF54" s="870">
        <v>26.129943502824862</v>
      </c>
      <c r="FG54" s="870">
        <v>200</v>
      </c>
      <c r="FH54" s="870">
        <v>145.93000229340572</v>
      </c>
      <c r="FI54" s="870">
        <v>88.681403834083682</v>
      </c>
      <c r="FJ54" s="870">
        <v>26</v>
      </c>
      <c r="FK54" s="870">
        <f>PPH_Data_Base28[[#This Row],[Differential Pressure Switch]]*2</f>
        <v>52</v>
      </c>
      <c r="FL54" s="870">
        <v>42</v>
      </c>
      <c r="FM54" s="872">
        <f>PPH_Data_Base28[[#This Row],[STD PETRA DIAL DIFF.PRESS.GAUGE NOT DWYER]]*2</f>
        <v>84</v>
      </c>
      <c r="FN54" s="872"/>
      <c r="FO54" s="872">
        <f>PPH_Data_Base28[[#This Row],[Replaceble Filter Drier ]]</f>
        <v>148.5</v>
      </c>
      <c r="FP54" s="872">
        <f>PPH_Data_Base28[[#This Row],[2" Pre-Filter]]*2</f>
        <v>47.44138020991528</v>
      </c>
      <c r="FQ54" s="872">
        <f>PPH_Data_Base28[[#This Row],[Bag Filter EU-8]]</f>
        <v>216.62725959292374</v>
      </c>
      <c r="FR54" s="872"/>
      <c r="FS54" s="872">
        <v>30</v>
      </c>
      <c r="FT54" s="176"/>
      <c r="FU54" s="176"/>
      <c r="FV54" s="176"/>
      <c r="FW54" s="176"/>
      <c r="GW54" s="176"/>
      <c r="GX54" s="176"/>
      <c r="HC54" s="176"/>
    </row>
    <row r="55" spans="1:211">
      <c r="A55" s="780" t="s">
        <v>483</v>
      </c>
      <c r="B55" s="781" t="s">
        <v>1567</v>
      </c>
      <c r="C55" s="781" t="s">
        <v>523</v>
      </c>
      <c r="D55" s="870" t="s">
        <v>1661</v>
      </c>
      <c r="E55" s="870" t="s">
        <v>1568</v>
      </c>
      <c r="F55" s="870" t="s">
        <v>1662</v>
      </c>
      <c r="G55" s="851">
        <v>0</v>
      </c>
      <c r="H55" s="870" t="s">
        <v>2249</v>
      </c>
      <c r="I55" s="781" t="s">
        <v>1554</v>
      </c>
      <c r="J55" s="781" t="s">
        <v>1562</v>
      </c>
      <c r="K55" s="781">
        <v>1</v>
      </c>
      <c r="L55" s="781" t="s">
        <v>568</v>
      </c>
      <c r="M55" s="781">
        <v>2</v>
      </c>
      <c r="N55" s="300">
        <v>2</v>
      </c>
      <c r="O55" s="781">
        <v>18</v>
      </c>
      <c r="P55" s="781">
        <v>9</v>
      </c>
      <c r="Q55" s="781">
        <v>2</v>
      </c>
      <c r="R55" s="781">
        <v>7</v>
      </c>
      <c r="S55" s="781">
        <v>1</v>
      </c>
      <c r="T55" s="781">
        <v>5</v>
      </c>
      <c r="U55" s="781">
        <v>1</v>
      </c>
      <c r="V55" s="781">
        <v>163</v>
      </c>
      <c r="W55" s="781">
        <v>383</v>
      </c>
      <c r="X55" s="870"/>
      <c r="Y55" s="835">
        <v>0</v>
      </c>
      <c r="Z55" s="782">
        <v>5203.8484627271691</v>
      </c>
      <c r="AA55" s="782">
        <v>5669.74081483388</v>
      </c>
      <c r="AB55" s="870">
        <v>4006.1013395272871</v>
      </c>
      <c r="AC55" s="834">
        <v>0</v>
      </c>
      <c r="AD55" s="781">
        <v>143.71468926553672</v>
      </c>
      <c r="AE55" s="870">
        <v>130.64971751412429</v>
      </c>
      <c r="AF55" s="870">
        <v>130.64971751412429</v>
      </c>
      <c r="AG55" s="870">
        <v>156.77966101694918</v>
      </c>
      <c r="AH55" s="781">
        <v>172.45762711864407</v>
      </c>
      <c r="AI55" s="870">
        <v>156.77966101694918</v>
      </c>
      <c r="AJ55" s="870">
        <v>156.77966101694918</v>
      </c>
      <c r="AK55" s="870">
        <v>188.13559322033899</v>
      </c>
      <c r="AL55" s="870">
        <f>PPH_Data_Base28[[#This Row],[PPH Unit Basic Price With Cu Tube]]*0.05</f>
        <v>283.48704074169399</v>
      </c>
      <c r="AM55" s="781">
        <v>61.798152238657636</v>
      </c>
      <c r="AN55" s="781"/>
      <c r="AO55" s="781"/>
      <c r="AP55" s="781">
        <v>297</v>
      </c>
      <c r="AQ55" s="781">
        <v>295.65000000000003</v>
      </c>
      <c r="AR55" s="781">
        <f t="shared" si="8"/>
        <v>181.5</v>
      </c>
      <c r="AS55" s="781">
        <v>296.58728010813553</v>
      </c>
      <c r="AT55" s="781">
        <v>1453.3532074950506</v>
      </c>
      <c r="AU55" s="781">
        <v>23.72069010495764</v>
      </c>
      <c r="AV55" s="781">
        <v>216.62725959292374</v>
      </c>
      <c r="AW55" s="870">
        <v>2157</v>
      </c>
      <c r="AX55" s="870">
        <v>266</v>
      </c>
      <c r="AY55" s="870">
        <v>976.27345360169488</v>
      </c>
      <c r="AZ55" s="870">
        <v>339.07655867319914</v>
      </c>
      <c r="BA55" s="870"/>
      <c r="BB55" s="870">
        <f>PPH_Data_Base28[[#This Row],[PPH Unit Basic Price With Cu Tube]]*0.1</f>
        <v>566.97408148338798</v>
      </c>
      <c r="BC55" s="870">
        <v>63.764808847869205</v>
      </c>
      <c r="BD55" s="870">
        <v>212.54936282623069</v>
      </c>
      <c r="BE55" s="870">
        <v>70.849787608743569</v>
      </c>
      <c r="BF55" s="870">
        <v>70.849787608743569</v>
      </c>
      <c r="BG55" s="870">
        <v>70.849787608743569</v>
      </c>
      <c r="BH55" s="870">
        <f>PPH_Data_Base28[[#This Row],[PPH Unit Basic Price With Cu Tube]]*0.075</f>
        <v>425.23056111254101</v>
      </c>
      <c r="BI55" s="870">
        <v>212.54936282623069</v>
      </c>
      <c r="BJ55" s="870">
        <v>70.849787608743569</v>
      </c>
      <c r="BK55" s="870">
        <v>70.849787608743569</v>
      </c>
      <c r="BL55" s="870">
        <v>70.849787608743569</v>
      </c>
      <c r="BM55" s="781">
        <f>PPH_Data_Base28[[#This Row],[Total Condenser Coil Area]]*Naming!$M$62*4</f>
        <v>1612.8</v>
      </c>
      <c r="BN55" s="781">
        <f>PPH_Data_Base28[[#This Row],[Total Evaporator  Coil Area]]*Naming!$M$62*4</f>
        <v>806.4</v>
      </c>
      <c r="BO55" s="781">
        <f>PPH_Data_Base28[[#This Row],[Total Condenser Coil Area]]*Naming!$D$61*4</f>
        <v>24.48</v>
      </c>
      <c r="BP55" s="781">
        <f>PPH_Data_Base28[[#This Row],[Total Evaporator  Coil Area]]*Naming!$D$61*6</f>
        <v>18.36</v>
      </c>
      <c r="BQ55" s="781">
        <f>$G$195*PPH_Data_Base28[[#This Row],[Total Evaporator  Coil Area]]</f>
        <v>40.5</v>
      </c>
      <c r="BR55" s="781">
        <f>$G$199*PPH_Data_Base28[[#This Row],[Total Evaporator  Coil Area]]</f>
        <v>61.199999999999996</v>
      </c>
      <c r="BS55" s="781">
        <f>$E$185*PPH_Data_Base28[[#This Row],[Total Evaporator  Coil Area]]</f>
        <v>180</v>
      </c>
      <c r="BT55" s="781">
        <f>$E$188*PPH_Data_Base28[[#This Row],[Total Evaporator  Coil Area]]</f>
        <v>252</v>
      </c>
      <c r="BU55" s="781">
        <f>$G$195*PPH_Data_Base28[[#This Row],[Total Condenser Coil Area]]</f>
        <v>81</v>
      </c>
      <c r="BV55" s="781">
        <f>$G$199*PPH_Data_Base28[[#This Row],[Total Condenser Coil Area]]</f>
        <v>122.39999999999999</v>
      </c>
      <c r="BW55" s="781">
        <f>$E$185*PPH_Data_Base28[[#This Row],[Total Condenser Coil Area]]</f>
        <v>360</v>
      </c>
      <c r="BX55" s="781">
        <f>$E$188*PPH_Data_Base28[[#This Row],[Total Condenser Coil Area]]</f>
        <v>504</v>
      </c>
      <c r="BY55" s="781">
        <v>164.49451675364747</v>
      </c>
      <c r="BZ55" s="870">
        <v>101.83257852254236</v>
      </c>
      <c r="CA55" s="870"/>
      <c r="CB55" s="870"/>
      <c r="CC55" s="870">
        <v>98.870056497175142</v>
      </c>
      <c r="CD55" s="870">
        <f t="shared" ref="CD55:CD63" si="9">2*48.0225988700565</f>
        <v>96.045197740112997</v>
      </c>
      <c r="CE55" s="870">
        <v>20</v>
      </c>
      <c r="CF55" s="832">
        <v>0</v>
      </c>
      <c r="CG55" s="870">
        <f>PPH_Data_Base28[[#This Row],[PPH Unit Basic Price With Cu Tube]]*0.25</f>
        <v>1417.43520370847</v>
      </c>
      <c r="CH55" s="870">
        <f>PPH_Data_Base28[[#This Row],[DSP Unit Basic Price With Cu Tube]]*0.35</f>
        <v>1402.1354688345505</v>
      </c>
      <c r="CI55" s="781">
        <v>178.38071228813561</v>
      </c>
      <c r="CJ55" s="781">
        <v>259.54695762711867</v>
      </c>
      <c r="CK55" s="781">
        <v>37.192477542372885</v>
      </c>
      <c r="CL55" s="781">
        <f>110*1.35*PPH_Data_Base28[[#This Row],[No. of Unit  Compressors]]</f>
        <v>297</v>
      </c>
      <c r="CM55" s="870">
        <v>101.6949152542373</v>
      </c>
      <c r="CN55" s="781">
        <v>88.841807909604526</v>
      </c>
      <c r="CO55" s="870">
        <v>123.86332203389833</v>
      </c>
      <c r="CP55" s="781">
        <v>142.17729216101694</v>
      </c>
      <c r="CQ55" s="870">
        <v>130.18927634180793</v>
      </c>
      <c r="CR55" s="781">
        <v>245.51832203389827</v>
      </c>
      <c r="CS55" s="870">
        <v>622.52092118644077</v>
      </c>
      <c r="CT55" s="781">
        <v>865.11299435028252</v>
      </c>
      <c r="CU55" s="870">
        <v>184.31171186440676</v>
      </c>
      <c r="CV55" s="870">
        <v>497.17514124293785</v>
      </c>
      <c r="CW55" s="781">
        <f>400*1.35*PPH_Data_Base28[[#This Row],[No. of Unit  Compressors]]</f>
        <v>1080</v>
      </c>
      <c r="CX55" s="835"/>
      <c r="CY55" s="871">
        <f>47*PPH_Data_Base28[[#This Row],[No. of Unit  Compressors]]*1.35</f>
        <v>126.9</v>
      </c>
      <c r="CZ55" s="871">
        <f>30*1.35*PPH_Data_Base28[[#This Row],[NO Condenser Fans]]</f>
        <v>81</v>
      </c>
      <c r="DA55" s="781">
        <f>INDEX($B$136:$F$154,MATCH(PPH_Data_Base28[[#This Row],[STD Supply Fan Motor]],$B$136:$B$154,0),5)*PPH_Data_Base28[[#This Row],[Fan QTY]]</f>
        <v>36.69975367231639</v>
      </c>
      <c r="DB55" s="871">
        <f>47*1.35*PPH_Data_Base28[[#This Row],[No. of Unit  Compressors]]</f>
        <v>126.9</v>
      </c>
      <c r="DC55" s="871">
        <f>28*PPH_Data_Base28[[#This Row],[NO Condenser Fans]]</f>
        <v>56</v>
      </c>
      <c r="DD55" s="781">
        <f>INDEX($B$136:$F$154,MATCH(PPH_Data_Base28[[#This Row],[STD Supply Fan Motor]],$B$136:$B$154,0),3)*PPH_Data_Base28[[#This Row],[Fan QTY]]</f>
        <v>24.627741525423726</v>
      </c>
      <c r="DE55" s="870">
        <f>INDEX($B$114:$C$131,MATCH(PPH_Data_Base28[[#This Row],[Compressor 1 HP]],$B$114:$B$131,0),2)*PPH_Data_Base28[[#This Row],[Compressor 1 QTY]]+IFERROR(INDEX($B$114:$C$131,MATCH(PPH_Data_Base28[[#This Row],[Compressor 2 HP]],$B$114:$B$131,0),2)*PPH_Data_Base28[[#This Row],[Compressor 2 QTY]],0)</f>
        <v>60</v>
      </c>
      <c r="DF55" s="870">
        <f>38*PPH_Data_Base28[[#This Row],[NO Condenser Fans]]</f>
        <v>76</v>
      </c>
      <c r="DG55" s="870">
        <f>INDEX($B$136:$F$154,MATCH(PPH_Data_Base28[[#This Row],[STD Supply Fan Motor]],$B$136:$B$154,0),5)*PPH_Data_Base28[[#This Row],[Fan QTY]]</f>
        <v>36.69975367231639</v>
      </c>
      <c r="DH55" s="781">
        <v>139.83050847457628</v>
      </c>
      <c r="DI55" s="781">
        <v>58.262711864406782</v>
      </c>
      <c r="DJ55" s="870">
        <v>2700</v>
      </c>
      <c r="DK55" s="870">
        <v>5300</v>
      </c>
      <c r="DL55" s="870">
        <v>1699</v>
      </c>
      <c r="DM55" s="870">
        <v>564.9717514124294</v>
      </c>
      <c r="DN55" s="870">
        <v>213.2530350282486</v>
      </c>
      <c r="DO55" s="870"/>
      <c r="DP55" s="870">
        <v>173.0225988700565</v>
      </c>
      <c r="DQ55" s="870">
        <v>173.0225988700565</v>
      </c>
      <c r="DR55" s="870">
        <v>173.0225988700565</v>
      </c>
      <c r="DS55" s="870"/>
      <c r="DT55" s="870">
        <f>PPH_Data_Base28[[#This Row],[NO Condenser Fans]]*350</f>
        <v>700</v>
      </c>
      <c r="DU55" s="870">
        <v>238.27442754237299</v>
      </c>
      <c r="DV55" s="870">
        <f>150*PPH_Data_Base28[[#This Row],[NO Condenser Fans]]</f>
        <v>300</v>
      </c>
      <c r="DW55" s="781">
        <v>757.4152542372882</v>
      </c>
      <c r="DX55" s="781">
        <v>250</v>
      </c>
      <c r="DY55" s="870">
        <v>700</v>
      </c>
      <c r="DZ55" s="870">
        <v>100</v>
      </c>
      <c r="EA55" s="870">
        <v>540</v>
      </c>
      <c r="EB55" s="870">
        <v>4.186805084745763</v>
      </c>
      <c r="EC55" s="870">
        <v>23.305084745762713</v>
      </c>
      <c r="ED55" s="870">
        <v>56.080321186440685</v>
      </c>
      <c r="EE55" s="870"/>
      <c r="EF55" s="870"/>
      <c r="EG55" s="870"/>
      <c r="EH55" s="870"/>
      <c r="EI55" s="870"/>
      <c r="EJ55" s="870"/>
      <c r="EK55" s="870"/>
      <c r="EL55" s="870"/>
      <c r="EM55" s="870"/>
      <c r="EN55" s="870"/>
      <c r="EO55" s="870"/>
      <c r="EP55" s="870"/>
      <c r="EQ55" s="870"/>
      <c r="ER55" s="870"/>
      <c r="ES55" s="870"/>
      <c r="ET55" s="870"/>
      <c r="EU55" s="870">
        <v>203</v>
      </c>
      <c r="EV55" s="870">
        <v>250</v>
      </c>
      <c r="EW55" s="847"/>
      <c r="EX55" s="781">
        <v>46.384451977401142</v>
      </c>
      <c r="EY55" s="781">
        <v>333.11975593220342</v>
      </c>
      <c r="EZ55" s="870">
        <v>19.209039548022599</v>
      </c>
      <c r="FA55" s="870">
        <v>40</v>
      </c>
      <c r="FB55" s="870">
        <v>40</v>
      </c>
      <c r="FC55" s="870">
        <v>24</v>
      </c>
      <c r="FD55" s="870">
        <v>24</v>
      </c>
      <c r="FE55" s="870">
        <v>19.774011299435031</v>
      </c>
      <c r="FF55" s="870">
        <v>26.129943502824862</v>
      </c>
      <c r="FG55" s="870">
        <v>200</v>
      </c>
      <c r="FH55" s="870">
        <v>145.93000229340572</v>
      </c>
      <c r="FI55" s="870">
        <v>88.681403834083682</v>
      </c>
      <c r="FJ55" s="870">
        <v>26</v>
      </c>
      <c r="FK55" s="870">
        <f>PPH_Data_Base28[[#This Row],[Differential Pressure Switch]]*2</f>
        <v>52</v>
      </c>
      <c r="FL55" s="870">
        <v>42</v>
      </c>
      <c r="FM55" s="872">
        <f>PPH_Data_Base28[[#This Row],[STD PETRA DIAL DIFF.PRESS.GAUGE NOT DWYER]]*2</f>
        <v>84</v>
      </c>
      <c r="FN55" s="872"/>
      <c r="FO55" s="872">
        <f>PPH_Data_Base28[[#This Row],[Replaceble Filter Drier ]]</f>
        <v>297</v>
      </c>
      <c r="FP55" s="872">
        <f>PPH_Data_Base28[[#This Row],[2" Pre-Filter]]*2</f>
        <v>47.44138020991528</v>
      </c>
      <c r="FQ55" s="872">
        <f>PPH_Data_Base28[[#This Row],[Bag Filter EU-8]]</f>
        <v>216.62725959292374</v>
      </c>
      <c r="FR55" s="872"/>
      <c r="FS55" s="872">
        <v>30</v>
      </c>
      <c r="FT55" s="176"/>
      <c r="FU55" s="176"/>
      <c r="FV55" s="176"/>
      <c r="FW55" s="176"/>
      <c r="GW55" s="176"/>
      <c r="GX55" s="176"/>
      <c r="HC55" s="176"/>
    </row>
    <row r="56" spans="1:211">
      <c r="A56" s="780" t="s">
        <v>484</v>
      </c>
      <c r="B56" s="781" t="s">
        <v>1571</v>
      </c>
      <c r="C56" s="781" t="s">
        <v>524</v>
      </c>
      <c r="D56" s="870" t="s">
        <v>1663</v>
      </c>
      <c r="E56" s="870" t="s">
        <v>1572</v>
      </c>
      <c r="F56" s="870" t="s">
        <v>1664</v>
      </c>
      <c r="G56" s="851">
        <v>0</v>
      </c>
      <c r="H56" s="870" t="s">
        <v>2249</v>
      </c>
      <c r="I56" s="781" t="s">
        <v>1554</v>
      </c>
      <c r="J56" s="781" t="s">
        <v>1562</v>
      </c>
      <c r="K56" s="781">
        <v>1</v>
      </c>
      <c r="L56" s="781" t="s">
        <v>568</v>
      </c>
      <c r="M56" s="781">
        <v>2</v>
      </c>
      <c r="N56" s="300">
        <v>2</v>
      </c>
      <c r="O56" s="781">
        <v>18</v>
      </c>
      <c r="P56" s="781">
        <v>9</v>
      </c>
      <c r="Q56" s="781">
        <v>1</v>
      </c>
      <c r="R56" s="781">
        <v>15</v>
      </c>
      <c r="S56" s="781">
        <v>1</v>
      </c>
      <c r="T56" s="781"/>
      <c r="U56" s="781"/>
      <c r="V56" s="781">
        <v>163</v>
      </c>
      <c r="W56" s="781">
        <v>383</v>
      </c>
      <c r="X56" s="870"/>
      <c r="Y56" s="835">
        <v>0</v>
      </c>
      <c r="Z56" s="782">
        <v>5682.991318212913</v>
      </c>
      <c r="AA56" s="782">
        <v>6166.7782675405833</v>
      </c>
      <c r="AB56" s="870">
        <v>4482.5640904427728</v>
      </c>
      <c r="AC56" s="834">
        <v>0</v>
      </c>
      <c r="AD56" s="781">
        <v>143.71468926553672</v>
      </c>
      <c r="AE56" s="870">
        <v>130.64971751412429</v>
      </c>
      <c r="AF56" s="870">
        <v>130.64971751412429</v>
      </c>
      <c r="AG56" s="870">
        <v>156.77966101694918</v>
      </c>
      <c r="AH56" s="781">
        <v>172.45762711864407</v>
      </c>
      <c r="AI56" s="870">
        <v>156.77966101694918</v>
      </c>
      <c r="AJ56" s="870">
        <v>156.77966101694918</v>
      </c>
      <c r="AK56" s="870">
        <v>188.13559322033899</v>
      </c>
      <c r="AL56" s="870">
        <f>PPH_Data_Base28[[#This Row],[PPH Unit Basic Price With Cu Tube]]*0.05</f>
        <v>308.3389133770292</v>
      </c>
      <c r="AM56" s="781">
        <v>61.798152238657636</v>
      </c>
      <c r="AN56" s="781"/>
      <c r="AO56" s="781"/>
      <c r="AP56" s="781">
        <v>297</v>
      </c>
      <c r="AQ56" s="781">
        <v>295.65000000000003</v>
      </c>
      <c r="AR56" s="781">
        <f t="shared" si="8"/>
        <v>181.5</v>
      </c>
      <c r="AS56" s="781">
        <v>296.58728010813553</v>
      </c>
      <c r="AT56" s="781">
        <v>1453.3532074950506</v>
      </c>
      <c r="AU56" s="781">
        <v>23.72069010495764</v>
      </c>
      <c r="AV56" s="781">
        <v>216.62725959292374</v>
      </c>
      <c r="AW56" s="870">
        <v>2157</v>
      </c>
      <c r="AX56" s="870">
        <v>266</v>
      </c>
      <c r="AY56" s="870">
        <v>976.27345360169488</v>
      </c>
      <c r="AZ56" s="870">
        <v>339.07655867319914</v>
      </c>
      <c r="BA56" s="870"/>
      <c r="BB56" s="870">
        <f>PPH_Data_Base28[[#This Row],[PPH Unit Basic Price With Cu Tube]]*0.1</f>
        <v>616.6778267540584</v>
      </c>
      <c r="BC56" s="870">
        <v>65.310705050115004</v>
      </c>
      <c r="BD56" s="870">
        <v>217.70235016705004</v>
      </c>
      <c r="BE56" s="870">
        <v>72.567450055683352</v>
      </c>
      <c r="BF56" s="870">
        <v>72.567450055683352</v>
      </c>
      <c r="BG56" s="870">
        <v>72.567450055683352</v>
      </c>
      <c r="BH56" s="870">
        <f>PPH_Data_Base28[[#This Row],[PPH Unit Basic Price With Cu Tube]]*0.075</f>
        <v>462.50837006554372</v>
      </c>
      <c r="BI56" s="870">
        <v>217.70235016705004</v>
      </c>
      <c r="BJ56" s="870">
        <v>72.567450055683352</v>
      </c>
      <c r="BK56" s="870">
        <v>72.567450055683352</v>
      </c>
      <c r="BL56" s="870">
        <v>72.567450055683352</v>
      </c>
      <c r="BM56" s="781">
        <f>PPH_Data_Base28[[#This Row],[Total Condenser Coil Area]]*Naming!$M$62*4</f>
        <v>1612.8</v>
      </c>
      <c r="BN56" s="781">
        <f>PPH_Data_Base28[[#This Row],[Total Evaporator  Coil Area]]*Naming!$M$62*4</f>
        <v>806.4</v>
      </c>
      <c r="BO56" s="781">
        <f>PPH_Data_Base28[[#This Row],[Total Condenser Coil Area]]*Naming!$D$61*4</f>
        <v>24.48</v>
      </c>
      <c r="BP56" s="781">
        <f>PPH_Data_Base28[[#This Row],[Total Evaporator  Coil Area]]*Naming!$D$61*6</f>
        <v>18.36</v>
      </c>
      <c r="BQ56" s="781">
        <f>$G$195*PPH_Data_Base28[[#This Row],[Total Evaporator  Coil Area]]</f>
        <v>40.5</v>
      </c>
      <c r="BR56" s="781">
        <f>$G$199*PPH_Data_Base28[[#This Row],[Total Evaporator  Coil Area]]</f>
        <v>61.199999999999996</v>
      </c>
      <c r="BS56" s="781">
        <f>$E$185*PPH_Data_Base28[[#This Row],[Total Evaporator  Coil Area]]</f>
        <v>180</v>
      </c>
      <c r="BT56" s="781">
        <f>$E$188*PPH_Data_Base28[[#This Row],[Total Evaporator  Coil Area]]</f>
        <v>252</v>
      </c>
      <c r="BU56" s="781">
        <f>$G$195*PPH_Data_Base28[[#This Row],[Total Condenser Coil Area]]</f>
        <v>81</v>
      </c>
      <c r="BV56" s="781">
        <f>$G$199*PPH_Data_Base28[[#This Row],[Total Condenser Coil Area]]</f>
        <v>122.39999999999999</v>
      </c>
      <c r="BW56" s="781">
        <f>$E$185*PPH_Data_Base28[[#This Row],[Total Condenser Coil Area]]</f>
        <v>360</v>
      </c>
      <c r="BX56" s="781">
        <f>$E$188*PPH_Data_Base28[[#This Row],[Total Condenser Coil Area]]</f>
        <v>504</v>
      </c>
      <c r="BY56" s="781">
        <v>164.49451675364747</v>
      </c>
      <c r="BZ56" s="870">
        <v>101.83257852254236</v>
      </c>
      <c r="CA56" s="870"/>
      <c r="CB56" s="870"/>
      <c r="CC56" s="870">
        <v>98.870056497175142</v>
      </c>
      <c r="CD56" s="870">
        <f t="shared" si="9"/>
        <v>96.045197740112997</v>
      </c>
      <c r="CE56" s="870">
        <v>20</v>
      </c>
      <c r="CF56" s="832">
        <v>0</v>
      </c>
      <c r="CG56" s="870">
        <f>PPH_Data_Base28[[#This Row],[PPH Unit Basic Price With Cu Tube]]*0.25</f>
        <v>1541.6945668851458</v>
      </c>
      <c r="CH56" s="870">
        <f>PPH_Data_Base28[[#This Row],[DSP Unit Basic Price With Cu Tube]]*0.35</f>
        <v>1568.8974316549704</v>
      </c>
      <c r="CI56" s="781">
        <v>89.190356144067806</v>
      </c>
      <c r="CJ56" s="781">
        <v>129.77347881355934</v>
      </c>
      <c r="CK56" s="781">
        <v>18.596238771186442</v>
      </c>
      <c r="CL56" s="781">
        <f>110*1.35*PPH_Data_Base28[[#This Row],[No. of Unit  Compressors]]</f>
        <v>148.5</v>
      </c>
      <c r="CM56" s="870">
        <v>50.847457627118651</v>
      </c>
      <c r="CN56" s="781">
        <v>91.24293785310735</v>
      </c>
      <c r="CO56" s="870">
        <v>0</v>
      </c>
      <c r="CP56" s="781">
        <v>99.566741737288112</v>
      </c>
      <c r="CQ56" s="870">
        <v>128.36872401129943</v>
      </c>
      <c r="CR56" s="781">
        <v>245.51832203389827</v>
      </c>
      <c r="CS56" s="870">
        <v>515.69418813559344</v>
      </c>
      <c r="CT56" s="781">
        <v>432.55649717514126</v>
      </c>
      <c r="CU56" s="870">
        <v>92.15585593220338</v>
      </c>
      <c r="CV56" s="870">
        <v>248.58757062146893</v>
      </c>
      <c r="CW56" s="781">
        <f>400*1.35*PPH_Data_Base28[[#This Row],[No. of Unit  Compressors]]</f>
        <v>540</v>
      </c>
      <c r="CX56" s="835"/>
      <c r="CY56" s="871">
        <f>47*PPH_Data_Base28[[#This Row],[No. of Unit  Compressors]]*1.35</f>
        <v>63.45</v>
      </c>
      <c r="CZ56" s="871">
        <f>30*1.35*PPH_Data_Base28[[#This Row],[NO Condenser Fans]]</f>
        <v>81</v>
      </c>
      <c r="DA56" s="781">
        <f>INDEX($B$136:$F$154,MATCH(PPH_Data_Base28[[#This Row],[STD Supply Fan Motor]],$B$136:$B$154,0),5)*PPH_Data_Base28[[#This Row],[Fan QTY]]</f>
        <v>36.69975367231639</v>
      </c>
      <c r="DB56" s="871">
        <f>47*1.35*PPH_Data_Base28[[#This Row],[No. of Unit  Compressors]]</f>
        <v>63.45</v>
      </c>
      <c r="DC56" s="871">
        <f>28*PPH_Data_Base28[[#This Row],[NO Condenser Fans]]</f>
        <v>56</v>
      </c>
      <c r="DD56" s="781">
        <f>INDEX($B$136:$F$154,MATCH(PPH_Data_Base28[[#This Row],[STD Supply Fan Motor]],$B$136:$B$154,0),3)*PPH_Data_Base28[[#This Row],[Fan QTY]]</f>
        <v>24.627741525423726</v>
      </c>
      <c r="DE56" s="870">
        <f>INDEX($B$114:$C$131,MATCH(PPH_Data_Base28[[#This Row],[Compressor 1 HP]],$B$114:$B$131,0),2)*PPH_Data_Base28[[#This Row],[Compressor 1 QTY]]+IFERROR(INDEX($B$114:$C$131,MATCH(PPH_Data_Base28[[#This Row],[Compressor 2 HP]],$B$114:$B$131,0),2)*PPH_Data_Base28[[#This Row],[Compressor 2 QTY]],0)</f>
        <v>45</v>
      </c>
      <c r="DF56" s="870">
        <f>38*PPH_Data_Base28[[#This Row],[NO Condenser Fans]]</f>
        <v>76</v>
      </c>
      <c r="DG56" s="870">
        <f>INDEX($B$136:$F$154,MATCH(PPH_Data_Base28[[#This Row],[STD Supply Fan Motor]],$B$136:$B$154,0),5)*PPH_Data_Base28[[#This Row],[Fan QTY]]</f>
        <v>36.69975367231639</v>
      </c>
      <c r="DH56" s="781">
        <v>139.83050847457628</v>
      </c>
      <c r="DI56" s="781">
        <v>58.262711864406782</v>
      </c>
      <c r="DJ56" s="870">
        <v>4300</v>
      </c>
      <c r="DK56" s="870">
        <v>4300</v>
      </c>
      <c r="DL56" s="870">
        <v>1699</v>
      </c>
      <c r="DM56" s="870">
        <v>564.9717514124294</v>
      </c>
      <c r="DN56" s="870">
        <v>213.2530350282486</v>
      </c>
      <c r="DO56" s="870"/>
      <c r="DP56" s="870">
        <v>173.0225988700565</v>
      </c>
      <c r="DQ56" s="870">
        <v>173.0225988700565</v>
      </c>
      <c r="DR56" s="870">
        <v>173.0225988700565</v>
      </c>
      <c r="DS56" s="870"/>
      <c r="DT56" s="870">
        <f>PPH_Data_Base28[[#This Row],[NO Condenser Fans]]*350</f>
        <v>700</v>
      </c>
      <c r="DU56" s="870">
        <v>238.27442754237299</v>
      </c>
      <c r="DV56" s="870">
        <f>150*PPH_Data_Base28[[#This Row],[NO Condenser Fans]]</f>
        <v>300</v>
      </c>
      <c r="DW56" s="781">
        <v>757.4152542372882</v>
      </c>
      <c r="DX56" s="781">
        <v>250</v>
      </c>
      <c r="DY56" s="870">
        <v>700</v>
      </c>
      <c r="DZ56" s="870">
        <v>100</v>
      </c>
      <c r="EA56" s="870">
        <v>540</v>
      </c>
      <c r="EB56" s="870">
        <v>4.186805084745763</v>
      </c>
      <c r="EC56" s="870">
        <v>23.305084745762713</v>
      </c>
      <c r="ED56" s="870">
        <v>56.080321186440685</v>
      </c>
      <c r="EE56" s="870"/>
      <c r="EF56" s="870"/>
      <c r="EG56" s="870"/>
      <c r="EH56" s="870"/>
      <c r="EI56" s="870"/>
      <c r="EJ56" s="870"/>
      <c r="EK56" s="870"/>
      <c r="EL56" s="870"/>
      <c r="EM56" s="870"/>
      <c r="EN56" s="870"/>
      <c r="EO56" s="870"/>
      <c r="EP56" s="870"/>
      <c r="EQ56" s="870"/>
      <c r="ER56" s="870"/>
      <c r="ES56" s="870"/>
      <c r="ET56" s="870"/>
      <c r="EU56" s="870">
        <v>203</v>
      </c>
      <c r="EV56" s="870">
        <v>250</v>
      </c>
      <c r="EW56" s="847"/>
      <c r="EX56" s="781">
        <v>46.384451977401142</v>
      </c>
      <c r="EY56" s="781">
        <v>333.11975593220342</v>
      </c>
      <c r="EZ56" s="870">
        <v>19.209039548022599</v>
      </c>
      <c r="FA56" s="870">
        <v>40</v>
      </c>
      <c r="FB56" s="870">
        <v>40</v>
      </c>
      <c r="FC56" s="870">
        <v>24</v>
      </c>
      <c r="FD56" s="870">
        <v>24</v>
      </c>
      <c r="FE56" s="870">
        <v>19.774011299435031</v>
      </c>
      <c r="FF56" s="870">
        <v>52.259887005649723</v>
      </c>
      <c r="FG56" s="870">
        <v>200</v>
      </c>
      <c r="FH56" s="870">
        <v>145.93000229340572</v>
      </c>
      <c r="FI56" s="870">
        <v>88.681403834083682</v>
      </c>
      <c r="FJ56" s="870">
        <v>26</v>
      </c>
      <c r="FK56" s="870">
        <f>PPH_Data_Base28[[#This Row],[Differential Pressure Switch]]*2</f>
        <v>52</v>
      </c>
      <c r="FL56" s="870">
        <v>42</v>
      </c>
      <c r="FM56" s="872">
        <f>PPH_Data_Base28[[#This Row],[STD PETRA DIAL DIFF.PRESS.GAUGE NOT DWYER]]*2</f>
        <v>84</v>
      </c>
      <c r="FN56" s="872"/>
      <c r="FO56" s="872">
        <f>PPH_Data_Base28[[#This Row],[Replaceble Filter Drier ]]</f>
        <v>148.5</v>
      </c>
      <c r="FP56" s="872">
        <f>PPH_Data_Base28[[#This Row],[2" Pre-Filter]]*2</f>
        <v>47.44138020991528</v>
      </c>
      <c r="FQ56" s="872">
        <f>PPH_Data_Base28[[#This Row],[Bag Filter EU-8]]</f>
        <v>216.62725959292374</v>
      </c>
      <c r="FR56" s="872"/>
      <c r="FS56" s="872">
        <v>30</v>
      </c>
      <c r="FT56" s="176"/>
      <c r="FU56" s="176"/>
      <c r="FV56" s="176"/>
      <c r="FW56" s="176"/>
      <c r="GW56" s="176"/>
      <c r="GX56" s="176"/>
      <c r="HC56" s="176"/>
    </row>
    <row r="57" spans="1:211">
      <c r="A57" s="780" t="s">
        <v>485</v>
      </c>
      <c r="B57" s="781" t="s">
        <v>1575</v>
      </c>
      <c r="C57" s="781" t="s">
        <v>525</v>
      </c>
      <c r="D57" s="870" t="s">
        <v>1665</v>
      </c>
      <c r="E57" s="870" t="s">
        <v>1576</v>
      </c>
      <c r="F57" s="870" t="s">
        <v>1666</v>
      </c>
      <c r="G57" s="851">
        <v>0</v>
      </c>
      <c r="H57" s="870" t="s">
        <v>2249</v>
      </c>
      <c r="I57" s="781" t="s">
        <v>1554</v>
      </c>
      <c r="J57" s="781" t="s">
        <v>1562</v>
      </c>
      <c r="K57" s="781">
        <v>1</v>
      </c>
      <c r="L57" s="781" t="s">
        <v>568</v>
      </c>
      <c r="M57" s="781">
        <v>2</v>
      </c>
      <c r="N57" s="300">
        <v>2</v>
      </c>
      <c r="O57" s="781">
        <v>18</v>
      </c>
      <c r="P57" s="781">
        <v>9</v>
      </c>
      <c r="Q57" s="781">
        <v>2</v>
      </c>
      <c r="R57" s="781">
        <v>9</v>
      </c>
      <c r="S57" s="781">
        <v>1</v>
      </c>
      <c r="T57" s="781">
        <v>7</v>
      </c>
      <c r="U57" s="781">
        <v>1</v>
      </c>
      <c r="V57" s="781">
        <v>163</v>
      </c>
      <c r="W57" s="781">
        <v>383</v>
      </c>
      <c r="X57" s="870"/>
      <c r="Y57" s="835">
        <v>0</v>
      </c>
      <c r="Z57" s="782">
        <v>6007.8659425157593</v>
      </c>
      <c r="AA57" s="782">
        <v>6490.0050668358444</v>
      </c>
      <c r="AB57" s="870">
        <v>4786.2117907531474</v>
      </c>
      <c r="AC57" s="834">
        <v>0</v>
      </c>
      <c r="AD57" s="781">
        <v>143.71468926553672</v>
      </c>
      <c r="AE57" s="870">
        <v>130.64971751412429</v>
      </c>
      <c r="AF57" s="870">
        <v>130.64971751412429</v>
      </c>
      <c r="AG57" s="870">
        <v>156.77966101694918</v>
      </c>
      <c r="AH57" s="781">
        <v>172.45762711864407</v>
      </c>
      <c r="AI57" s="870">
        <v>156.77966101694918</v>
      </c>
      <c r="AJ57" s="870">
        <v>156.77966101694918</v>
      </c>
      <c r="AK57" s="870">
        <v>188.13559322033899</v>
      </c>
      <c r="AL57" s="870">
        <f>PPH_Data_Base28[[#This Row],[PPH Unit Basic Price With Cu Tube]]*0.05</f>
        <v>324.50025334179225</v>
      </c>
      <c r="AM57" s="781">
        <v>61.798152238657636</v>
      </c>
      <c r="AN57" s="781"/>
      <c r="AO57" s="781"/>
      <c r="AP57" s="781">
        <v>297</v>
      </c>
      <c r="AQ57" s="781">
        <v>295.65000000000003</v>
      </c>
      <c r="AR57" s="781">
        <f t="shared" si="8"/>
        <v>181.5</v>
      </c>
      <c r="AS57" s="781">
        <v>296.58728010813553</v>
      </c>
      <c r="AT57" s="781">
        <v>1453.3532074950506</v>
      </c>
      <c r="AU57" s="781">
        <v>23.72069010495764</v>
      </c>
      <c r="AV57" s="781">
        <v>216.62725959292374</v>
      </c>
      <c r="AW57" s="870">
        <v>2157</v>
      </c>
      <c r="AX57" s="870">
        <v>266</v>
      </c>
      <c r="AY57" s="870">
        <v>976.27345360169488</v>
      </c>
      <c r="AZ57" s="870">
        <v>339.07655867319914</v>
      </c>
      <c r="BA57" s="870"/>
      <c r="BB57" s="870">
        <f>PPH_Data_Base28[[#This Row],[PPH Unit Basic Price With Cu Tube]]*0.1</f>
        <v>649.00050668358449</v>
      </c>
      <c r="BC57" s="870">
        <v>72.812073300869258</v>
      </c>
      <c r="BD57" s="870">
        <v>242.70691100289756</v>
      </c>
      <c r="BE57" s="870">
        <v>80.902303667632523</v>
      </c>
      <c r="BF57" s="870">
        <v>80.902303667632523</v>
      </c>
      <c r="BG57" s="870">
        <v>80.902303667632523</v>
      </c>
      <c r="BH57" s="870">
        <f>PPH_Data_Base28[[#This Row],[PPH Unit Basic Price With Cu Tube]]*0.075</f>
        <v>486.75038001268831</v>
      </c>
      <c r="BI57" s="870">
        <v>242.70691100289756</v>
      </c>
      <c r="BJ57" s="870">
        <v>80.902303667632523</v>
      </c>
      <c r="BK57" s="870">
        <v>80.902303667632523</v>
      </c>
      <c r="BL57" s="870">
        <v>80.902303667632523</v>
      </c>
      <c r="BM57" s="781">
        <f>PPH_Data_Base28[[#This Row],[Total Condenser Coil Area]]*Naming!$M$62*4</f>
        <v>1612.8</v>
      </c>
      <c r="BN57" s="781">
        <f>PPH_Data_Base28[[#This Row],[Total Evaporator  Coil Area]]*Naming!$M$62*4</f>
        <v>806.4</v>
      </c>
      <c r="BO57" s="781">
        <f>PPH_Data_Base28[[#This Row],[Total Condenser Coil Area]]*Naming!$D$61*4</f>
        <v>24.48</v>
      </c>
      <c r="BP57" s="781">
        <f>PPH_Data_Base28[[#This Row],[Total Evaporator  Coil Area]]*Naming!$D$61*6</f>
        <v>18.36</v>
      </c>
      <c r="BQ57" s="781">
        <f>$G$195*PPH_Data_Base28[[#This Row],[Total Evaporator  Coil Area]]</f>
        <v>40.5</v>
      </c>
      <c r="BR57" s="781">
        <f>$G$199*PPH_Data_Base28[[#This Row],[Total Evaporator  Coil Area]]</f>
        <v>61.199999999999996</v>
      </c>
      <c r="BS57" s="781">
        <f>$E$185*PPH_Data_Base28[[#This Row],[Total Evaporator  Coil Area]]</f>
        <v>180</v>
      </c>
      <c r="BT57" s="781">
        <f>$E$188*PPH_Data_Base28[[#This Row],[Total Evaporator  Coil Area]]</f>
        <v>252</v>
      </c>
      <c r="BU57" s="781">
        <f>$G$195*PPH_Data_Base28[[#This Row],[Total Condenser Coil Area]]</f>
        <v>81</v>
      </c>
      <c r="BV57" s="781">
        <f>$G$199*PPH_Data_Base28[[#This Row],[Total Condenser Coil Area]]</f>
        <v>122.39999999999999</v>
      </c>
      <c r="BW57" s="781">
        <f>$E$185*PPH_Data_Base28[[#This Row],[Total Condenser Coil Area]]</f>
        <v>360</v>
      </c>
      <c r="BX57" s="781">
        <f>$E$188*PPH_Data_Base28[[#This Row],[Total Condenser Coil Area]]</f>
        <v>504</v>
      </c>
      <c r="BY57" s="781">
        <v>164.49451675364747</v>
      </c>
      <c r="BZ57" s="870">
        <v>101.83257852254236</v>
      </c>
      <c r="CA57" s="870"/>
      <c r="CB57" s="870"/>
      <c r="CC57" s="870">
        <v>98.870056497175142</v>
      </c>
      <c r="CD57" s="870">
        <f t="shared" si="9"/>
        <v>96.045197740112997</v>
      </c>
      <c r="CE57" s="870">
        <v>20</v>
      </c>
      <c r="CF57" s="832">
        <v>0</v>
      </c>
      <c r="CG57" s="870">
        <f>PPH_Data_Base28[[#This Row],[PPH Unit Basic Price With Cu Tube]]*0.25</f>
        <v>1622.5012667089611</v>
      </c>
      <c r="CH57" s="870">
        <f>PPH_Data_Base28[[#This Row],[DSP Unit Basic Price With Cu Tube]]*0.35</f>
        <v>1675.1741267636014</v>
      </c>
      <c r="CI57" s="781">
        <v>178.38071228813561</v>
      </c>
      <c r="CJ57" s="781">
        <v>259.54695762711867</v>
      </c>
      <c r="CK57" s="781">
        <v>37.192477542372885</v>
      </c>
      <c r="CL57" s="781">
        <f>110*1.35*PPH_Data_Base28[[#This Row],[No. of Unit  Compressors]]</f>
        <v>297</v>
      </c>
      <c r="CM57" s="870">
        <v>101.6949152542373</v>
      </c>
      <c r="CN57" s="781">
        <v>105.64971751412429</v>
      </c>
      <c r="CO57" s="870">
        <v>0</v>
      </c>
      <c r="CP57" s="781">
        <v>172.61319053672315</v>
      </c>
      <c r="CQ57" s="870">
        <v>147.07906807909606</v>
      </c>
      <c r="CR57" s="781">
        <v>245.51832203389827</v>
      </c>
      <c r="CS57" s="870">
        <v>751.57637966101709</v>
      </c>
      <c r="CT57" s="781">
        <v>865.11299435028252</v>
      </c>
      <c r="CU57" s="870">
        <v>184.31171186440676</v>
      </c>
      <c r="CV57" s="870">
        <v>497.17514124293785</v>
      </c>
      <c r="CW57" s="781">
        <f>400*1.35*PPH_Data_Base28[[#This Row],[No. of Unit  Compressors]]</f>
        <v>1080</v>
      </c>
      <c r="CX57" s="835"/>
      <c r="CY57" s="871">
        <f>47*PPH_Data_Base28[[#This Row],[No. of Unit  Compressors]]*1.35</f>
        <v>126.9</v>
      </c>
      <c r="CZ57" s="871">
        <f>30*1.35*PPH_Data_Base28[[#This Row],[NO Condenser Fans]]</f>
        <v>81</v>
      </c>
      <c r="DA57" s="781">
        <f>INDEX($B$136:$F$154,MATCH(PPH_Data_Base28[[#This Row],[STD Supply Fan Motor]],$B$136:$B$154,0),5)*PPH_Data_Base28[[#This Row],[Fan QTY]]</f>
        <v>36.69975367231639</v>
      </c>
      <c r="DB57" s="871">
        <f>47*1.35*PPH_Data_Base28[[#This Row],[No. of Unit  Compressors]]</f>
        <v>126.9</v>
      </c>
      <c r="DC57" s="871">
        <f>28*PPH_Data_Base28[[#This Row],[NO Condenser Fans]]</f>
        <v>56</v>
      </c>
      <c r="DD57" s="781">
        <f>INDEX($B$136:$F$154,MATCH(PPH_Data_Base28[[#This Row],[STD Supply Fan Motor]],$B$136:$B$154,0),3)*PPH_Data_Base28[[#This Row],[Fan QTY]]</f>
        <v>24.627741525423726</v>
      </c>
      <c r="DE57" s="870">
        <f>INDEX($B$114:$C$131,MATCH(PPH_Data_Base28[[#This Row],[Compressor 1 HP]],$B$114:$B$131,0),2)*PPH_Data_Base28[[#This Row],[Compressor 1 QTY]]+IFERROR(INDEX($B$114:$C$131,MATCH(PPH_Data_Base28[[#This Row],[Compressor 2 HP]],$B$114:$B$131,0),2)*PPH_Data_Base28[[#This Row],[Compressor 2 QTY]],0)</f>
        <v>72</v>
      </c>
      <c r="DF57" s="870">
        <f>38*PPH_Data_Base28[[#This Row],[NO Condenser Fans]]</f>
        <v>76</v>
      </c>
      <c r="DG57" s="870">
        <f>INDEX($B$136:$F$154,MATCH(PPH_Data_Base28[[#This Row],[STD Supply Fan Motor]],$B$136:$B$154,0),5)*PPH_Data_Base28[[#This Row],[Fan QTY]]</f>
        <v>36.69975367231639</v>
      </c>
      <c r="DH57" s="781">
        <v>139.83050847457628</v>
      </c>
      <c r="DI57" s="781">
        <v>58.262711864406782</v>
      </c>
      <c r="DJ57" s="870">
        <v>3000</v>
      </c>
      <c r="DK57" s="870">
        <v>5700</v>
      </c>
      <c r="DL57" s="870">
        <v>1699</v>
      </c>
      <c r="DM57" s="870">
        <v>564.9717514124294</v>
      </c>
      <c r="DN57" s="870">
        <v>213.2530350282486</v>
      </c>
      <c r="DO57" s="870"/>
      <c r="DP57" s="870">
        <v>173.0225988700565</v>
      </c>
      <c r="DQ57" s="870">
        <v>173.0225988700565</v>
      </c>
      <c r="DR57" s="870">
        <v>173.0225988700565</v>
      </c>
      <c r="DS57" s="870"/>
      <c r="DT57" s="870">
        <f>PPH_Data_Base28[[#This Row],[NO Condenser Fans]]*350</f>
        <v>700</v>
      </c>
      <c r="DU57" s="870">
        <v>238.27442754237299</v>
      </c>
      <c r="DV57" s="870">
        <f>150*PPH_Data_Base28[[#This Row],[NO Condenser Fans]]</f>
        <v>300</v>
      </c>
      <c r="DW57" s="781">
        <v>757.4152542372882</v>
      </c>
      <c r="DX57" s="781">
        <v>250</v>
      </c>
      <c r="DY57" s="870">
        <v>700</v>
      </c>
      <c r="DZ57" s="870">
        <v>100</v>
      </c>
      <c r="EA57" s="870">
        <v>540</v>
      </c>
      <c r="EB57" s="870">
        <v>4.186805084745763</v>
      </c>
      <c r="EC57" s="870">
        <v>23.305084745762713</v>
      </c>
      <c r="ED57" s="870">
        <v>56.080321186440685</v>
      </c>
      <c r="EE57" s="870"/>
      <c r="EF57" s="870"/>
      <c r="EG57" s="870"/>
      <c r="EH57" s="870"/>
      <c r="EI57" s="870"/>
      <c r="EJ57" s="870"/>
      <c r="EK57" s="870"/>
      <c r="EL57" s="870"/>
      <c r="EM57" s="870"/>
      <c r="EN57" s="870"/>
      <c r="EO57" s="870"/>
      <c r="EP57" s="870"/>
      <c r="EQ57" s="870"/>
      <c r="ER57" s="870"/>
      <c r="ES57" s="870"/>
      <c r="ET57" s="870"/>
      <c r="EU57" s="870">
        <v>203</v>
      </c>
      <c r="EV57" s="870">
        <v>250</v>
      </c>
      <c r="EW57" s="847"/>
      <c r="EX57" s="781">
        <v>46.384451977401142</v>
      </c>
      <c r="EY57" s="781">
        <v>333.11975593220342</v>
      </c>
      <c r="EZ57" s="870">
        <v>19.209039548022599</v>
      </c>
      <c r="FA57" s="870">
        <v>40</v>
      </c>
      <c r="FB57" s="870">
        <v>40</v>
      </c>
      <c r="FC57" s="870">
        <v>24</v>
      </c>
      <c r="FD57" s="870">
        <v>24</v>
      </c>
      <c r="FE57" s="870">
        <v>19.774011299435031</v>
      </c>
      <c r="FF57" s="870">
        <v>52.259887005649723</v>
      </c>
      <c r="FG57" s="870">
        <v>200</v>
      </c>
      <c r="FH57" s="870">
        <v>145.93000229340572</v>
      </c>
      <c r="FI57" s="870">
        <v>88.681403834083682</v>
      </c>
      <c r="FJ57" s="870">
        <v>26</v>
      </c>
      <c r="FK57" s="870">
        <f>PPH_Data_Base28[[#This Row],[Differential Pressure Switch]]*2</f>
        <v>52</v>
      </c>
      <c r="FL57" s="870">
        <v>42</v>
      </c>
      <c r="FM57" s="872">
        <f>PPH_Data_Base28[[#This Row],[STD PETRA DIAL DIFF.PRESS.GAUGE NOT DWYER]]*2</f>
        <v>84</v>
      </c>
      <c r="FN57" s="872"/>
      <c r="FO57" s="872">
        <f>PPH_Data_Base28[[#This Row],[Replaceble Filter Drier ]]</f>
        <v>297</v>
      </c>
      <c r="FP57" s="872">
        <f>PPH_Data_Base28[[#This Row],[2" Pre-Filter]]*2</f>
        <v>47.44138020991528</v>
      </c>
      <c r="FQ57" s="872">
        <f>PPH_Data_Base28[[#This Row],[Bag Filter EU-8]]</f>
        <v>216.62725959292374</v>
      </c>
      <c r="FR57" s="872"/>
      <c r="FS57" s="872">
        <v>30</v>
      </c>
      <c r="FT57" s="176"/>
      <c r="FU57" s="176"/>
      <c r="FV57" s="176"/>
      <c r="FW57" s="176"/>
      <c r="GW57" s="176"/>
      <c r="GX57" s="176"/>
      <c r="HC57" s="176"/>
    </row>
    <row r="58" spans="1:211">
      <c r="A58" s="780" t="s">
        <v>486</v>
      </c>
      <c r="B58" s="781" t="s">
        <v>1579</v>
      </c>
      <c r="C58" s="781" t="s">
        <v>526</v>
      </c>
      <c r="D58" s="870" t="s">
        <v>1667</v>
      </c>
      <c r="E58" s="870" t="s">
        <v>1580</v>
      </c>
      <c r="F58" s="870" t="s">
        <v>1668</v>
      </c>
      <c r="G58" s="851">
        <v>0</v>
      </c>
      <c r="H58" s="870" t="s">
        <v>2249</v>
      </c>
      <c r="I58" s="781" t="s">
        <v>755</v>
      </c>
      <c r="J58" s="781" t="s">
        <v>1562</v>
      </c>
      <c r="K58" s="781">
        <v>1</v>
      </c>
      <c r="L58" s="781" t="s">
        <v>568</v>
      </c>
      <c r="M58" s="781">
        <v>3</v>
      </c>
      <c r="N58" s="300">
        <v>3</v>
      </c>
      <c r="O58" s="781">
        <v>31.138888888888889</v>
      </c>
      <c r="P58" s="781">
        <v>17.7</v>
      </c>
      <c r="Q58" s="781">
        <v>1</v>
      </c>
      <c r="R58" s="781">
        <v>15</v>
      </c>
      <c r="S58" s="781">
        <v>1</v>
      </c>
      <c r="T58" s="781"/>
      <c r="U58" s="781"/>
      <c r="V58" s="781">
        <v>256</v>
      </c>
      <c r="W58" s="781">
        <v>383</v>
      </c>
      <c r="X58" s="870"/>
      <c r="Y58" s="835">
        <v>0</v>
      </c>
      <c r="Z58" s="782">
        <v>6825.9573451860788</v>
      </c>
      <c r="AA58" s="782">
        <v>7373.5799719535862</v>
      </c>
      <c r="AB58" s="870">
        <v>5228.3605293210458</v>
      </c>
      <c r="AC58" s="834">
        <v>0</v>
      </c>
      <c r="AD58" s="781">
        <v>195.97457627118646</v>
      </c>
      <c r="AE58" s="870">
        <v>169.84463276836161</v>
      </c>
      <c r="AF58" s="870">
        <v>182.90960451977404</v>
      </c>
      <c r="AG58" s="870">
        <v>219.49152542372883</v>
      </c>
      <c r="AH58" s="781">
        <v>235.16949152542375</v>
      </c>
      <c r="AI58" s="870">
        <v>203.81355932203391</v>
      </c>
      <c r="AJ58" s="870">
        <v>219.49152542372883</v>
      </c>
      <c r="AK58" s="870">
        <v>263.38983050847457</v>
      </c>
      <c r="AL58" s="870">
        <f>PPH_Data_Base28[[#This Row],[PPH Unit Basic Price With Cu Tube]]*0.05</f>
        <v>368.67899859767931</v>
      </c>
      <c r="AM58" s="781">
        <v>106.90698867212224</v>
      </c>
      <c r="AN58" s="781"/>
      <c r="AO58" s="781"/>
      <c r="AP58" s="781">
        <v>438.75000000000006</v>
      </c>
      <c r="AQ58" s="781">
        <v>334.8</v>
      </c>
      <c r="AR58" s="781">
        <f>1.5*242</f>
        <v>363</v>
      </c>
      <c r="AS58" s="781">
        <v>445.59605180493645</v>
      </c>
      <c r="AT58" s="781">
        <v>1691.7672422099322</v>
      </c>
      <c r="AU58" s="781">
        <v>34.93288227582628</v>
      </c>
      <c r="AV58" s="781">
        <v>327.29473726824159</v>
      </c>
      <c r="AW58" s="870">
        <v>2545</v>
      </c>
      <c r="AX58" s="870">
        <v>363</v>
      </c>
      <c r="AY58" s="870">
        <v>1666.227403601695</v>
      </c>
      <c r="AZ58" s="870">
        <v>497.91403065413147</v>
      </c>
      <c r="BA58" s="870"/>
      <c r="BB58" s="870">
        <f>PPH_Data_Base28[[#This Row],[PPH Unit Basic Price With Cu Tube]]*0.1</f>
        <v>737.35799719535862</v>
      </c>
      <c r="BC58" s="870">
        <v>78.519707823752299</v>
      </c>
      <c r="BD58" s="870">
        <v>261.73235941250766</v>
      </c>
      <c r="BE58" s="870">
        <v>87.244119804169216</v>
      </c>
      <c r="BF58" s="870">
        <v>87.244119804169216</v>
      </c>
      <c r="BG58" s="870">
        <v>87.244119804169216</v>
      </c>
      <c r="BH58" s="870">
        <f>PPH_Data_Base28[[#This Row],[PPH Unit Basic Price With Cu Tube]]*0.075</f>
        <v>553.01849789651897</v>
      </c>
      <c r="BI58" s="870">
        <v>261.73235941250766</v>
      </c>
      <c r="BJ58" s="870">
        <v>87.244119804169216</v>
      </c>
      <c r="BK58" s="870">
        <v>87.244119804169216</v>
      </c>
      <c r="BL58" s="870">
        <v>87.244119804169216</v>
      </c>
      <c r="BM58" s="781">
        <f>PPH_Data_Base28[[#This Row],[Total Condenser Coil Area]]*Naming!$M$62*4</f>
        <v>2790.0444444444443</v>
      </c>
      <c r="BN58" s="781">
        <f>PPH_Data_Base28[[#This Row],[Total Evaporator  Coil Area]]*Naming!$M$62*4</f>
        <v>1585.9199999999998</v>
      </c>
      <c r="BO58" s="781">
        <f>PPH_Data_Base28[[#This Row],[Total Condenser Coil Area]]*Naming!$D$61*4</f>
        <v>42.348888888888894</v>
      </c>
      <c r="BP58" s="781">
        <f>PPH_Data_Base28[[#This Row],[Total Evaporator  Coil Area]]*Naming!$D$61*6</f>
        <v>36.107999999999997</v>
      </c>
      <c r="BQ58" s="781">
        <f>$G$195*PPH_Data_Base28[[#This Row],[Total Evaporator  Coil Area]]</f>
        <v>79.649999999999991</v>
      </c>
      <c r="BR58" s="781">
        <f>$G$199*PPH_Data_Base28[[#This Row],[Total Evaporator  Coil Area]]</f>
        <v>120.35999999999999</v>
      </c>
      <c r="BS58" s="781">
        <f>$E$185*PPH_Data_Base28[[#This Row],[Total Evaporator  Coil Area]]</f>
        <v>354</v>
      </c>
      <c r="BT58" s="781">
        <f>$E$188*PPH_Data_Base28[[#This Row],[Total Evaporator  Coil Area]]</f>
        <v>495.59999999999997</v>
      </c>
      <c r="BU58" s="781">
        <f>$G$195*PPH_Data_Base28[[#This Row],[Total Condenser Coil Area]]</f>
        <v>140.125</v>
      </c>
      <c r="BV58" s="781">
        <f>$G$199*PPH_Data_Base28[[#This Row],[Total Condenser Coil Area]]</f>
        <v>211.74444444444444</v>
      </c>
      <c r="BW58" s="781">
        <f>$E$185*PPH_Data_Base28[[#This Row],[Total Condenser Coil Area]]</f>
        <v>622.77777777777783</v>
      </c>
      <c r="BX58" s="781">
        <f>$E$188*PPH_Data_Base28[[#This Row],[Total Condenser Coil Area]]</f>
        <v>871.88888888888891</v>
      </c>
      <c r="BY58" s="781">
        <v>231.51080135698533</v>
      </c>
      <c r="BZ58" s="870">
        <v>143.31992532802258</v>
      </c>
      <c r="CA58" s="870"/>
      <c r="CB58" s="870"/>
      <c r="CC58" s="870">
        <v>98.870056497175142</v>
      </c>
      <c r="CD58" s="870">
        <f t="shared" si="9"/>
        <v>96.045197740112997</v>
      </c>
      <c r="CE58" s="870">
        <v>20</v>
      </c>
      <c r="CF58" s="832">
        <v>0</v>
      </c>
      <c r="CG58" s="870">
        <f>PPH_Data_Base28[[#This Row],[PPH Unit Basic Price With Cu Tube]]*0.25</f>
        <v>1843.3949929883966</v>
      </c>
      <c r="CH58" s="870">
        <f>PPH_Data_Base28[[#This Row],[DSP Unit Basic Price With Cu Tube]]*0.35</f>
        <v>1829.9261852623658</v>
      </c>
      <c r="CI58" s="781">
        <v>89.190356144067806</v>
      </c>
      <c r="CJ58" s="781">
        <v>129.77347881355934</v>
      </c>
      <c r="CK58" s="781">
        <v>18.596238771186442</v>
      </c>
      <c r="CL58" s="781">
        <f>110*1.35*PPH_Data_Base28[[#This Row],[No. of Unit  Compressors]]</f>
        <v>148.5</v>
      </c>
      <c r="CM58" s="870">
        <v>50.847457627118651</v>
      </c>
      <c r="CN58" s="781">
        <v>91.24293785310735</v>
      </c>
      <c r="CO58" s="870">
        <v>0</v>
      </c>
      <c r="CP58" s="781">
        <v>99.566741737288112</v>
      </c>
      <c r="CQ58" s="870">
        <v>128.36872401129943</v>
      </c>
      <c r="CR58" s="781">
        <v>245.51832203389827</v>
      </c>
      <c r="CS58" s="870">
        <v>515.69418813559344</v>
      </c>
      <c r="CT58" s="781">
        <v>432.55649717514126</v>
      </c>
      <c r="CU58" s="870">
        <v>92.15585593220338</v>
      </c>
      <c r="CV58" s="870">
        <v>248.58757062146893</v>
      </c>
      <c r="CW58" s="781">
        <f>400*1.35*PPH_Data_Base28[[#This Row],[No. of Unit  Compressors]]</f>
        <v>540</v>
      </c>
      <c r="CX58" s="835"/>
      <c r="CY58" s="871">
        <f>47*PPH_Data_Base28[[#This Row],[No. of Unit  Compressors]]*1.35</f>
        <v>63.45</v>
      </c>
      <c r="CZ58" s="871">
        <f>30*1.35*PPH_Data_Base28[[#This Row],[NO Condenser Fans]]</f>
        <v>121.5</v>
      </c>
      <c r="DA58" s="781">
        <f>INDEX($B$136:$F$154,MATCH(PPH_Data_Base28[[#This Row],[STD Supply Fan Motor]],$B$136:$B$154,0),5)*PPH_Data_Base28[[#This Row],[Fan QTY]]</f>
        <v>36.69975367231639</v>
      </c>
      <c r="DB58" s="871">
        <f>47*1.35*PPH_Data_Base28[[#This Row],[No. of Unit  Compressors]]</f>
        <v>63.45</v>
      </c>
      <c r="DC58" s="871">
        <f>28*PPH_Data_Base28[[#This Row],[NO Condenser Fans]]</f>
        <v>84</v>
      </c>
      <c r="DD58" s="781">
        <f>INDEX($B$136:$F$154,MATCH(PPH_Data_Base28[[#This Row],[STD Supply Fan Motor]],$B$136:$B$154,0),3)*PPH_Data_Base28[[#This Row],[Fan QTY]]</f>
        <v>24.627741525423726</v>
      </c>
      <c r="DE58" s="870">
        <f>INDEX($B$114:$C$131,MATCH(PPH_Data_Base28[[#This Row],[Compressor 1 HP]],$B$114:$B$131,0),2)*PPH_Data_Base28[[#This Row],[Compressor 1 QTY]]+IFERROR(INDEX($B$114:$C$131,MATCH(PPH_Data_Base28[[#This Row],[Compressor 2 HP]],$B$114:$B$131,0),2)*PPH_Data_Base28[[#This Row],[Compressor 2 QTY]],0)</f>
        <v>45</v>
      </c>
      <c r="DF58" s="870">
        <f>38*PPH_Data_Base28[[#This Row],[NO Condenser Fans]]</f>
        <v>114</v>
      </c>
      <c r="DG58" s="870">
        <f>INDEX($B$136:$F$154,MATCH(PPH_Data_Base28[[#This Row],[STD Supply Fan Motor]],$B$136:$B$154,0),5)*PPH_Data_Base28[[#This Row],[Fan QTY]]</f>
        <v>36.69975367231639</v>
      </c>
      <c r="DH58" s="781">
        <v>139.83050847457628</v>
      </c>
      <c r="DI58" s="781">
        <v>58.262711864406782</v>
      </c>
      <c r="DJ58" s="870">
        <v>4300</v>
      </c>
      <c r="DK58" s="870">
        <v>4300</v>
      </c>
      <c r="DL58" s="870">
        <v>1699</v>
      </c>
      <c r="DM58" s="870">
        <v>564.9717514124294</v>
      </c>
      <c r="DN58" s="870">
        <v>213.2530350282486</v>
      </c>
      <c r="DO58" s="870"/>
      <c r="DP58" s="870">
        <v>173.0225988700565</v>
      </c>
      <c r="DQ58" s="870">
        <v>173.0225988700565</v>
      </c>
      <c r="DR58" s="870">
        <v>173.0225988700565</v>
      </c>
      <c r="DS58" s="870"/>
      <c r="DT58" s="870">
        <f>PPH_Data_Base28[[#This Row],[NO Condenser Fans]]*350</f>
        <v>1050</v>
      </c>
      <c r="DU58" s="870">
        <v>357.41164131355953</v>
      </c>
      <c r="DV58" s="870">
        <f>150*PPH_Data_Base28[[#This Row],[NO Condenser Fans]]</f>
        <v>450</v>
      </c>
      <c r="DW58" s="781">
        <v>757.4152542372882</v>
      </c>
      <c r="DX58" s="781">
        <v>250</v>
      </c>
      <c r="DY58" s="870">
        <v>700</v>
      </c>
      <c r="DZ58" s="870">
        <v>100</v>
      </c>
      <c r="EA58" s="870">
        <v>540</v>
      </c>
      <c r="EB58" s="870">
        <v>4.186805084745763</v>
      </c>
      <c r="EC58" s="870">
        <v>23.305084745762713</v>
      </c>
      <c r="ED58" s="870">
        <v>56.080321186440685</v>
      </c>
      <c r="EE58" s="870"/>
      <c r="EF58" s="870"/>
      <c r="EG58" s="870"/>
      <c r="EH58" s="870"/>
      <c r="EI58" s="870"/>
      <c r="EJ58" s="870"/>
      <c r="EK58" s="870"/>
      <c r="EL58" s="870"/>
      <c r="EM58" s="870"/>
      <c r="EN58" s="870"/>
      <c r="EO58" s="870"/>
      <c r="EP58" s="870"/>
      <c r="EQ58" s="870"/>
      <c r="ER58" s="870"/>
      <c r="ES58" s="870"/>
      <c r="ET58" s="870"/>
      <c r="EU58" s="870">
        <v>203</v>
      </c>
      <c r="EV58" s="870">
        <v>250</v>
      </c>
      <c r="EW58" s="847"/>
      <c r="EX58" s="781">
        <v>92.768903954802283</v>
      </c>
      <c r="EY58" s="781">
        <v>666.23951186440684</v>
      </c>
      <c r="EZ58" s="870">
        <v>38.418079096045197</v>
      </c>
      <c r="FA58" s="870">
        <v>40</v>
      </c>
      <c r="FB58" s="870">
        <v>40</v>
      </c>
      <c r="FC58" s="870">
        <v>24</v>
      </c>
      <c r="FD58" s="870">
        <v>24</v>
      </c>
      <c r="FE58" s="870">
        <v>39.548022598870062</v>
      </c>
      <c r="FF58" s="870">
        <v>52.259887005649723</v>
      </c>
      <c r="FG58" s="870">
        <v>300</v>
      </c>
      <c r="FH58" s="870">
        <v>414.03598433475634</v>
      </c>
      <c r="FI58" s="870">
        <v>251.4833065659428</v>
      </c>
      <c r="FJ58" s="870">
        <v>26</v>
      </c>
      <c r="FK58" s="870">
        <f>PPH_Data_Base28[[#This Row],[Differential Pressure Switch]]*2</f>
        <v>52</v>
      </c>
      <c r="FL58" s="870">
        <v>42</v>
      </c>
      <c r="FM58" s="872">
        <f>PPH_Data_Base28[[#This Row],[STD PETRA DIAL DIFF.PRESS.GAUGE NOT DWYER]]*2</f>
        <v>84</v>
      </c>
      <c r="FN58" s="872"/>
      <c r="FO58" s="872">
        <f>PPH_Data_Base28[[#This Row],[Replaceble Filter Drier ]]</f>
        <v>148.5</v>
      </c>
      <c r="FP58" s="872">
        <f>PPH_Data_Base28[[#This Row],[2" Pre-Filter]]*2</f>
        <v>69.86576455165256</v>
      </c>
      <c r="FQ58" s="872">
        <f>PPH_Data_Base28[[#This Row],[Bag Filter EU-8]]</f>
        <v>327.29473726824159</v>
      </c>
      <c r="FR58" s="872"/>
      <c r="FS58" s="872">
        <v>30</v>
      </c>
      <c r="FT58" s="176"/>
      <c r="FU58" s="176"/>
      <c r="FV58" s="176"/>
      <c r="FW58" s="176"/>
      <c r="GW58" s="176"/>
      <c r="GX58" s="176"/>
      <c r="HC58" s="176"/>
    </row>
    <row r="59" spans="1:211">
      <c r="A59" s="780" t="s">
        <v>487</v>
      </c>
      <c r="B59" s="781" t="s">
        <v>1583</v>
      </c>
      <c r="C59" s="781" t="s">
        <v>527</v>
      </c>
      <c r="D59" s="870" t="s">
        <v>1669</v>
      </c>
      <c r="E59" s="870" t="s">
        <v>1058</v>
      </c>
      <c r="F59" s="870" t="s">
        <v>1670</v>
      </c>
      <c r="G59" s="851">
        <v>0</v>
      </c>
      <c r="H59" s="870" t="s">
        <v>2249</v>
      </c>
      <c r="I59" s="781" t="s">
        <v>755</v>
      </c>
      <c r="J59" s="781" t="s">
        <v>1562</v>
      </c>
      <c r="K59" s="781">
        <v>1</v>
      </c>
      <c r="L59" s="781" t="s">
        <v>568</v>
      </c>
      <c r="M59" s="781">
        <v>3</v>
      </c>
      <c r="N59" s="300">
        <v>3</v>
      </c>
      <c r="O59" s="781">
        <v>31.138888888888889</v>
      </c>
      <c r="P59" s="781">
        <v>17.7</v>
      </c>
      <c r="Q59" s="781">
        <v>2</v>
      </c>
      <c r="R59" s="781">
        <v>9</v>
      </c>
      <c r="S59" s="781">
        <v>1</v>
      </c>
      <c r="T59" s="781">
        <v>7</v>
      </c>
      <c r="U59" s="781">
        <v>1</v>
      </c>
      <c r="V59" s="781">
        <v>256</v>
      </c>
      <c r="W59" s="781">
        <v>383</v>
      </c>
      <c r="X59" s="870"/>
      <c r="Y59" s="835">
        <v>0</v>
      </c>
      <c r="Z59" s="782">
        <v>7373.8792826366116</v>
      </c>
      <c r="AA59" s="782">
        <v>7908.8528871553335</v>
      </c>
      <c r="AB59" s="870">
        <v>5500.9138251041431</v>
      </c>
      <c r="AC59" s="834">
        <v>0</v>
      </c>
      <c r="AD59" s="781">
        <v>195.97457627118646</v>
      </c>
      <c r="AE59" s="870">
        <v>169.84463276836161</v>
      </c>
      <c r="AF59" s="870">
        <v>182.90960451977404</v>
      </c>
      <c r="AG59" s="870">
        <v>219.49152542372883</v>
      </c>
      <c r="AH59" s="781">
        <v>235.16949152542375</v>
      </c>
      <c r="AI59" s="870">
        <v>203.81355932203391</v>
      </c>
      <c r="AJ59" s="870">
        <v>219.49152542372883</v>
      </c>
      <c r="AK59" s="870">
        <v>263.38983050847457</v>
      </c>
      <c r="AL59" s="870">
        <f>PPH_Data_Base28[[#This Row],[PPH Unit Basic Price With Cu Tube]]*0.05</f>
        <v>395.44264435776671</v>
      </c>
      <c r="AM59" s="781">
        <v>106.90698867212224</v>
      </c>
      <c r="AN59" s="781"/>
      <c r="AO59" s="781"/>
      <c r="AP59" s="781">
        <v>438.75000000000006</v>
      </c>
      <c r="AQ59" s="781">
        <v>334.8</v>
      </c>
      <c r="AR59" s="781">
        <f>1.5*242</f>
        <v>363</v>
      </c>
      <c r="AS59" s="781">
        <v>445.59605180493645</v>
      </c>
      <c r="AT59" s="781">
        <v>1691.7672422099322</v>
      </c>
      <c r="AU59" s="781">
        <v>34.93288227582628</v>
      </c>
      <c r="AV59" s="781">
        <v>327.29473726824159</v>
      </c>
      <c r="AW59" s="870">
        <v>2545</v>
      </c>
      <c r="AX59" s="870">
        <v>363</v>
      </c>
      <c r="AY59" s="870">
        <v>1666.227403601695</v>
      </c>
      <c r="AZ59" s="870">
        <v>497.91403065413147</v>
      </c>
      <c r="BA59" s="870"/>
      <c r="BB59" s="870">
        <f>PPH_Data_Base28[[#This Row],[PPH Unit Basic Price With Cu Tube]]*0.1</f>
        <v>790.88528871553342</v>
      </c>
      <c r="BC59" s="870">
        <v>87.675614786547882</v>
      </c>
      <c r="BD59" s="870">
        <v>292.25204928849297</v>
      </c>
      <c r="BE59" s="870">
        <v>97.417349762830995</v>
      </c>
      <c r="BF59" s="870">
        <v>97.417349762830995</v>
      </c>
      <c r="BG59" s="870">
        <v>97.417349762830995</v>
      </c>
      <c r="BH59" s="870">
        <f>PPH_Data_Base28[[#This Row],[PPH Unit Basic Price With Cu Tube]]*0.075</f>
        <v>593.16396653665004</v>
      </c>
      <c r="BI59" s="870">
        <v>292.25204928849297</v>
      </c>
      <c r="BJ59" s="870">
        <v>97.417349762830995</v>
      </c>
      <c r="BK59" s="870">
        <v>97.417349762830995</v>
      </c>
      <c r="BL59" s="870">
        <v>97.417349762830995</v>
      </c>
      <c r="BM59" s="781">
        <f>PPH_Data_Base28[[#This Row],[Total Condenser Coil Area]]*Naming!$M$62*4</f>
        <v>2790.0444444444443</v>
      </c>
      <c r="BN59" s="781">
        <f>PPH_Data_Base28[[#This Row],[Total Evaporator  Coil Area]]*Naming!$M$62*4</f>
        <v>1585.9199999999998</v>
      </c>
      <c r="BO59" s="781">
        <f>PPH_Data_Base28[[#This Row],[Total Condenser Coil Area]]*Naming!$D$61*4</f>
        <v>42.348888888888894</v>
      </c>
      <c r="BP59" s="781">
        <f>PPH_Data_Base28[[#This Row],[Total Evaporator  Coil Area]]*Naming!$D$61*6</f>
        <v>36.107999999999997</v>
      </c>
      <c r="BQ59" s="781">
        <f>$G$195*PPH_Data_Base28[[#This Row],[Total Evaporator  Coil Area]]</f>
        <v>79.649999999999991</v>
      </c>
      <c r="BR59" s="781">
        <f>$G$199*PPH_Data_Base28[[#This Row],[Total Evaporator  Coil Area]]</f>
        <v>120.35999999999999</v>
      </c>
      <c r="BS59" s="781">
        <f>$E$185*PPH_Data_Base28[[#This Row],[Total Evaporator  Coil Area]]</f>
        <v>354</v>
      </c>
      <c r="BT59" s="781">
        <f>$E$188*PPH_Data_Base28[[#This Row],[Total Evaporator  Coil Area]]</f>
        <v>495.59999999999997</v>
      </c>
      <c r="BU59" s="781">
        <f>$G$195*PPH_Data_Base28[[#This Row],[Total Condenser Coil Area]]</f>
        <v>140.125</v>
      </c>
      <c r="BV59" s="781">
        <f>$G$199*PPH_Data_Base28[[#This Row],[Total Condenser Coil Area]]</f>
        <v>211.74444444444444</v>
      </c>
      <c r="BW59" s="781">
        <f>$E$185*PPH_Data_Base28[[#This Row],[Total Condenser Coil Area]]</f>
        <v>622.77777777777783</v>
      </c>
      <c r="BX59" s="781">
        <f>$E$188*PPH_Data_Base28[[#This Row],[Total Condenser Coil Area]]</f>
        <v>871.88888888888891</v>
      </c>
      <c r="BY59" s="781">
        <v>231.51080135698533</v>
      </c>
      <c r="BZ59" s="870">
        <v>143.31992532802258</v>
      </c>
      <c r="CA59" s="870"/>
      <c r="CB59" s="870"/>
      <c r="CC59" s="870">
        <v>98.870056497175142</v>
      </c>
      <c r="CD59" s="870">
        <f t="shared" si="9"/>
        <v>96.045197740112997</v>
      </c>
      <c r="CE59" s="870">
        <v>20</v>
      </c>
      <c r="CF59" s="832">
        <v>0</v>
      </c>
      <c r="CG59" s="870">
        <f>PPH_Data_Base28[[#This Row],[PPH Unit Basic Price With Cu Tube]]*0.25</f>
        <v>1977.2132217888334</v>
      </c>
      <c r="CH59" s="870">
        <f>PPH_Data_Base28[[#This Row],[DSP Unit Basic Price With Cu Tube]]*0.35</f>
        <v>1925.31983878645</v>
      </c>
      <c r="CI59" s="781">
        <v>178.38071228813561</v>
      </c>
      <c r="CJ59" s="781">
        <v>259.54695762711867</v>
      </c>
      <c r="CK59" s="781">
        <v>37.192477542372885</v>
      </c>
      <c r="CL59" s="781">
        <f>110*1.35*PPH_Data_Base28[[#This Row],[No. of Unit  Compressors]]</f>
        <v>297</v>
      </c>
      <c r="CM59" s="870">
        <v>101.6949152542373</v>
      </c>
      <c r="CN59" s="781">
        <v>105.64971751412429</v>
      </c>
      <c r="CO59" s="870">
        <v>0</v>
      </c>
      <c r="CP59" s="781">
        <v>172.61319053672315</v>
      </c>
      <c r="CQ59" s="870">
        <v>147.07906807909606</v>
      </c>
      <c r="CR59" s="781">
        <v>245.51832203389827</v>
      </c>
      <c r="CS59" s="870">
        <v>751.57637966101709</v>
      </c>
      <c r="CT59" s="781">
        <v>865.11299435028252</v>
      </c>
      <c r="CU59" s="870">
        <v>184.31171186440676</v>
      </c>
      <c r="CV59" s="870">
        <v>497.17514124293785</v>
      </c>
      <c r="CW59" s="781">
        <f>400*1.35*PPH_Data_Base28[[#This Row],[No. of Unit  Compressors]]</f>
        <v>1080</v>
      </c>
      <c r="CX59" s="835"/>
      <c r="CY59" s="871">
        <f>47*PPH_Data_Base28[[#This Row],[No. of Unit  Compressors]]*1.35</f>
        <v>126.9</v>
      </c>
      <c r="CZ59" s="871">
        <f>30*1.35*PPH_Data_Base28[[#This Row],[NO Condenser Fans]]</f>
        <v>121.5</v>
      </c>
      <c r="DA59" s="781">
        <f>INDEX($B$136:$F$154,MATCH(PPH_Data_Base28[[#This Row],[STD Supply Fan Motor]],$B$136:$B$154,0),5)*PPH_Data_Base28[[#This Row],[Fan QTY]]</f>
        <v>36.69975367231639</v>
      </c>
      <c r="DB59" s="871">
        <f>47*1.35*PPH_Data_Base28[[#This Row],[No. of Unit  Compressors]]</f>
        <v>126.9</v>
      </c>
      <c r="DC59" s="871">
        <f>28*PPH_Data_Base28[[#This Row],[NO Condenser Fans]]</f>
        <v>84</v>
      </c>
      <c r="DD59" s="781">
        <f>INDEX($B$136:$F$154,MATCH(PPH_Data_Base28[[#This Row],[STD Supply Fan Motor]],$B$136:$B$154,0),3)*PPH_Data_Base28[[#This Row],[Fan QTY]]</f>
        <v>24.627741525423726</v>
      </c>
      <c r="DE59" s="870">
        <f>INDEX($B$114:$C$131,MATCH(PPH_Data_Base28[[#This Row],[Compressor 1 HP]],$B$114:$B$131,0),2)*PPH_Data_Base28[[#This Row],[Compressor 1 QTY]]+IFERROR(INDEX($B$114:$C$131,MATCH(PPH_Data_Base28[[#This Row],[Compressor 2 HP]],$B$114:$B$131,0),2)*PPH_Data_Base28[[#This Row],[Compressor 2 QTY]],0)</f>
        <v>72</v>
      </c>
      <c r="DF59" s="870">
        <f>38*PPH_Data_Base28[[#This Row],[NO Condenser Fans]]</f>
        <v>114</v>
      </c>
      <c r="DG59" s="870">
        <f>INDEX($B$136:$F$154,MATCH(PPH_Data_Base28[[#This Row],[STD Supply Fan Motor]],$B$136:$B$154,0),5)*PPH_Data_Base28[[#This Row],[Fan QTY]]</f>
        <v>36.69975367231639</v>
      </c>
      <c r="DH59" s="781">
        <v>139.83050847457628</v>
      </c>
      <c r="DI59" s="781">
        <v>58.262711864406782</v>
      </c>
      <c r="DJ59" s="870">
        <v>3000</v>
      </c>
      <c r="DK59" s="870">
        <v>5700</v>
      </c>
      <c r="DL59" s="870">
        <v>1699</v>
      </c>
      <c r="DM59" s="870">
        <v>564.9717514124294</v>
      </c>
      <c r="DN59" s="870">
        <v>213.2530350282486</v>
      </c>
      <c r="DO59" s="870"/>
      <c r="DP59" s="870">
        <v>173.0225988700565</v>
      </c>
      <c r="DQ59" s="870">
        <v>173.0225988700565</v>
      </c>
      <c r="DR59" s="870">
        <v>173.0225988700565</v>
      </c>
      <c r="DS59" s="870"/>
      <c r="DT59" s="870">
        <f>PPH_Data_Base28[[#This Row],[NO Condenser Fans]]*350</f>
        <v>1050</v>
      </c>
      <c r="DU59" s="870">
        <v>357.41164131355953</v>
      </c>
      <c r="DV59" s="870">
        <f>150*PPH_Data_Base28[[#This Row],[NO Condenser Fans]]</f>
        <v>450</v>
      </c>
      <c r="DW59" s="781">
        <v>757.4152542372882</v>
      </c>
      <c r="DX59" s="781">
        <v>250</v>
      </c>
      <c r="DY59" s="870">
        <v>700</v>
      </c>
      <c r="DZ59" s="870">
        <v>100</v>
      </c>
      <c r="EA59" s="870">
        <v>540</v>
      </c>
      <c r="EB59" s="870">
        <v>4.186805084745763</v>
      </c>
      <c r="EC59" s="870">
        <v>23.305084745762713</v>
      </c>
      <c r="ED59" s="870">
        <v>56.080321186440685</v>
      </c>
      <c r="EE59" s="870"/>
      <c r="EF59" s="870"/>
      <c r="EG59" s="870"/>
      <c r="EH59" s="870"/>
      <c r="EI59" s="870"/>
      <c r="EJ59" s="870"/>
      <c r="EK59" s="870"/>
      <c r="EL59" s="870"/>
      <c r="EM59" s="870"/>
      <c r="EN59" s="870"/>
      <c r="EO59" s="870"/>
      <c r="EP59" s="870"/>
      <c r="EQ59" s="870"/>
      <c r="ER59" s="870"/>
      <c r="ES59" s="870"/>
      <c r="ET59" s="870"/>
      <c r="EU59" s="870">
        <v>203</v>
      </c>
      <c r="EV59" s="870">
        <v>250</v>
      </c>
      <c r="EW59" s="847"/>
      <c r="EX59" s="781">
        <v>92.768903954802283</v>
      </c>
      <c r="EY59" s="781">
        <v>666.23951186440684</v>
      </c>
      <c r="EZ59" s="870">
        <v>38.418079096045197</v>
      </c>
      <c r="FA59" s="870">
        <v>40</v>
      </c>
      <c r="FB59" s="870">
        <v>40</v>
      </c>
      <c r="FC59" s="870">
        <v>24</v>
      </c>
      <c r="FD59" s="870">
        <v>24</v>
      </c>
      <c r="FE59" s="870">
        <v>39.548022598870062</v>
      </c>
      <c r="FF59" s="870">
        <v>52.259887005649723</v>
      </c>
      <c r="FG59" s="870">
        <v>300</v>
      </c>
      <c r="FH59" s="870">
        <v>414.03598433475634</v>
      </c>
      <c r="FI59" s="870">
        <v>251.4833065659428</v>
      </c>
      <c r="FJ59" s="870">
        <v>26</v>
      </c>
      <c r="FK59" s="870">
        <f>PPH_Data_Base28[[#This Row],[Differential Pressure Switch]]*2</f>
        <v>52</v>
      </c>
      <c r="FL59" s="870">
        <v>42</v>
      </c>
      <c r="FM59" s="872">
        <f>PPH_Data_Base28[[#This Row],[STD PETRA DIAL DIFF.PRESS.GAUGE NOT DWYER]]*2</f>
        <v>84</v>
      </c>
      <c r="FN59" s="872"/>
      <c r="FO59" s="872">
        <f>PPH_Data_Base28[[#This Row],[Replaceble Filter Drier ]]</f>
        <v>297</v>
      </c>
      <c r="FP59" s="872">
        <f>PPH_Data_Base28[[#This Row],[2" Pre-Filter]]*2</f>
        <v>69.86576455165256</v>
      </c>
      <c r="FQ59" s="872">
        <f>PPH_Data_Base28[[#This Row],[Bag Filter EU-8]]</f>
        <v>327.29473726824159</v>
      </c>
      <c r="FR59" s="872"/>
      <c r="FS59" s="872">
        <v>30</v>
      </c>
      <c r="FT59" s="176"/>
      <c r="FU59" s="176"/>
      <c r="FV59" s="176"/>
      <c r="FW59" s="176"/>
      <c r="GW59" s="176"/>
      <c r="GX59" s="176"/>
      <c r="HC59" s="176"/>
    </row>
    <row r="60" spans="1:211">
      <c r="A60" s="780" t="s">
        <v>488</v>
      </c>
      <c r="B60" s="781" t="s">
        <v>1587</v>
      </c>
      <c r="C60" s="781" t="s">
        <v>528</v>
      </c>
      <c r="D60" s="870" t="s">
        <v>1671</v>
      </c>
      <c r="E60" s="870" t="s">
        <v>1588</v>
      </c>
      <c r="F60" s="870" t="s">
        <v>1672</v>
      </c>
      <c r="G60" s="851">
        <v>0</v>
      </c>
      <c r="H60" s="870" t="s">
        <v>2249</v>
      </c>
      <c r="I60" s="781" t="s">
        <v>755</v>
      </c>
      <c r="J60" s="781" t="s">
        <v>1586</v>
      </c>
      <c r="K60" s="781">
        <v>1</v>
      </c>
      <c r="L60" s="781" t="s">
        <v>568</v>
      </c>
      <c r="M60" s="781">
        <v>3</v>
      </c>
      <c r="N60" s="300">
        <v>3</v>
      </c>
      <c r="O60" s="781">
        <v>31.138888888888889</v>
      </c>
      <c r="P60" s="781">
        <v>17.7</v>
      </c>
      <c r="Q60" s="781">
        <v>2</v>
      </c>
      <c r="R60" s="781">
        <v>10</v>
      </c>
      <c r="S60" s="781">
        <v>1</v>
      </c>
      <c r="T60" s="781">
        <v>7</v>
      </c>
      <c r="U60" s="781">
        <v>1</v>
      </c>
      <c r="V60" s="781">
        <v>256</v>
      </c>
      <c r="W60" s="781">
        <v>454</v>
      </c>
      <c r="X60" s="870"/>
      <c r="Y60" s="835">
        <v>0</v>
      </c>
      <c r="Z60" s="782">
        <v>7619.7135092223307</v>
      </c>
      <c r="AA60" s="782">
        <v>8154.4678433733225</v>
      </c>
      <c r="AB60" s="870">
        <v>5553.8353109743357</v>
      </c>
      <c r="AC60" s="834">
        <v>0</v>
      </c>
      <c r="AD60" s="781">
        <v>195.97457627118646</v>
      </c>
      <c r="AE60" s="870">
        <v>169.84463276836161</v>
      </c>
      <c r="AF60" s="870">
        <v>182.90960451977404</v>
      </c>
      <c r="AG60" s="870">
        <v>219.49152542372883</v>
      </c>
      <c r="AH60" s="781">
        <v>235.16949152542375</v>
      </c>
      <c r="AI60" s="870">
        <v>203.81355932203391</v>
      </c>
      <c r="AJ60" s="870">
        <v>219.49152542372883</v>
      </c>
      <c r="AK60" s="870">
        <v>263.38983050847457</v>
      </c>
      <c r="AL60" s="870">
        <f>PPH_Data_Base28[[#This Row],[PPH Unit Basic Price With Cu Tube]]*0.05</f>
        <v>407.72339216866612</v>
      </c>
      <c r="AM60" s="781">
        <v>106.90698867212224</v>
      </c>
      <c r="AN60" s="781"/>
      <c r="AO60" s="781"/>
      <c r="AP60" s="781">
        <v>567</v>
      </c>
      <c r="AQ60" s="781">
        <v>359.1</v>
      </c>
      <c r="AR60" s="781">
        <f>1.5*242</f>
        <v>363</v>
      </c>
      <c r="AS60" s="781">
        <v>445.59605180493645</v>
      </c>
      <c r="AT60" s="781">
        <v>1691.7672422099322</v>
      </c>
      <c r="AU60" s="781">
        <v>34.93288227582628</v>
      </c>
      <c r="AV60" s="781">
        <v>327.29473726824159</v>
      </c>
      <c r="AW60" s="870">
        <v>3189</v>
      </c>
      <c r="AX60" s="870">
        <v>363</v>
      </c>
      <c r="AY60" s="870">
        <v>1666.227403601695</v>
      </c>
      <c r="AZ60" s="870">
        <v>497.91403065413147</v>
      </c>
      <c r="BA60" s="870"/>
      <c r="BB60" s="870">
        <f>PPH_Data_Base28[[#This Row],[PPH Unit Basic Price With Cu Tube]]*0.1</f>
        <v>815.44678433733225</v>
      </c>
      <c r="BC60" s="870">
        <v>91.670835195091954</v>
      </c>
      <c r="BD60" s="870">
        <v>305.56945065030652</v>
      </c>
      <c r="BE60" s="870">
        <v>101.85648355010217</v>
      </c>
      <c r="BF60" s="870">
        <v>101.85648355010217</v>
      </c>
      <c r="BG60" s="870">
        <v>101.85648355010217</v>
      </c>
      <c r="BH60" s="870">
        <f>PPH_Data_Base28[[#This Row],[PPH Unit Basic Price With Cu Tube]]*0.075</f>
        <v>611.58508825299918</v>
      </c>
      <c r="BI60" s="870">
        <v>305.56945065030652</v>
      </c>
      <c r="BJ60" s="870">
        <v>101.85648355010217</v>
      </c>
      <c r="BK60" s="870">
        <v>101.85648355010217</v>
      </c>
      <c r="BL60" s="870">
        <v>101.85648355010217</v>
      </c>
      <c r="BM60" s="781">
        <f>PPH_Data_Base28[[#This Row],[Total Condenser Coil Area]]*Naming!$M$62*4</f>
        <v>2790.0444444444443</v>
      </c>
      <c r="BN60" s="781">
        <f>PPH_Data_Base28[[#This Row],[Total Evaporator  Coil Area]]*Naming!$M$62*4</f>
        <v>1585.9199999999998</v>
      </c>
      <c r="BO60" s="781">
        <f>PPH_Data_Base28[[#This Row],[Total Condenser Coil Area]]*Naming!$D$61*4</f>
        <v>42.348888888888894</v>
      </c>
      <c r="BP60" s="781">
        <f>PPH_Data_Base28[[#This Row],[Total Evaporator  Coil Area]]*Naming!$D$61*6</f>
        <v>36.107999999999997</v>
      </c>
      <c r="BQ60" s="781">
        <f>$G$195*PPH_Data_Base28[[#This Row],[Total Evaporator  Coil Area]]</f>
        <v>79.649999999999991</v>
      </c>
      <c r="BR60" s="781">
        <f>$G$199*PPH_Data_Base28[[#This Row],[Total Evaporator  Coil Area]]</f>
        <v>120.35999999999999</v>
      </c>
      <c r="BS60" s="781">
        <f>$E$185*PPH_Data_Base28[[#This Row],[Total Evaporator  Coil Area]]</f>
        <v>354</v>
      </c>
      <c r="BT60" s="781">
        <f>$E$188*PPH_Data_Base28[[#This Row],[Total Evaporator  Coil Area]]</f>
        <v>495.59999999999997</v>
      </c>
      <c r="BU60" s="781">
        <f>$G$195*PPH_Data_Base28[[#This Row],[Total Condenser Coil Area]]</f>
        <v>140.125</v>
      </c>
      <c r="BV60" s="781">
        <f>$G$199*PPH_Data_Base28[[#This Row],[Total Condenser Coil Area]]</f>
        <v>211.74444444444444</v>
      </c>
      <c r="BW60" s="781">
        <f>$E$185*PPH_Data_Base28[[#This Row],[Total Condenser Coil Area]]</f>
        <v>622.77777777777783</v>
      </c>
      <c r="BX60" s="781">
        <f>$E$188*PPH_Data_Base28[[#This Row],[Total Condenser Coil Area]]</f>
        <v>871.88888888888891</v>
      </c>
      <c r="BY60" s="781">
        <v>231.51080135698533</v>
      </c>
      <c r="BZ60" s="870">
        <v>143.31992532802258</v>
      </c>
      <c r="CA60" s="870"/>
      <c r="CB60" s="870"/>
      <c r="CC60" s="870">
        <v>98.870056497175142</v>
      </c>
      <c r="CD60" s="870">
        <f t="shared" si="9"/>
        <v>96.045197740112997</v>
      </c>
      <c r="CE60" s="870">
        <v>20</v>
      </c>
      <c r="CF60" s="832">
        <v>0</v>
      </c>
      <c r="CG60" s="870">
        <f>PPH_Data_Base28[[#This Row],[PPH Unit Basic Price With Cu Tube]]*0.25</f>
        <v>2038.6169608433306</v>
      </c>
      <c r="CH60" s="870">
        <f>PPH_Data_Base28[[#This Row],[DSP Unit Basic Price With Cu Tube]]*0.35</f>
        <v>1943.8423588410174</v>
      </c>
      <c r="CI60" s="781">
        <v>178.38071228813561</v>
      </c>
      <c r="CJ60" s="781">
        <v>259.54695762711867</v>
      </c>
      <c r="CK60" s="781">
        <v>37.192477542372885</v>
      </c>
      <c r="CL60" s="781">
        <f>110*1.35*PPH_Data_Base28[[#This Row],[No. of Unit  Compressors]]</f>
        <v>297</v>
      </c>
      <c r="CM60" s="870">
        <v>101.6949152542373</v>
      </c>
      <c r="CN60" s="781">
        <v>105.64971751412429</v>
      </c>
      <c r="CO60" s="870">
        <v>0</v>
      </c>
      <c r="CP60" s="781">
        <v>172.61319053672315</v>
      </c>
      <c r="CQ60" s="870">
        <v>147.07906807909606</v>
      </c>
      <c r="CR60" s="781">
        <v>245.51832203389827</v>
      </c>
      <c r="CS60" s="870">
        <v>741.97996101694923</v>
      </c>
      <c r="CT60" s="781">
        <v>865.11299435028252</v>
      </c>
      <c r="CU60" s="870">
        <v>184.31171186440676</v>
      </c>
      <c r="CV60" s="870">
        <v>497.17514124293785</v>
      </c>
      <c r="CW60" s="781">
        <f>400*1.35*PPH_Data_Base28[[#This Row],[No. of Unit  Compressors]]</f>
        <v>1080</v>
      </c>
      <c r="CX60" s="835"/>
      <c r="CY60" s="871">
        <f>47*PPH_Data_Base28[[#This Row],[No. of Unit  Compressors]]*1.35</f>
        <v>126.9</v>
      </c>
      <c r="CZ60" s="871">
        <f>30*1.35*PPH_Data_Base28[[#This Row],[NO Condenser Fans]]</f>
        <v>121.5</v>
      </c>
      <c r="DA60" s="781">
        <f>INDEX($B$136:$F$154,MATCH(PPH_Data_Base28[[#This Row],[STD Supply Fan Motor]],$B$136:$B$154,0),5)*PPH_Data_Base28[[#This Row],[Fan QTY]]</f>
        <v>43.509511864406782</v>
      </c>
      <c r="DB60" s="871">
        <f>47*1.35*PPH_Data_Base28[[#This Row],[No. of Unit  Compressors]]</f>
        <v>126.9</v>
      </c>
      <c r="DC60" s="871">
        <f>28*PPH_Data_Base28[[#This Row],[NO Condenser Fans]]</f>
        <v>84</v>
      </c>
      <c r="DD60" s="781">
        <f>INDEX($B$136:$F$154,MATCH(PPH_Data_Base28[[#This Row],[STD Supply Fan Motor]],$B$136:$B$154,0),3)*PPH_Data_Base28[[#This Row],[Fan QTY]]</f>
        <v>27.333113841807918</v>
      </c>
      <c r="DE60" s="870">
        <f>INDEX($B$114:$C$131,MATCH(PPH_Data_Base28[[#This Row],[Compressor 1 HP]],$B$114:$B$131,0),2)*PPH_Data_Base28[[#This Row],[Compressor 1 QTY]]+IFERROR(INDEX($B$114:$C$131,MATCH(PPH_Data_Base28[[#This Row],[Compressor 2 HP]],$B$114:$B$131,0),2)*PPH_Data_Base28[[#This Row],[Compressor 2 QTY]],0)</f>
        <v>72</v>
      </c>
      <c r="DF60" s="870">
        <f>38*PPH_Data_Base28[[#This Row],[NO Condenser Fans]]</f>
        <v>114</v>
      </c>
      <c r="DG60" s="870">
        <f>INDEX($B$136:$F$154,MATCH(PPH_Data_Base28[[#This Row],[STD Supply Fan Motor]],$B$136:$B$154,0),5)*PPH_Data_Base28[[#This Row],[Fan QTY]]</f>
        <v>43.509511864406782</v>
      </c>
      <c r="DH60" s="781">
        <v>139.83050847457628</v>
      </c>
      <c r="DI60" s="781">
        <v>58.262711864406782</v>
      </c>
      <c r="DJ60" s="870">
        <v>3000</v>
      </c>
      <c r="DK60" s="870">
        <v>5700</v>
      </c>
      <c r="DL60" s="870">
        <v>1699</v>
      </c>
      <c r="DM60" s="870">
        <v>564.9717514124294</v>
      </c>
      <c r="DN60" s="870">
        <v>213.2530350282486</v>
      </c>
      <c r="DO60" s="870"/>
      <c r="DP60" s="870">
        <v>173.0225988700565</v>
      </c>
      <c r="DQ60" s="870">
        <v>173.0225988700565</v>
      </c>
      <c r="DR60" s="870">
        <v>173.0225988700565</v>
      </c>
      <c r="DS60" s="870"/>
      <c r="DT60" s="870">
        <f>PPH_Data_Base28[[#This Row],[NO Condenser Fans]]*350</f>
        <v>1050</v>
      </c>
      <c r="DU60" s="870">
        <v>357.41164131355953</v>
      </c>
      <c r="DV60" s="870">
        <f>150*PPH_Data_Base28[[#This Row],[NO Condenser Fans]]</f>
        <v>450</v>
      </c>
      <c r="DW60" s="781">
        <v>757.4152542372882</v>
      </c>
      <c r="DX60" s="781">
        <v>250</v>
      </c>
      <c r="DY60" s="870">
        <v>700</v>
      </c>
      <c r="DZ60" s="870">
        <v>100</v>
      </c>
      <c r="EA60" s="870">
        <v>540</v>
      </c>
      <c r="EB60" s="870">
        <v>4.186805084745763</v>
      </c>
      <c r="EC60" s="870">
        <v>23.305084745762713</v>
      </c>
      <c r="ED60" s="870">
        <v>56.080321186440685</v>
      </c>
      <c r="EE60" s="870"/>
      <c r="EF60" s="870"/>
      <c r="EG60" s="870"/>
      <c r="EH60" s="870"/>
      <c r="EI60" s="870"/>
      <c r="EJ60" s="870"/>
      <c r="EK60" s="870"/>
      <c r="EL60" s="870"/>
      <c r="EM60" s="870"/>
      <c r="EN60" s="870"/>
      <c r="EO60" s="870"/>
      <c r="EP60" s="870"/>
      <c r="EQ60" s="870"/>
      <c r="ER60" s="870"/>
      <c r="ES60" s="870"/>
      <c r="ET60" s="870"/>
      <c r="EU60" s="870">
        <v>203</v>
      </c>
      <c r="EV60" s="870">
        <v>250</v>
      </c>
      <c r="EW60" s="847"/>
      <c r="EX60" s="781">
        <v>92.768903954802283</v>
      </c>
      <c r="EY60" s="781">
        <v>666.23951186440684</v>
      </c>
      <c r="EZ60" s="870">
        <v>38.418079096045197</v>
      </c>
      <c r="FA60" s="870">
        <v>40</v>
      </c>
      <c r="FB60" s="870">
        <v>40</v>
      </c>
      <c r="FC60" s="870">
        <v>24</v>
      </c>
      <c r="FD60" s="870">
        <v>24</v>
      </c>
      <c r="FE60" s="870">
        <v>39.548022598870062</v>
      </c>
      <c r="FF60" s="870">
        <v>52.259887005649723</v>
      </c>
      <c r="FG60" s="870">
        <v>300</v>
      </c>
      <c r="FH60" s="870">
        <v>414.03598433475634</v>
      </c>
      <c r="FI60" s="870">
        <v>251.4833065659428</v>
      </c>
      <c r="FJ60" s="870">
        <v>26</v>
      </c>
      <c r="FK60" s="870">
        <f>PPH_Data_Base28[[#This Row],[Differential Pressure Switch]]*2</f>
        <v>52</v>
      </c>
      <c r="FL60" s="870">
        <v>42</v>
      </c>
      <c r="FM60" s="872">
        <f>PPH_Data_Base28[[#This Row],[STD PETRA DIAL DIFF.PRESS.GAUGE NOT DWYER]]*2</f>
        <v>84</v>
      </c>
      <c r="FN60" s="872"/>
      <c r="FO60" s="872">
        <f>PPH_Data_Base28[[#This Row],[Replaceble Filter Drier ]]</f>
        <v>297</v>
      </c>
      <c r="FP60" s="872">
        <f>PPH_Data_Base28[[#This Row],[2" Pre-Filter]]*2</f>
        <v>69.86576455165256</v>
      </c>
      <c r="FQ60" s="872">
        <f>PPH_Data_Base28[[#This Row],[Bag Filter EU-8]]</f>
        <v>327.29473726824159</v>
      </c>
      <c r="FR60" s="872"/>
      <c r="FS60" s="872">
        <v>30</v>
      </c>
      <c r="FT60" s="176"/>
      <c r="FU60" s="176"/>
      <c r="FV60" s="176"/>
      <c r="FW60" s="176"/>
      <c r="GW60" s="176"/>
      <c r="GX60" s="176"/>
      <c r="HC60" s="176"/>
    </row>
    <row r="61" spans="1:211">
      <c r="A61" s="780" t="s">
        <v>489</v>
      </c>
      <c r="B61" s="781" t="s">
        <v>1591</v>
      </c>
      <c r="C61" s="781" t="s">
        <v>529</v>
      </c>
      <c r="D61" s="870" t="s">
        <v>1673</v>
      </c>
      <c r="E61" s="870" t="s">
        <v>1062</v>
      </c>
      <c r="F61" s="870" t="s">
        <v>1674</v>
      </c>
      <c r="G61" s="851">
        <v>0</v>
      </c>
      <c r="H61" s="870" t="s">
        <v>2249</v>
      </c>
      <c r="I61" s="781" t="s">
        <v>759</v>
      </c>
      <c r="J61" s="781" t="s">
        <v>1586</v>
      </c>
      <c r="K61" s="781">
        <v>1</v>
      </c>
      <c r="L61" s="781" t="s">
        <v>568</v>
      </c>
      <c r="M61" s="781">
        <v>3</v>
      </c>
      <c r="N61" s="300">
        <v>3</v>
      </c>
      <c r="O61" s="781">
        <v>31.138888888888889</v>
      </c>
      <c r="P61" s="781">
        <v>17.7</v>
      </c>
      <c r="Q61" s="781">
        <v>2</v>
      </c>
      <c r="R61" s="781">
        <v>10</v>
      </c>
      <c r="S61" s="781">
        <v>2</v>
      </c>
      <c r="T61" s="781"/>
      <c r="U61" s="781"/>
      <c r="V61" s="781">
        <v>326</v>
      </c>
      <c r="W61" s="781">
        <v>454</v>
      </c>
      <c r="X61" s="870"/>
      <c r="Y61" s="835">
        <v>0</v>
      </c>
      <c r="Z61" s="782">
        <v>7346.389006641275</v>
      </c>
      <c r="AA61" s="782">
        <v>8136.8231002020302</v>
      </c>
      <c r="AB61" s="870">
        <v>5728.6572334900584</v>
      </c>
      <c r="AC61" s="834">
        <v>0</v>
      </c>
      <c r="AD61" s="781">
        <v>195.97457627118646</v>
      </c>
      <c r="AE61" s="870">
        <v>169.84463276836161</v>
      </c>
      <c r="AF61" s="870">
        <v>182.90960451977404</v>
      </c>
      <c r="AG61" s="870">
        <v>219.49152542372883</v>
      </c>
      <c r="AH61" s="781">
        <v>235.16949152542375</v>
      </c>
      <c r="AI61" s="870">
        <v>203.81355932203391</v>
      </c>
      <c r="AJ61" s="870">
        <v>219.49152542372883</v>
      </c>
      <c r="AK61" s="870">
        <v>263.38983050847457</v>
      </c>
      <c r="AL61" s="870">
        <f>PPH_Data_Base28[[#This Row],[PPH Unit Basic Price With Cu Tube]]*0.05</f>
        <v>406.84115501010155</v>
      </c>
      <c r="AM61" s="781">
        <v>106.90698867212224</v>
      </c>
      <c r="AN61" s="781"/>
      <c r="AO61" s="781"/>
      <c r="AP61" s="781">
        <v>567</v>
      </c>
      <c r="AQ61" s="781">
        <v>449.55</v>
      </c>
      <c r="AR61" s="781">
        <f>1.5*242</f>
        <v>363</v>
      </c>
      <c r="AS61" s="781">
        <v>445.59605180493645</v>
      </c>
      <c r="AT61" s="781">
        <v>1691.7672422099322</v>
      </c>
      <c r="AU61" s="781">
        <v>34.93288227582628</v>
      </c>
      <c r="AV61" s="781">
        <v>327.29473726824159</v>
      </c>
      <c r="AW61" s="870">
        <v>4186</v>
      </c>
      <c r="AX61" s="870">
        <v>363</v>
      </c>
      <c r="AY61" s="870">
        <v>1666.227403601695</v>
      </c>
      <c r="AZ61" s="870">
        <v>497.91403065413147</v>
      </c>
      <c r="BA61" s="870"/>
      <c r="BB61" s="870">
        <f>PPH_Data_Base28[[#This Row],[PPH Unit Basic Price With Cu Tube]]*0.1</f>
        <v>813.68231002020309</v>
      </c>
      <c r="BC61" s="870">
        <v>95.331871984724756</v>
      </c>
      <c r="BD61" s="870">
        <v>317.77290661574921</v>
      </c>
      <c r="BE61" s="870">
        <v>105.92430220524973</v>
      </c>
      <c r="BF61" s="870">
        <v>105.92430220524973</v>
      </c>
      <c r="BG61" s="870">
        <v>105.92430220524973</v>
      </c>
      <c r="BH61" s="870">
        <f>PPH_Data_Base28[[#This Row],[PPH Unit Basic Price With Cu Tube]]*0.075</f>
        <v>610.26173251515229</v>
      </c>
      <c r="BI61" s="870">
        <v>317.77290661574921</v>
      </c>
      <c r="BJ61" s="870">
        <v>105.92430220524973</v>
      </c>
      <c r="BK61" s="870">
        <v>105.92430220524973</v>
      </c>
      <c r="BL61" s="870">
        <v>105.92430220524973</v>
      </c>
      <c r="BM61" s="781">
        <f>PPH_Data_Base28[[#This Row],[Total Condenser Coil Area]]*Naming!$M$62*4</f>
        <v>2790.0444444444443</v>
      </c>
      <c r="BN61" s="781">
        <f>PPH_Data_Base28[[#This Row],[Total Evaporator  Coil Area]]*Naming!$M$62*4</f>
        <v>1585.9199999999998</v>
      </c>
      <c r="BO61" s="781">
        <f>PPH_Data_Base28[[#This Row],[Total Condenser Coil Area]]*Naming!$D$61*4</f>
        <v>42.348888888888894</v>
      </c>
      <c r="BP61" s="781">
        <f>PPH_Data_Base28[[#This Row],[Total Evaporator  Coil Area]]*Naming!$D$61*6</f>
        <v>36.107999999999997</v>
      </c>
      <c r="BQ61" s="781">
        <f>$G$195*PPH_Data_Base28[[#This Row],[Total Evaporator  Coil Area]]</f>
        <v>79.649999999999991</v>
      </c>
      <c r="BR61" s="781">
        <f>$G$199*PPH_Data_Base28[[#This Row],[Total Evaporator  Coil Area]]</f>
        <v>120.35999999999999</v>
      </c>
      <c r="BS61" s="781">
        <f>$E$185*PPH_Data_Base28[[#This Row],[Total Evaporator  Coil Area]]</f>
        <v>354</v>
      </c>
      <c r="BT61" s="781">
        <f>$E$188*PPH_Data_Base28[[#This Row],[Total Evaporator  Coil Area]]</f>
        <v>495.59999999999997</v>
      </c>
      <c r="BU61" s="781">
        <f>$G$195*PPH_Data_Base28[[#This Row],[Total Condenser Coil Area]]</f>
        <v>140.125</v>
      </c>
      <c r="BV61" s="781">
        <f>$G$199*PPH_Data_Base28[[#This Row],[Total Condenser Coil Area]]</f>
        <v>211.74444444444444</v>
      </c>
      <c r="BW61" s="781">
        <f>$E$185*PPH_Data_Base28[[#This Row],[Total Condenser Coil Area]]</f>
        <v>622.77777777777783</v>
      </c>
      <c r="BX61" s="781">
        <f>$E$188*PPH_Data_Base28[[#This Row],[Total Condenser Coil Area]]</f>
        <v>871.88888888888891</v>
      </c>
      <c r="BY61" s="781">
        <v>231.51080135698533</v>
      </c>
      <c r="BZ61" s="870">
        <v>143.31992532802258</v>
      </c>
      <c r="CA61" s="870"/>
      <c r="CB61" s="870"/>
      <c r="CC61" s="870">
        <v>98.870056497175142</v>
      </c>
      <c r="CD61" s="870">
        <f t="shared" si="9"/>
        <v>96.045197740112997</v>
      </c>
      <c r="CE61" s="870">
        <v>20</v>
      </c>
      <c r="CF61" s="832">
        <v>0</v>
      </c>
      <c r="CG61" s="870">
        <f>PPH_Data_Base28[[#This Row],[PPH Unit Basic Price With Cu Tube]]*0.25</f>
        <v>2034.2057750505076</v>
      </c>
      <c r="CH61" s="870">
        <f>PPH_Data_Base28[[#This Row],[DSP Unit Basic Price With Cu Tube]]*0.35</f>
        <v>2005.0300317215203</v>
      </c>
      <c r="CI61" s="781">
        <v>178.38071228813561</v>
      </c>
      <c r="CJ61" s="781">
        <v>259.54695762711867</v>
      </c>
      <c r="CK61" s="781">
        <v>37.192477542372885</v>
      </c>
      <c r="CL61" s="781">
        <f>110*1.35*PPH_Data_Base28[[#This Row],[No. of Unit  Compressors]]</f>
        <v>297</v>
      </c>
      <c r="CM61" s="870">
        <v>101.6949152542373</v>
      </c>
      <c r="CN61" s="781">
        <v>105.64971751412429</v>
      </c>
      <c r="CO61" s="870">
        <v>0</v>
      </c>
      <c r="CP61" s="781">
        <v>172.61319053672315</v>
      </c>
      <c r="CQ61" s="870">
        <v>147.07906807909606</v>
      </c>
      <c r="CR61" s="781">
        <v>245.51832203389827</v>
      </c>
      <c r="CS61" s="870">
        <v>766.5780677966103</v>
      </c>
      <c r="CT61" s="781">
        <v>865.11299435028252</v>
      </c>
      <c r="CU61" s="870">
        <v>184.31171186440676</v>
      </c>
      <c r="CV61" s="870">
        <v>497.17514124293785</v>
      </c>
      <c r="CW61" s="781">
        <f>400*1.35*PPH_Data_Base28[[#This Row],[No. of Unit  Compressors]]</f>
        <v>1080</v>
      </c>
      <c r="CX61" s="835"/>
      <c r="CY61" s="871">
        <f>47*PPH_Data_Base28[[#This Row],[No. of Unit  Compressors]]*1.35</f>
        <v>126.9</v>
      </c>
      <c r="CZ61" s="871">
        <f>30*1.35*PPH_Data_Base28[[#This Row],[NO Condenser Fans]]</f>
        <v>121.5</v>
      </c>
      <c r="DA61" s="781">
        <f>INDEX($B$136:$F$154,MATCH(PPH_Data_Base28[[#This Row],[STD Supply Fan Motor]],$B$136:$B$154,0),5)*PPH_Data_Base28[[#This Row],[Fan QTY]]</f>
        <v>43.509511864406782</v>
      </c>
      <c r="DB61" s="871">
        <f>47*1.35*PPH_Data_Base28[[#This Row],[No. of Unit  Compressors]]</f>
        <v>126.9</v>
      </c>
      <c r="DC61" s="871">
        <f>28*PPH_Data_Base28[[#This Row],[NO Condenser Fans]]</f>
        <v>84</v>
      </c>
      <c r="DD61" s="781">
        <f>INDEX($B$136:$F$154,MATCH(PPH_Data_Base28[[#This Row],[STD Supply Fan Motor]],$B$136:$B$154,0),3)*PPH_Data_Base28[[#This Row],[Fan QTY]]</f>
        <v>27.333113841807918</v>
      </c>
      <c r="DE61" s="870">
        <f>INDEX($B$114:$C$131,MATCH(PPH_Data_Base28[[#This Row],[Compressor 1 HP]],$B$114:$B$131,0),2)*PPH_Data_Base28[[#This Row],[Compressor 1 QTY]]+IFERROR(INDEX($B$114:$C$131,MATCH(PPH_Data_Base28[[#This Row],[Compressor 2 HP]],$B$114:$B$131,0),2)*PPH_Data_Base28[[#This Row],[Compressor 2 QTY]],0)</f>
        <v>84</v>
      </c>
      <c r="DF61" s="870">
        <f>38*PPH_Data_Base28[[#This Row],[NO Condenser Fans]]</f>
        <v>114</v>
      </c>
      <c r="DG61" s="870">
        <f>INDEX($B$136:$F$154,MATCH(PPH_Data_Base28[[#This Row],[STD Supply Fan Motor]],$B$136:$B$154,0),5)*PPH_Data_Base28[[#This Row],[Fan QTY]]</f>
        <v>43.509511864406782</v>
      </c>
      <c r="DH61" s="781">
        <v>256.35593220338978</v>
      </c>
      <c r="DI61" s="781">
        <v>58.262711864406782</v>
      </c>
      <c r="DJ61" s="870">
        <v>3000</v>
      </c>
      <c r="DK61" s="870">
        <v>6000</v>
      </c>
      <c r="DL61" s="870">
        <v>1699</v>
      </c>
      <c r="DM61" s="870">
        <v>564.9717514124294</v>
      </c>
      <c r="DN61" s="870">
        <v>213.2530350282486</v>
      </c>
      <c r="DO61" s="870"/>
      <c r="DP61" s="870">
        <v>173.0225988700565</v>
      </c>
      <c r="DQ61" s="870">
        <v>173.0225988700565</v>
      </c>
      <c r="DR61" s="870">
        <v>173.0225988700565</v>
      </c>
      <c r="DS61" s="870"/>
      <c r="DT61" s="870">
        <f>PPH_Data_Base28[[#This Row],[NO Condenser Fans]]*350</f>
        <v>1050</v>
      </c>
      <c r="DU61" s="870">
        <v>357.41164131355953</v>
      </c>
      <c r="DV61" s="870">
        <f>150*PPH_Data_Base28[[#This Row],[NO Condenser Fans]]</f>
        <v>450</v>
      </c>
      <c r="DW61" s="781">
        <v>757.4152542372882</v>
      </c>
      <c r="DX61" s="781">
        <v>250</v>
      </c>
      <c r="DY61" s="870">
        <v>700</v>
      </c>
      <c r="DZ61" s="870">
        <v>100</v>
      </c>
      <c r="EA61" s="870">
        <v>540</v>
      </c>
      <c r="EB61" s="870">
        <v>4.186805084745763</v>
      </c>
      <c r="EC61" s="870">
        <v>23.305084745762713</v>
      </c>
      <c r="ED61" s="870">
        <v>56.080321186440685</v>
      </c>
      <c r="EE61" s="870"/>
      <c r="EF61" s="870"/>
      <c r="EG61" s="870"/>
      <c r="EH61" s="870"/>
      <c r="EI61" s="870"/>
      <c r="EJ61" s="870"/>
      <c r="EK61" s="870"/>
      <c r="EL61" s="870"/>
      <c r="EM61" s="870"/>
      <c r="EN61" s="870"/>
      <c r="EO61" s="870"/>
      <c r="EP61" s="870"/>
      <c r="EQ61" s="870"/>
      <c r="ER61" s="870"/>
      <c r="ES61" s="870"/>
      <c r="ET61" s="870"/>
      <c r="EU61" s="870">
        <v>203</v>
      </c>
      <c r="EV61" s="870">
        <v>250</v>
      </c>
      <c r="EW61" s="847"/>
      <c r="EX61" s="781">
        <v>92.768903954802283</v>
      </c>
      <c r="EY61" s="781">
        <v>666.23951186440684</v>
      </c>
      <c r="EZ61" s="870">
        <v>38.418079096045197</v>
      </c>
      <c r="FA61" s="870">
        <v>40</v>
      </c>
      <c r="FB61" s="870">
        <v>40</v>
      </c>
      <c r="FC61" s="870">
        <v>24</v>
      </c>
      <c r="FD61" s="870">
        <v>24</v>
      </c>
      <c r="FE61" s="870">
        <v>39.548022598870062</v>
      </c>
      <c r="FF61" s="870">
        <v>52.259887005649723</v>
      </c>
      <c r="FG61" s="870">
        <v>300</v>
      </c>
      <c r="FH61" s="870">
        <v>414.03598433475634</v>
      </c>
      <c r="FI61" s="870">
        <v>251.4833065659428</v>
      </c>
      <c r="FJ61" s="870">
        <v>26</v>
      </c>
      <c r="FK61" s="870">
        <f>PPH_Data_Base28[[#This Row],[Differential Pressure Switch]]*2</f>
        <v>52</v>
      </c>
      <c r="FL61" s="870">
        <v>42</v>
      </c>
      <c r="FM61" s="872">
        <f>PPH_Data_Base28[[#This Row],[STD PETRA DIAL DIFF.PRESS.GAUGE NOT DWYER]]*2</f>
        <v>84</v>
      </c>
      <c r="FN61" s="872"/>
      <c r="FO61" s="872">
        <f>PPH_Data_Base28[[#This Row],[Replaceble Filter Drier ]]</f>
        <v>297</v>
      </c>
      <c r="FP61" s="872">
        <f>PPH_Data_Base28[[#This Row],[2" Pre-Filter]]*2</f>
        <v>69.86576455165256</v>
      </c>
      <c r="FQ61" s="872">
        <f>PPH_Data_Base28[[#This Row],[Bag Filter EU-8]]</f>
        <v>327.29473726824159</v>
      </c>
      <c r="FR61" s="872"/>
      <c r="FS61" s="872">
        <v>30</v>
      </c>
      <c r="FT61" s="176"/>
      <c r="FU61" s="176"/>
      <c r="FV61" s="176"/>
      <c r="FW61" s="176"/>
      <c r="GW61" s="176"/>
      <c r="GX61" s="176"/>
      <c r="HC61" s="176"/>
    </row>
    <row r="62" spans="1:211">
      <c r="A62" s="780" t="s">
        <v>490</v>
      </c>
      <c r="B62" s="781" t="s">
        <v>1595</v>
      </c>
      <c r="C62" s="781" t="s">
        <v>530</v>
      </c>
      <c r="D62" s="870" t="s">
        <v>1675</v>
      </c>
      <c r="E62" s="870" t="s">
        <v>1067</v>
      </c>
      <c r="F62" s="870" t="s">
        <v>1067</v>
      </c>
      <c r="G62" s="851">
        <v>0</v>
      </c>
      <c r="H62" s="870" t="s">
        <v>2249</v>
      </c>
      <c r="I62" s="781" t="s">
        <v>759</v>
      </c>
      <c r="J62" s="781" t="s">
        <v>1594</v>
      </c>
      <c r="K62" s="781">
        <v>1</v>
      </c>
      <c r="L62" s="781" t="s">
        <v>568</v>
      </c>
      <c r="M62" s="781">
        <v>3</v>
      </c>
      <c r="N62" s="300">
        <v>3</v>
      </c>
      <c r="O62" s="781">
        <v>35.659722222222221</v>
      </c>
      <c r="P62" s="781">
        <v>20.100000000000001</v>
      </c>
      <c r="Q62" s="781">
        <v>2</v>
      </c>
      <c r="R62" s="781">
        <v>12</v>
      </c>
      <c r="S62" s="781">
        <v>2</v>
      </c>
      <c r="T62" s="781"/>
      <c r="U62" s="781"/>
      <c r="V62" s="781">
        <v>326</v>
      </c>
      <c r="W62" s="781">
        <v>560</v>
      </c>
      <c r="X62" s="870"/>
      <c r="Y62" s="835">
        <v>0</v>
      </c>
      <c r="Z62" s="782">
        <v>8460.9389386967687</v>
      </c>
      <c r="AA62" s="782">
        <v>9421.583417219661</v>
      </c>
      <c r="AB62" s="870">
        <v>6588.8361007283902</v>
      </c>
      <c r="AC62" s="834">
        <v>0</v>
      </c>
      <c r="AD62" s="781">
        <v>195.97457627118646</v>
      </c>
      <c r="AE62" s="870">
        <v>169.84463276836161</v>
      </c>
      <c r="AF62" s="870">
        <v>182.90960451977404</v>
      </c>
      <c r="AG62" s="870">
        <v>219.49152542372883</v>
      </c>
      <c r="AH62" s="781">
        <v>235.16949152542375</v>
      </c>
      <c r="AI62" s="870">
        <v>203.81355932203391</v>
      </c>
      <c r="AJ62" s="870">
        <v>219.49152542372883</v>
      </c>
      <c r="AK62" s="870">
        <v>263.38983050847457</v>
      </c>
      <c r="AL62" s="870">
        <f>PPH_Data_Base28[[#This Row],[PPH Unit Basic Price With Cu Tube]]*0.05</f>
        <v>471.07917086098308</v>
      </c>
      <c r="AM62" s="781">
        <v>122.42805237095176</v>
      </c>
      <c r="AN62" s="781"/>
      <c r="AO62" s="781"/>
      <c r="AP62" s="781">
        <v>573.75</v>
      </c>
      <c r="AQ62" s="781">
        <v>449.55</v>
      </c>
      <c r="AR62" s="781">
        <f>2*242</f>
        <v>484</v>
      </c>
      <c r="AS62" s="781">
        <v>516.84276722470543</v>
      </c>
      <c r="AT62" s="781">
        <v>1805.7619868815627</v>
      </c>
      <c r="AU62" s="781">
        <v>64.461933184512702</v>
      </c>
      <c r="AV62" s="781">
        <v>415.46178602245976</v>
      </c>
      <c r="AW62" s="870">
        <v>4186</v>
      </c>
      <c r="AX62" s="870">
        <v>363</v>
      </c>
      <c r="AY62" s="870">
        <v>1666.227403601695</v>
      </c>
      <c r="AZ62" s="870">
        <v>497.91403065413147</v>
      </c>
      <c r="BA62" s="870"/>
      <c r="BB62" s="870">
        <f>PPH_Data_Base28[[#This Row],[PPH Unit Basic Price With Cu Tube]]*0.1</f>
        <v>942.15834172196617</v>
      </c>
      <c r="BC62" s="870">
        <v>102.4276945758609</v>
      </c>
      <c r="BD62" s="870">
        <v>341.42564858620301</v>
      </c>
      <c r="BE62" s="870">
        <v>113.80854952873433</v>
      </c>
      <c r="BF62" s="870">
        <v>113.80854952873433</v>
      </c>
      <c r="BG62" s="870">
        <v>113.80854952873433</v>
      </c>
      <c r="BH62" s="870">
        <f>PPH_Data_Base28[[#This Row],[PPH Unit Basic Price With Cu Tube]]*0.075</f>
        <v>706.6187562914746</v>
      </c>
      <c r="BI62" s="870">
        <v>341.42564858620301</v>
      </c>
      <c r="BJ62" s="870">
        <v>113.80854952873433</v>
      </c>
      <c r="BK62" s="870">
        <v>113.80854952873433</v>
      </c>
      <c r="BL62" s="870">
        <v>113.80854952873433</v>
      </c>
      <c r="BM62" s="781">
        <f>PPH_Data_Base28[[#This Row],[Total Condenser Coil Area]]*Naming!$M$62*4</f>
        <v>3195.1111111111109</v>
      </c>
      <c r="BN62" s="781">
        <f>PPH_Data_Base28[[#This Row],[Total Evaporator  Coil Area]]*Naming!$M$62*4</f>
        <v>1800.96</v>
      </c>
      <c r="BO62" s="781">
        <f>PPH_Data_Base28[[#This Row],[Total Condenser Coil Area]]*Naming!$D$61*4</f>
        <v>48.497222222222227</v>
      </c>
      <c r="BP62" s="781">
        <f>PPH_Data_Base28[[#This Row],[Total Evaporator  Coil Area]]*Naming!$D$61*6</f>
        <v>41.004000000000005</v>
      </c>
      <c r="BQ62" s="781">
        <f>$G$195*PPH_Data_Base28[[#This Row],[Total Evaporator  Coil Area]]</f>
        <v>90.45</v>
      </c>
      <c r="BR62" s="781">
        <f>$G$199*PPH_Data_Base28[[#This Row],[Total Evaporator  Coil Area]]</f>
        <v>136.68</v>
      </c>
      <c r="BS62" s="781">
        <f>$E$185*PPH_Data_Base28[[#This Row],[Total Evaporator  Coil Area]]</f>
        <v>402</v>
      </c>
      <c r="BT62" s="781">
        <f>$E$188*PPH_Data_Base28[[#This Row],[Total Evaporator  Coil Area]]</f>
        <v>562.80000000000007</v>
      </c>
      <c r="BU62" s="781">
        <f>$G$195*PPH_Data_Base28[[#This Row],[Total Condenser Coil Area]]</f>
        <v>160.46875</v>
      </c>
      <c r="BV62" s="781">
        <f>$G$199*PPH_Data_Base28[[#This Row],[Total Condenser Coil Area]]</f>
        <v>242.48611111111109</v>
      </c>
      <c r="BW62" s="781">
        <f>$E$185*PPH_Data_Base28[[#This Row],[Total Condenser Coil Area]]</f>
        <v>713.19444444444446</v>
      </c>
      <c r="BX62" s="781">
        <f>$E$188*PPH_Data_Base28[[#This Row],[Total Condenser Coil Area]]</f>
        <v>998.47222222222217</v>
      </c>
      <c r="BY62" s="781">
        <v>231.51080135698533</v>
      </c>
      <c r="BZ62" s="870">
        <v>143.31992532802258</v>
      </c>
      <c r="CA62" s="870"/>
      <c r="CB62" s="870"/>
      <c r="CC62" s="870">
        <v>98.870056497175142</v>
      </c>
      <c r="CD62" s="870">
        <f t="shared" si="9"/>
        <v>96.045197740112997</v>
      </c>
      <c r="CE62" s="870">
        <v>30</v>
      </c>
      <c r="CF62" s="832">
        <v>0</v>
      </c>
      <c r="CG62" s="870">
        <f>PPH_Data_Base28[[#This Row],[PPH Unit Basic Price With Cu Tube]]*0.25</f>
        <v>2355.3958543049152</v>
      </c>
      <c r="CH62" s="870">
        <f>PPH_Data_Base28[[#This Row],[DSP Unit Basic Price With Cu Tube]]*0.35</f>
        <v>2306.0926352549363</v>
      </c>
      <c r="CI62" s="781">
        <v>178.38071228813561</v>
      </c>
      <c r="CJ62" s="781">
        <v>259.54695762711867</v>
      </c>
      <c r="CK62" s="781">
        <v>37.192477542372885</v>
      </c>
      <c r="CL62" s="781">
        <f>110*1.35*PPH_Data_Base28[[#This Row],[No. of Unit  Compressors]]</f>
        <v>297</v>
      </c>
      <c r="CM62" s="870">
        <v>101.6949152542373</v>
      </c>
      <c r="CN62" s="781">
        <v>105.64971751412429</v>
      </c>
      <c r="CO62" s="870">
        <v>0</v>
      </c>
      <c r="CP62" s="781">
        <v>172.61319053672315</v>
      </c>
      <c r="CQ62" s="870">
        <v>256.73744802259887</v>
      </c>
      <c r="CR62" s="781">
        <v>245.51832203389827</v>
      </c>
      <c r="CS62" s="870">
        <v>861.1609623305086</v>
      </c>
      <c r="CT62" s="781">
        <v>865.11299435028252</v>
      </c>
      <c r="CU62" s="870">
        <v>184.31171186440676</v>
      </c>
      <c r="CV62" s="870">
        <v>497.17514124293785</v>
      </c>
      <c r="CW62" s="781">
        <f>400*1.35*PPH_Data_Base28[[#This Row],[No. of Unit  Compressors]]</f>
        <v>1080</v>
      </c>
      <c r="CX62" s="835"/>
      <c r="CY62" s="871">
        <f>47*PPH_Data_Base28[[#This Row],[No. of Unit  Compressors]]*1.35</f>
        <v>126.9</v>
      </c>
      <c r="CZ62" s="871">
        <f>30*1.35*PPH_Data_Base28[[#This Row],[NO Condenser Fans]]</f>
        <v>121.5</v>
      </c>
      <c r="DA62" s="781">
        <f>INDEX($B$136:$F$154,MATCH(PPH_Data_Base28[[#This Row],[STD Supply Fan Motor]],$B$136:$B$154,0),5)*PPH_Data_Base28[[#This Row],[Fan QTY]]</f>
        <v>49.088431038135589</v>
      </c>
      <c r="DB62" s="871">
        <f>47*1.35*PPH_Data_Base28[[#This Row],[No. of Unit  Compressors]]</f>
        <v>126.9</v>
      </c>
      <c r="DC62" s="871">
        <f>28*PPH_Data_Base28[[#This Row],[NO Condenser Fans]]</f>
        <v>84</v>
      </c>
      <c r="DD62" s="781">
        <f>INDEX($B$136:$F$154,MATCH(PPH_Data_Base28[[#This Row],[STD Supply Fan Motor]],$B$136:$B$154,0),3)*PPH_Data_Base28[[#This Row],[Fan QTY]]</f>
        <v>27.333113841807918</v>
      </c>
      <c r="DE62" s="870">
        <f>INDEX($B$114:$C$131,MATCH(PPH_Data_Base28[[#This Row],[Compressor 1 HP]],$B$114:$B$131,0),2)*PPH_Data_Base28[[#This Row],[Compressor 1 QTY]]+IFERROR(INDEX($B$114:$C$131,MATCH(PPH_Data_Base28[[#This Row],[Compressor 2 HP]],$B$114:$B$131,0),2)*PPH_Data_Base28[[#This Row],[Compressor 2 QTY]],0)</f>
        <v>108</v>
      </c>
      <c r="DF62" s="870">
        <f>38*PPH_Data_Base28[[#This Row],[NO Condenser Fans]]</f>
        <v>114</v>
      </c>
      <c r="DG62" s="870">
        <f>INDEX($B$136:$F$154,MATCH(PPH_Data_Base28[[#This Row],[STD Supply Fan Motor]],$B$136:$B$154,0),5)*PPH_Data_Base28[[#This Row],[Fan QTY]]</f>
        <v>49.088431038135589</v>
      </c>
      <c r="DH62" s="781">
        <v>256.35593220338978</v>
      </c>
      <c r="DI62" s="781">
        <v>58.262711864406782</v>
      </c>
      <c r="DJ62" s="870">
        <v>3000</v>
      </c>
      <c r="DK62" s="870">
        <v>6000</v>
      </c>
      <c r="DL62" s="870">
        <v>1707</v>
      </c>
      <c r="DM62" s="870">
        <v>564.9717514124294</v>
      </c>
      <c r="DN62" s="870">
        <v>213.2530350282486</v>
      </c>
      <c r="DO62" s="870"/>
      <c r="DP62" s="870">
        <v>173.0225988700565</v>
      </c>
      <c r="DQ62" s="870">
        <v>173.0225988700565</v>
      </c>
      <c r="DR62" s="870">
        <v>173.0225988700565</v>
      </c>
      <c r="DS62" s="870"/>
      <c r="DT62" s="870">
        <f>PPH_Data_Base28[[#This Row],[NO Condenser Fans]]*350</f>
        <v>1050</v>
      </c>
      <c r="DU62" s="870">
        <v>357.41164131355953</v>
      </c>
      <c r="DV62" s="870">
        <f>150*PPH_Data_Base28[[#This Row],[NO Condenser Fans]]</f>
        <v>450</v>
      </c>
      <c r="DW62" s="781">
        <v>757.4152542372882</v>
      </c>
      <c r="DX62" s="781">
        <v>250</v>
      </c>
      <c r="DY62" s="870">
        <v>700</v>
      </c>
      <c r="DZ62" s="870">
        <v>100</v>
      </c>
      <c r="EA62" s="870">
        <v>540</v>
      </c>
      <c r="EB62" s="870">
        <v>4.186805084745763</v>
      </c>
      <c r="EC62" s="870">
        <v>23.305084745762713</v>
      </c>
      <c r="ED62" s="870">
        <v>56.080321186440685</v>
      </c>
      <c r="EE62" s="870"/>
      <c r="EF62" s="870"/>
      <c r="EG62" s="870"/>
      <c r="EH62" s="870"/>
      <c r="EI62" s="870"/>
      <c r="EJ62" s="870"/>
      <c r="EK62" s="870"/>
      <c r="EL62" s="870"/>
      <c r="EM62" s="870"/>
      <c r="EN62" s="870"/>
      <c r="EO62" s="870"/>
      <c r="EP62" s="870"/>
      <c r="EQ62" s="870"/>
      <c r="ER62" s="870"/>
      <c r="ES62" s="870"/>
      <c r="ET62" s="870"/>
      <c r="EU62" s="870">
        <v>203</v>
      </c>
      <c r="EV62" s="870">
        <v>250</v>
      </c>
      <c r="EW62" s="847"/>
      <c r="EX62" s="781">
        <v>92.768903954802283</v>
      </c>
      <c r="EY62" s="781">
        <v>666.23951186440684</v>
      </c>
      <c r="EZ62" s="870">
        <v>38.418079096045197</v>
      </c>
      <c r="FA62" s="870">
        <v>40</v>
      </c>
      <c r="FB62" s="870">
        <v>40</v>
      </c>
      <c r="FC62" s="870">
        <v>24</v>
      </c>
      <c r="FD62" s="870">
        <v>24</v>
      </c>
      <c r="FE62" s="870">
        <v>39.548022598870062</v>
      </c>
      <c r="FF62" s="870">
        <v>52.259887005649723</v>
      </c>
      <c r="FG62" s="870">
        <v>300</v>
      </c>
      <c r="FH62" s="870">
        <v>414.03598433475634</v>
      </c>
      <c r="FI62" s="870">
        <v>251.4833065659428</v>
      </c>
      <c r="FJ62" s="870">
        <v>26</v>
      </c>
      <c r="FK62" s="870">
        <f>PPH_Data_Base28[[#This Row],[Differential Pressure Switch]]*2</f>
        <v>52</v>
      </c>
      <c r="FL62" s="870">
        <v>42</v>
      </c>
      <c r="FM62" s="872">
        <f>PPH_Data_Base28[[#This Row],[STD PETRA DIAL DIFF.PRESS.GAUGE NOT DWYER]]*2</f>
        <v>84</v>
      </c>
      <c r="FN62" s="872"/>
      <c r="FO62" s="872">
        <f>PPH_Data_Base28[[#This Row],[Replaceble Filter Drier ]]</f>
        <v>297</v>
      </c>
      <c r="FP62" s="872">
        <f>PPH_Data_Base28[[#This Row],[2" Pre-Filter]]*2</f>
        <v>128.9238663690254</v>
      </c>
      <c r="FQ62" s="872">
        <f>PPH_Data_Base28[[#This Row],[Bag Filter EU-8]]</f>
        <v>415.46178602245976</v>
      </c>
      <c r="FR62" s="872"/>
      <c r="FS62" s="872">
        <v>30</v>
      </c>
      <c r="FT62" s="176"/>
      <c r="FU62" s="176"/>
      <c r="FV62" s="176"/>
      <c r="FW62" s="176"/>
      <c r="GW62" s="176"/>
      <c r="GX62" s="176"/>
      <c r="HC62" s="176"/>
    </row>
    <row r="63" spans="1:211">
      <c r="A63" s="780" t="s">
        <v>491</v>
      </c>
      <c r="B63" s="781" t="s">
        <v>1598</v>
      </c>
      <c r="C63" s="781" t="s">
        <v>531</v>
      </c>
      <c r="D63" s="870" t="s">
        <v>1676</v>
      </c>
      <c r="E63" s="870" t="s">
        <v>1599</v>
      </c>
      <c r="F63" s="870" t="s">
        <v>1599</v>
      </c>
      <c r="G63" s="851">
        <v>0</v>
      </c>
      <c r="H63" s="870" t="s">
        <v>2249</v>
      </c>
      <c r="I63" s="781" t="s">
        <v>759</v>
      </c>
      <c r="J63" s="781" t="s">
        <v>1597</v>
      </c>
      <c r="K63" s="781">
        <v>1</v>
      </c>
      <c r="L63" s="781" t="s">
        <v>568</v>
      </c>
      <c r="M63" s="781">
        <v>4</v>
      </c>
      <c r="N63" s="300">
        <v>3</v>
      </c>
      <c r="O63" s="781">
        <v>42.2</v>
      </c>
      <c r="P63" s="781">
        <v>20.100000000000001</v>
      </c>
      <c r="Q63" s="781">
        <v>2</v>
      </c>
      <c r="R63" s="781">
        <v>14.9</v>
      </c>
      <c r="S63" s="781">
        <v>2</v>
      </c>
      <c r="T63" s="781"/>
      <c r="U63" s="781"/>
      <c r="V63" s="781">
        <v>326</v>
      </c>
      <c r="W63" s="781">
        <v>710</v>
      </c>
      <c r="X63" s="870"/>
      <c r="Y63" s="835">
        <v>0</v>
      </c>
      <c r="Z63" s="782">
        <v>12025.912772571566</v>
      </c>
      <c r="AA63" s="782">
        <v>12879.474202393892</v>
      </c>
      <c r="AB63" s="870">
        <v>9663.0007512522752</v>
      </c>
      <c r="AC63" s="834">
        <v>0</v>
      </c>
      <c r="AD63" s="781">
        <v>195.97457627118646</v>
      </c>
      <c r="AE63" s="870">
        <v>169.84463276836161</v>
      </c>
      <c r="AF63" s="870">
        <v>182.90960451977404</v>
      </c>
      <c r="AG63" s="870">
        <v>219.49152542372883</v>
      </c>
      <c r="AH63" s="781">
        <v>235.16949152542375</v>
      </c>
      <c r="AI63" s="870">
        <v>203.81355932203391</v>
      </c>
      <c r="AJ63" s="870">
        <v>219.49152542372883</v>
      </c>
      <c r="AK63" s="870">
        <v>263.38983050847457</v>
      </c>
      <c r="AL63" s="870">
        <f>PPH_Data_Base28[[#This Row],[PPH Unit Basic Price With Cu Tube]]*0.05</f>
        <v>643.97371011969472</v>
      </c>
      <c r="AM63" s="781">
        <v>145.03015434712751</v>
      </c>
      <c r="AN63" s="781"/>
      <c r="AO63" s="781"/>
      <c r="AP63" s="781">
        <v>573.75</v>
      </c>
      <c r="AQ63" s="781">
        <v>499.50000000000006</v>
      </c>
      <c r="AR63" s="781">
        <f>2.5*242</f>
        <v>605</v>
      </c>
      <c r="AS63" s="781">
        <v>516.84276722470543</v>
      </c>
      <c r="AT63" s="781">
        <v>1805.7619868815627</v>
      </c>
      <c r="AU63" s="781">
        <v>64.461933184512702</v>
      </c>
      <c r="AV63" s="781">
        <v>415.46178602245976</v>
      </c>
      <c r="AW63" s="870">
        <v>4186</v>
      </c>
      <c r="AX63" s="870">
        <v>363</v>
      </c>
      <c r="AY63" s="870">
        <v>1666.227403601695</v>
      </c>
      <c r="AZ63" s="870">
        <v>497.91403065413147</v>
      </c>
      <c r="BA63" s="870"/>
      <c r="BB63" s="870">
        <f>PPH_Data_Base28[[#This Row],[PPH Unit Basic Price With Cu Tube]]*0.1</f>
        <v>1287.9474202393894</v>
      </c>
      <c r="BC63" s="870">
        <v>137.10630835315644</v>
      </c>
      <c r="BD63" s="870">
        <v>457.02102784385482</v>
      </c>
      <c r="BE63" s="870">
        <v>152.34034261461827</v>
      </c>
      <c r="BF63" s="870">
        <v>152.34034261461827</v>
      </c>
      <c r="BG63" s="870">
        <v>152.34034261461827</v>
      </c>
      <c r="BH63" s="870">
        <f>PPH_Data_Base28[[#This Row],[PPH Unit Basic Price With Cu Tube]]*0.075</f>
        <v>965.96056517954185</v>
      </c>
      <c r="BI63" s="870">
        <v>457.02102784385482</v>
      </c>
      <c r="BJ63" s="870">
        <v>152.34034261461827</v>
      </c>
      <c r="BK63" s="870">
        <v>152.34034261461827</v>
      </c>
      <c r="BL63" s="870">
        <v>152.34034261461827</v>
      </c>
      <c r="BM63" s="781">
        <f>PPH_Data_Base28[[#This Row],[Total Condenser Coil Area]]*Naming!$M$62*4</f>
        <v>3781.12</v>
      </c>
      <c r="BN63" s="781">
        <f>PPH_Data_Base28[[#This Row],[Total Evaporator  Coil Area]]*Naming!$M$62*4</f>
        <v>1800.96</v>
      </c>
      <c r="BO63" s="781">
        <f>PPH_Data_Base28[[#This Row],[Total Condenser Coil Area]]*Naming!$D$61*4</f>
        <v>57.39200000000001</v>
      </c>
      <c r="BP63" s="781">
        <f>PPH_Data_Base28[[#This Row],[Total Evaporator  Coil Area]]*Naming!$D$61*6</f>
        <v>41.004000000000005</v>
      </c>
      <c r="BQ63" s="781">
        <f>$G$195*PPH_Data_Base28[[#This Row],[Total Evaporator  Coil Area]]</f>
        <v>90.45</v>
      </c>
      <c r="BR63" s="781">
        <f>$G$199*PPH_Data_Base28[[#This Row],[Total Evaporator  Coil Area]]</f>
        <v>136.68</v>
      </c>
      <c r="BS63" s="781">
        <f>$E$185*PPH_Data_Base28[[#This Row],[Total Evaporator  Coil Area]]</f>
        <v>402</v>
      </c>
      <c r="BT63" s="781">
        <f>$E$188*PPH_Data_Base28[[#This Row],[Total Evaporator  Coil Area]]</f>
        <v>562.80000000000007</v>
      </c>
      <c r="BU63" s="781">
        <f>$G$195*PPH_Data_Base28[[#This Row],[Total Condenser Coil Area]]</f>
        <v>189.9</v>
      </c>
      <c r="BV63" s="781">
        <f>$G$199*PPH_Data_Base28[[#This Row],[Total Condenser Coil Area]]</f>
        <v>286.96000000000004</v>
      </c>
      <c r="BW63" s="781">
        <f>$E$185*PPH_Data_Base28[[#This Row],[Total Condenser Coil Area]]</f>
        <v>844</v>
      </c>
      <c r="BX63" s="781">
        <f>$E$188*PPH_Data_Base28[[#This Row],[Total Condenser Coil Area]]</f>
        <v>1181.6000000000001</v>
      </c>
      <c r="BY63" s="781">
        <v>231.51080135698533</v>
      </c>
      <c r="BZ63" s="870">
        <v>143.31992532802258</v>
      </c>
      <c r="CA63" s="870"/>
      <c r="CB63" s="870"/>
      <c r="CC63" s="870">
        <v>98.870056497175142</v>
      </c>
      <c r="CD63" s="870">
        <f t="shared" si="9"/>
        <v>96.045197740112997</v>
      </c>
      <c r="CE63" s="870">
        <v>30</v>
      </c>
      <c r="CF63" s="832">
        <v>0</v>
      </c>
      <c r="CG63" s="870">
        <f>PPH_Data_Base28[[#This Row],[PPH Unit Basic Price With Cu Tube]]*0.25</f>
        <v>3219.8685505984731</v>
      </c>
      <c r="CH63" s="870">
        <f>PPH_Data_Base28[[#This Row],[DSP Unit Basic Price With Cu Tube]]*0.35</f>
        <v>3382.0502629382963</v>
      </c>
      <c r="CI63" s="781">
        <v>178.38071228813561</v>
      </c>
      <c r="CJ63" s="781">
        <v>259.54695762711867</v>
      </c>
      <c r="CK63" s="781">
        <v>37.192477542372885</v>
      </c>
      <c r="CL63" s="781">
        <f>110*1.35*PPH_Data_Base28[[#This Row],[No. of Unit  Compressors]]</f>
        <v>297</v>
      </c>
      <c r="CM63" s="870">
        <v>101.6949152542373</v>
      </c>
      <c r="CN63" s="781">
        <v>182.4858757062147</v>
      </c>
      <c r="CO63" s="870">
        <v>0</v>
      </c>
      <c r="CP63" s="781">
        <v>199.13348347457622</v>
      </c>
      <c r="CQ63" s="870">
        <v>256.73744802259887</v>
      </c>
      <c r="CR63" s="781">
        <v>245.51832203389827</v>
      </c>
      <c r="CS63" s="870">
        <v>1031.3883762711869</v>
      </c>
      <c r="CT63" s="781">
        <v>865.11299435028252</v>
      </c>
      <c r="CU63" s="870">
        <v>184.31171186440676</v>
      </c>
      <c r="CV63" s="870">
        <v>497.17514124293785</v>
      </c>
      <c r="CW63" s="781">
        <f>400*1.35*PPH_Data_Base28[[#This Row],[No. of Unit  Compressors]]</f>
        <v>1080</v>
      </c>
      <c r="CX63" s="835"/>
      <c r="CY63" s="871">
        <f>47*PPH_Data_Base28[[#This Row],[No. of Unit  Compressors]]*1.35</f>
        <v>126.9</v>
      </c>
      <c r="CZ63" s="871">
        <f>30*1.35*PPH_Data_Base28[[#This Row],[NO Condenser Fans]]</f>
        <v>121.5</v>
      </c>
      <c r="DA63" s="781">
        <f>INDEX($B$136:$F$154,MATCH(PPH_Data_Base28[[#This Row],[STD Supply Fan Motor]],$B$136:$B$154,0),5)*PPH_Data_Base28[[#This Row],[Fan QTY]]</f>
        <v>49.088431038135589</v>
      </c>
      <c r="DB63" s="871">
        <f>47*1.35*PPH_Data_Base28[[#This Row],[No. of Unit  Compressors]]</f>
        <v>126.9</v>
      </c>
      <c r="DC63" s="871">
        <f>28*PPH_Data_Base28[[#This Row],[NO Condenser Fans]]</f>
        <v>84</v>
      </c>
      <c r="DD63" s="781">
        <f>INDEX($B$136:$F$154,MATCH(PPH_Data_Base28[[#This Row],[STD Supply Fan Motor]],$B$136:$B$154,0),3)*PPH_Data_Base28[[#This Row],[Fan QTY]]</f>
        <v>31.756799576271195</v>
      </c>
      <c r="DE63" s="870">
        <f>INDEX($B$114:$C$131,MATCH(PPH_Data_Base28[[#This Row],[Compressor 1 HP]],$B$114:$B$131,0),2)*PPH_Data_Base28[[#This Row],[Compressor 1 QTY]]+IFERROR(INDEX($B$114:$C$131,MATCH(PPH_Data_Base28[[#This Row],[Compressor 2 HP]],$B$114:$B$131,0),2)*PPH_Data_Base28[[#This Row],[Compressor 2 QTY]],0)</f>
        <v>108</v>
      </c>
      <c r="DF63" s="870">
        <f>40*PPH_Data_Base28[[#This Row],[NO Condenser Fans]]</f>
        <v>120</v>
      </c>
      <c r="DG63" s="870">
        <f>INDEX($B$136:$F$154,MATCH(PPH_Data_Base28[[#This Row],[STD Supply Fan Motor]],$B$136:$B$154,0),5)*PPH_Data_Base28[[#This Row],[Fan QTY]]</f>
        <v>49.088431038135589</v>
      </c>
      <c r="DH63" s="781">
        <v>256.35593220338978</v>
      </c>
      <c r="DI63" s="781">
        <v>93.220338983050851</v>
      </c>
      <c r="DJ63" s="870">
        <v>4300</v>
      </c>
      <c r="DK63" s="870">
        <v>8600</v>
      </c>
      <c r="DL63" s="870">
        <v>1780</v>
      </c>
      <c r="DM63" s="870">
        <v>564.9717514124294</v>
      </c>
      <c r="DN63" s="870">
        <v>213.2530350282486</v>
      </c>
      <c r="DO63" s="870"/>
      <c r="DP63" s="870">
        <v>173.0225988700565</v>
      </c>
      <c r="DQ63" s="870">
        <v>173.0225988700565</v>
      </c>
      <c r="DR63" s="870">
        <v>173.0225988700565</v>
      </c>
      <c r="DS63" s="870"/>
      <c r="DT63" s="870">
        <f>PPH_Data_Base28[[#This Row],[NO Condenser Fans]]*350</f>
        <v>1050</v>
      </c>
      <c r="DU63" s="870" t="s">
        <v>1208</v>
      </c>
      <c r="DV63" s="870">
        <f>150*PPH_Data_Base28[[#This Row],[NO Condenser Fans]]</f>
        <v>450</v>
      </c>
      <c r="DW63" s="781">
        <v>757.4152542372882</v>
      </c>
      <c r="DX63" s="781">
        <v>250</v>
      </c>
      <c r="DY63" s="870">
        <v>700</v>
      </c>
      <c r="DZ63" s="870">
        <v>100</v>
      </c>
      <c r="EA63" s="870">
        <v>540</v>
      </c>
      <c r="EB63" s="870">
        <v>4.186805084745763</v>
      </c>
      <c r="EC63" s="870">
        <v>23.305084745762713</v>
      </c>
      <c r="ED63" s="870">
        <v>56.080321186440685</v>
      </c>
      <c r="EE63" s="870"/>
      <c r="EF63" s="870"/>
      <c r="EG63" s="870"/>
      <c r="EH63" s="870"/>
      <c r="EI63" s="870"/>
      <c r="EJ63" s="870"/>
      <c r="EK63" s="870"/>
      <c r="EL63" s="870"/>
      <c r="EM63" s="870"/>
      <c r="EN63" s="870"/>
      <c r="EO63" s="870"/>
      <c r="EP63" s="870"/>
      <c r="EQ63" s="870"/>
      <c r="ER63" s="870"/>
      <c r="ES63" s="870"/>
      <c r="ET63" s="870"/>
      <c r="EU63" s="870">
        <v>203</v>
      </c>
      <c r="EV63" s="870">
        <v>250</v>
      </c>
      <c r="EW63" s="847"/>
      <c r="EX63" s="781">
        <v>92.768903954802283</v>
      </c>
      <c r="EY63" s="781">
        <v>666.23951186440684</v>
      </c>
      <c r="EZ63" s="870">
        <v>38.418079096045197</v>
      </c>
      <c r="FA63" s="870">
        <v>40</v>
      </c>
      <c r="FB63" s="870">
        <v>40</v>
      </c>
      <c r="FC63" s="870">
        <v>24</v>
      </c>
      <c r="FD63" s="870">
        <v>24</v>
      </c>
      <c r="FE63" s="870">
        <v>39.548022598870062</v>
      </c>
      <c r="FF63" s="870">
        <v>52.259887005649723</v>
      </c>
      <c r="FG63" s="870">
        <v>300</v>
      </c>
      <c r="FH63" s="870">
        <v>414.03598433475634</v>
      </c>
      <c r="FI63" s="870">
        <v>251.4833065659428</v>
      </c>
      <c r="FJ63" s="870">
        <v>26</v>
      </c>
      <c r="FK63" s="870">
        <f>PPH_Data_Base28[[#This Row],[Differential Pressure Switch]]*2</f>
        <v>52</v>
      </c>
      <c r="FL63" s="870">
        <v>42</v>
      </c>
      <c r="FM63" s="872">
        <f>PPH_Data_Base28[[#This Row],[STD PETRA DIAL DIFF.PRESS.GAUGE NOT DWYER]]*2</f>
        <v>84</v>
      </c>
      <c r="FN63" s="872"/>
      <c r="FO63" s="872">
        <f>PPH_Data_Base28[[#This Row],[Replaceble Filter Drier ]]</f>
        <v>297</v>
      </c>
      <c r="FP63" s="872">
        <f>PPH_Data_Base28[[#This Row],[2" Pre-Filter]]*2</f>
        <v>128.9238663690254</v>
      </c>
      <c r="FQ63" s="872">
        <f>PPH_Data_Base28[[#This Row],[Bag Filter EU-8]]</f>
        <v>415.46178602245976</v>
      </c>
      <c r="FR63" s="872"/>
      <c r="FS63" s="872">
        <v>30</v>
      </c>
      <c r="FT63" s="176"/>
      <c r="FU63" s="176"/>
      <c r="FV63" s="176"/>
      <c r="FW63" s="176"/>
      <c r="GW63" s="176"/>
      <c r="GX63" s="176"/>
      <c r="HC63" s="176"/>
    </row>
    <row r="64" spans="1:211">
      <c r="A64" s="780" t="s">
        <v>492</v>
      </c>
      <c r="B64" s="781" t="s">
        <v>1601</v>
      </c>
      <c r="C64" s="781" t="s">
        <v>532</v>
      </c>
      <c r="D64" s="870" t="s">
        <v>1677</v>
      </c>
      <c r="E64" s="870" t="s">
        <v>1072</v>
      </c>
      <c r="F64" s="870" t="s">
        <v>1072</v>
      </c>
      <c r="G64" s="851">
        <v>0</v>
      </c>
      <c r="H64" s="870" t="s">
        <v>2249</v>
      </c>
      <c r="I64" s="781" t="s">
        <v>764</v>
      </c>
      <c r="J64" s="781" t="s">
        <v>1597</v>
      </c>
      <c r="K64" s="781">
        <v>1</v>
      </c>
      <c r="L64" s="781" t="s">
        <v>568</v>
      </c>
      <c r="M64" s="781">
        <v>6</v>
      </c>
      <c r="N64" s="300">
        <v>2</v>
      </c>
      <c r="O64" s="781">
        <v>68.611111111111114</v>
      </c>
      <c r="P64" s="781">
        <v>31.7</v>
      </c>
      <c r="Q64" s="781">
        <v>2</v>
      </c>
      <c r="R64" s="781">
        <v>20</v>
      </c>
      <c r="S64" s="781">
        <v>2</v>
      </c>
      <c r="T64" s="781"/>
      <c r="U64" s="781"/>
      <c r="V64" s="781">
        <v>396</v>
      </c>
      <c r="W64" s="781">
        <v>710</v>
      </c>
      <c r="X64" s="870"/>
      <c r="Y64" s="835">
        <v>0</v>
      </c>
      <c r="Z64" s="782">
        <v>15258.51728402544</v>
      </c>
      <c r="AA64" s="782">
        <v>16406.120161022744</v>
      </c>
      <c r="AB64" s="870">
        <v>12038.313033128163</v>
      </c>
      <c r="AC64" s="834">
        <v>0</v>
      </c>
      <c r="AD64" s="781">
        <v>195.97457627118646</v>
      </c>
      <c r="AE64" s="870">
        <v>169.84463276836161</v>
      </c>
      <c r="AF64" s="870">
        <v>209.03954802259889</v>
      </c>
      <c r="AG64" s="870">
        <v>250.84745762711867</v>
      </c>
      <c r="AH64" s="781">
        <v>235.16949152542375</v>
      </c>
      <c r="AI64" s="870">
        <v>203.81355932203391</v>
      </c>
      <c r="AJ64" s="870">
        <v>250.84745762711867</v>
      </c>
      <c r="AK64" s="870">
        <v>301.0169491525424</v>
      </c>
      <c r="AL64" s="870">
        <f>PPH_Data_Base28[[#This Row],[PPH Unit Basic Price With Cu Tube]]*0.05</f>
        <v>820.30600805113727</v>
      </c>
      <c r="AM64" s="781">
        <v>462.11264621468928</v>
      </c>
      <c r="AN64" s="781"/>
      <c r="AO64" s="781"/>
      <c r="AP64" s="781">
        <v>573.75</v>
      </c>
      <c r="AQ64" s="781">
        <v>499.50000000000006</v>
      </c>
      <c r="AR64" s="781">
        <f>3.2*242</f>
        <v>774.40000000000009</v>
      </c>
      <c r="AS64" s="781">
        <v>694.93183200785177</v>
      </c>
      <c r="AT64" s="781">
        <v>2090.704490534597</v>
      </c>
      <c r="AU64" s="781">
        <v>96.71129632067796</v>
      </c>
      <c r="AV64" s="781">
        <v>567.62490498571196</v>
      </c>
      <c r="AW64" s="870">
        <v>4186</v>
      </c>
      <c r="AX64" s="870">
        <v>363</v>
      </c>
      <c r="AY64" s="870">
        <v>3397.236965466102</v>
      </c>
      <c r="AZ64" s="870">
        <v>1131.6964413003179</v>
      </c>
      <c r="BA64" s="870"/>
      <c r="BB64" s="870">
        <f>PPH_Data_Base28[[#This Row],[PPH Unit Basic Price With Cu Tube]]*0.1</f>
        <v>1640.6120161022745</v>
      </c>
      <c r="BC64" s="870">
        <v>195.1249411248437</v>
      </c>
      <c r="BD64" s="870">
        <v>650.41647041614567</v>
      </c>
      <c r="BE64" s="870">
        <v>216.80549013871521</v>
      </c>
      <c r="BF64" s="870">
        <v>216.80549013871521</v>
      </c>
      <c r="BG64" s="870">
        <v>216.80549013871521</v>
      </c>
      <c r="BH64" s="870">
        <f>PPH_Data_Base28[[#This Row],[PPH Unit Basic Price With Cu Tube]]*0.075</f>
        <v>1230.4590120767057</v>
      </c>
      <c r="BI64" s="870">
        <v>650.41647041614567</v>
      </c>
      <c r="BJ64" s="870">
        <v>216.80549013871521</v>
      </c>
      <c r="BK64" s="870">
        <v>216.80549013871521</v>
      </c>
      <c r="BL64" s="870">
        <v>216.80549013871521</v>
      </c>
      <c r="BM64" s="781">
        <f>PPH_Data_Base28[[#This Row],[Total Condenser Coil Area]]*Naming!$M$62*4</f>
        <v>6147.5555555555557</v>
      </c>
      <c r="BN64" s="781">
        <f>PPH_Data_Base28[[#This Row],[Total Evaporator  Coil Area]]*Naming!$M$62*4</f>
        <v>2840.3199999999997</v>
      </c>
      <c r="BO64" s="781">
        <f>PPH_Data_Base28[[#This Row],[Total Condenser Coil Area]]*Naming!$D$61*4</f>
        <v>93.311111111111117</v>
      </c>
      <c r="BP64" s="781">
        <f>PPH_Data_Base28[[#This Row],[Total Evaporator  Coil Area]]*Naming!$D$61*6</f>
        <v>64.668000000000006</v>
      </c>
      <c r="BQ64" s="781">
        <f>$G$195*PPH_Data_Base28[[#This Row],[Total Evaporator  Coil Area]]</f>
        <v>142.65</v>
      </c>
      <c r="BR64" s="781">
        <f>$G$199*PPH_Data_Base28[[#This Row],[Total Evaporator  Coil Area]]</f>
        <v>215.56</v>
      </c>
      <c r="BS64" s="781">
        <f>$E$185*PPH_Data_Base28[[#This Row],[Total Evaporator  Coil Area]]</f>
        <v>634</v>
      </c>
      <c r="BT64" s="781">
        <f>$E$188*PPH_Data_Base28[[#This Row],[Total Evaporator  Coil Area]]</f>
        <v>887.6</v>
      </c>
      <c r="BU64" s="781">
        <f>$G$195*PPH_Data_Base28[[#This Row],[Total Condenser Coil Area]]</f>
        <v>308.75</v>
      </c>
      <c r="BV64" s="781">
        <f>$G$199*PPH_Data_Base28[[#This Row],[Total Condenser Coil Area]]</f>
        <v>466.55555555555554</v>
      </c>
      <c r="BW64" s="781">
        <f>$E$185*PPH_Data_Base28[[#This Row],[Total Condenser Coil Area]]</f>
        <v>1372.2222222222222</v>
      </c>
      <c r="BX64" s="781">
        <f>$E$188*PPH_Data_Base28[[#This Row],[Total Condenser Coil Area]]</f>
        <v>1921.1111111111113</v>
      </c>
      <c r="BY64" s="781">
        <v>231.51080135698533</v>
      </c>
      <c r="BZ64" s="870">
        <v>143.31992532802258</v>
      </c>
      <c r="CA64" s="870"/>
      <c r="CB64" s="870"/>
      <c r="CC64" s="870">
        <v>123.58757062146893</v>
      </c>
      <c r="CD64" s="870">
        <f>2*85.233103090452</f>
        <v>170.46620618090401</v>
      </c>
      <c r="CE64" s="870">
        <v>30</v>
      </c>
      <c r="CF64" s="832">
        <v>0</v>
      </c>
      <c r="CG64" s="870">
        <f>PPH_Data_Base28[[#This Row],[PPH Unit Basic Price With Cu Tube]]*0.25</f>
        <v>4101.5300402556859</v>
      </c>
      <c r="CH64" s="870">
        <f>PPH_Data_Base28[[#This Row],[DSP Unit Basic Price With Cu Tube]]*0.35</f>
        <v>4213.4095615948563</v>
      </c>
      <c r="CI64" s="781">
        <v>178.38071228813561</v>
      </c>
      <c r="CJ64" s="781">
        <v>259.54695762711867</v>
      </c>
      <c r="CK64" s="781">
        <v>37.192477542372885</v>
      </c>
      <c r="CL64" s="781">
        <f>110*1.35*PPH_Data_Base28[[#This Row],[No. of Unit  Compressors]]</f>
        <v>297</v>
      </c>
      <c r="CM64" s="870">
        <v>101.6949152542373</v>
      </c>
      <c r="CN64" s="781">
        <v>182.4858757062147</v>
      </c>
      <c r="CO64" s="870">
        <v>0</v>
      </c>
      <c r="CP64" s="781">
        <v>199.13348347457622</v>
      </c>
      <c r="CQ64" s="870">
        <v>276.4320848870056</v>
      </c>
      <c r="CR64" s="781">
        <v>245.51832203389827</v>
      </c>
      <c r="CS64" s="870">
        <v>1531.1622271186443</v>
      </c>
      <c r="CT64" s="781">
        <v>865.11299435028252</v>
      </c>
      <c r="CU64" s="870">
        <v>272.22446694915254</v>
      </c>
      <c r="CV64" s="870" t="s">
        <v>1208</v>
      </c>
      <c r="CW64" s="781">
        <f>400*1.35*PPH_Data_Base28[[#This Row],[No. of Unit  Compressors]]</f>
        <v>1080</v>
      </c>
      <c r="CX64" s="835"/>
      <c r="CY64" s="871">
        <f>47*PPH_Data_Base28[[#This Row],[No. of Unit  Compressors]]*1.35</f>
        <v>126.9</v>
      </c>
      <c r="CZ64" s="871">
        <f>30*1.35*PPH_Data_Base28[[#This Row],[NO Condenser Fans]]</f>
        <v>81</v>
      </c>
      <c r="DA64" s="781">
        <f>INDEX($B$136:$F$154,MATCH(PPH_Data_Base28[[#This Row],[STD Supply Fan Motor]],$B$136:$B$154,0),5)*PPH_Data_Base28[[#This Row],[Fan QTY]]</f>
        <v>49.088431038135589</v>
      </c>
      <c r="DB64" s="871">
        <f>47*1.35*PPH_Data_Base28[[#This Row],[No. of Unit  Compressors]]</f>
        <v>126.9</v>
      </c>
      <c r="DC64" s="871">
        <f>28*PPH_Data_Base28[[#This Row],[NO Condenser Fans]]</f>
        <v>56</v>
      </c>
      <c r="DD64" s="781">
        <f>INDEX($B$136:$F$154,MATCH(PPH_Data_Base28[[#This Row],[STD Supply Fan Motor]],$B$136:$B$154,0),3)*PPH_Data_Base28[[#This Row],[Fan QTY]]</f>
        <v>31.756799576271195</v>
      </c>
      <c r="DE64" s="870">
        <f>INDEX($B$114:$C$131,MATCH(PPH_Data_Base28[[#This Row],[Compressor 1 HP]],$B$114:$B$131,0),2)*PPH_Data_Base28[[#This Row],[Compressor 1 QTY]]+IFERROR(INDEX($B$114:$C$131,MATCH(PPH_Data_Base28[[#This Row],[Compressor 2 HP]],$B$114:$B$131,0),2)*PPH_Data_Base28[[#This Row],[Compressor 2 QTY]],0)</f>
        <v>222.87283333333338</v>
      </c>
      <c r="DF64" s="870">
        <f>40*PPH_Data_Base28[[#This Row],[NO Condenser Fans]]</f>
        <v>80</v>
      </c>
      <c r="DG64" s="870">
        <f>INDEX($B$136:$F$154,MATCH(PPH_Data_Base28[[#This Row],[STD Supply Fan Motor]],$B$136:$B$154,0),5)*PPH_Data_Base28[[#This Row],[Fan QTY]]</f>
        <v>49.088431038135589</v>
      </c>
      <c r="DH64" s="781">
        <v>256.35593220338978</v>
      </c>
      <c r="DI64" s="781">
        <v>291.31355932203388</v>
      </c>
      <c r="DJ64" s="870">
        <v>4300</v>
      </c>
      <c r="DK64" s="870">
        <v>8600</v>
      </c>
      <c r="DL64" s="870">
        <v>1780</v>
      </c>
      <c r="DM64" s="870">
        <v>564.9717514124294</v>
      </c>
      <c r="DN64" s="870">
        <v>213.2530350282486</v>
      </c>
      <c r="DO64" s="870"/>
      <c r="DP64" s="870">
        <v>173.0225988700565</v>
      </c>
      <c r="DQ64" s="870">
        <v>173.0225988700565</v>
      </c>
      <c r="DR64" s="870">
        <v>173.0225988700565</v>
      </c>
      <c r="DS64" s="870"/>
      <c r="DT64" s="870">
        <f>PPH_Data_Base28[[#This Row],[NO Condenser Fans]]*350</f>
        <v>700</v>
      </c>
      <c r="DU64" s="870" t="s">
        <v>1208</v>
      </c>
      <c r="DV64" s="870">
        <f>150*PPH_Data_Base28[[#This Row],[NO Condenser Fans]]</f>
        <v>300</v>
      </c>
      <c r="DW64" s="781">
        <v>757.4152542372882</v>
      </c>
      <c r="DX64" s="781">
        <v>250</v>
      </c>
      <c r="DY64" s="870">
        <v>700</v>
      </c>
      <c r="DZ64" s="870">
        <v>100</v>
      </c>
      <c r="EA64" s="870">
        <v>540</v>
      </c>
      <c r="EB64" s="870">
        <v>4.186805084745763</v>
      </c>
      <c r="EC64" s="870">
        <v>34.957627118644069</v>
      </c>
      <c r="ED64" s="870">
        <v>56.080321186440685</v>
      </c>
      <c r="EE64" s="870"/>
      <c r="EF64" s="870"/>
      <c r="EG64" s="870"/>
      <c r="EH64" s="870"/>
      <c r="EI64" s="870"/>
      <c r="EJ64" s="870"/>
      <c r="EK64" s="870"/>
      <c r="EL64" s="870"/>
      <c r="EM64" s="870"/>
      <c r="EN64" s="870"/>
      <c r="EO64" s="870"/>
      <c r="EP64" s="870"/>
      <c r="EQ64" s="870"/>
      <c r="ER64" s="870"/>
      <c r="ES64" s="870"/>
      <c r="ET64" s="870"/>
      <c r="EU64" s="870">
        <v>203</v>
      </c>
      <c r="EV64" s="870">
        <v>250</v>
      </c>
      <c r="EW64" s="847"/>
      <c r="EX64" s="781">
        <v>92.768903954802283</v>
      </c>
      <c r="EY64" s="781">
        <v>666.23951186440684</v>
      </c>
      <c r="EZ64" s="870">
        <v>38.418079096045197</v>
      </c>
      <c r="FA64" s="870">
        <v>40</v>
      </c>
      <c r="FB64" s="870">
        <v>40</v>
      </c>
      <c r="FC64" s="870">
        <v>24</v>
      </c>
      <c r="FD64" s="870">
        <v>24</v>
      </c>
      <c r="FE64" s="870">
        <v>39.548022598870062</v>
      </c>
      <c r="FF64" s="870">
        <v>91.454802259887018</v>
      </c>
      <c r="FG64" s="870">
        <v>300</v>
      </c>
      <c r="FH64" s="870">
        <v>414.03598433475634</v>
      </c>
      <c r="FI64" s="870">
        <v>251.4833065659428</v>
      </c>
      <c r="FJ64" s="870">
        <v>26</v>
      </c>
      <c r="FK64" s="870">
        <f>PPH_Data_Base28[[#This Row],[Differential Pressure Switch]]*2</f>
        <v>52</v>
      </c>
      <c r="FL64" s="870">
        <v>42</v>
      </c>
      <c r="FM64" s="872">
        <f>PPH_Data_Base28[[#This Row],[STD PETRA DIAL DIFF.PRESS.GAUGE NOT DWYER]]*2</f>
        <v>84</v>
      </c>
      <c r="FN64" s="872"/>
      <c r="FO64" s="872">
        <f>PPH_Data_Base28[[#This Row],[Replaceble Filter Drier ]]</f>
        <v>297</v>
      </c>
      <c r="FP64" s="872">
        <f>PPH_Data_Base28[[#This Row],[2" Pre-Filter]]*2</f>
        <v>193.42259264135592</v>
      </c>
      <c r="FQ64" s="872">
        <f>PPH_Data_Base28[[#This Row],[Bag Filter EU-8]]</f>
        <v>567.62490498571196</v>
      </c>
      <c r="FR64" s="872"/>
      <c r="FS64" s="872">
        <v>30</v>
      </c>
      <c r="FT64" s="176"/>
      <c r="FU64" s="176"/>
      <c r="FV64" s="176"/>
      <c r="FW64" s="176"/>
      <c r="GW64" s="176"/>
      <c r="GX64" s="176"/>
      <c r="HC64" s="176"/>
    </row>
    <row r="65" spans="1:211">
      <c r="A65" s="780" t="s">
        <v>493</v>
      </c>
      <c r="B65" s="781" t="s">
        <v>1605</v>
      </c>
      <c r="C65" s="781" t="s">
        <v>533</v>
      </c>
      <c r="D65" s="870" t="s">
        <v>1678</v>
      </c>
      <c r="E65" s="870" t="s">
        <v>1606</v>
      </c>
      <c r="F65" s="870" t="s">
        <v>1606</v>
      </c>
      <c r="G65" s="851">
        <v>0</v>
      </c>
      <c r="H65" s="870" t="s">
        <v>2249</v>
      </c>
      <c r="I65" s="781" t="s">
        <v>1603</v>
      </c>
      <c r="J65" s="781" t="s">
        <v>1604</v>
      </c>
      <c r="K65" s="781">
        <v>1</v>
      </c>
      <c r="L65" s="781" t="s">
        <v>568</v>
      </c>
      <c r="M65" s="781">
        <v>6</v>
      </c>
      <c r="N65" s="300">
        <v>2</v>
      </c>
      <c r="O65" s="781">
        <v>68.611111111111114</v>
      </c>
      <c r="P65" s="781">
        <v>31.7</v>
      </c>
      <c r="Q65" s="781">
        <v>2</v>
      </c>
      <c r="R65" s="781">
        <v>25.8</v>
      </c>
      <c r="S65" s="781">
        <v>2</v>
      </c>
      <c r="T65" s="781"/>
      <c r="U65" s="781"/>
      <c r="V65" s="781">
        <v>1066</v>
      </c>
      <c r="W65" s="781">
        <v>883</v>
      </c>
      <c r="X65" s="870"/>
      <c r="Y65" s="835">
        <v>0</v>
      </c>
      <c r="Z65" s="782">
        <v>17825.808869976972</v>
      </c>
      <c r="AA65" s="782">
        <v>19527.794016873057</v>
      </c>
      <c r="AB65" s="870">
        <v>14143.763616979842</v>
      </c>
      <c r="AC65" s="834">
        <v>0</v>
      </c>
      <c r="AD65" s="781">
        <v>195.97457627118646</v>
      </c>
      <c r="AE65" s="870">
        <v>169.84463276836161</v>
      </c>
      <c r="AF65" s="870">
        <v>209.03954802259889</v>
      </c>
      <c r="AG65" s="870">
        <v>250.84745762711867</v>
      </c>
      <c r="AH65" s="781">
        <v>235.16949152542375</v>
      </c>
      <c r="AI65" s="870">
        <v>203.81355932203391</v>
      </c>
      <c r="AJ65" s="870">
        <v>250.84745762711867</v>
      </c>
      <c r="AK65" s="870">
        <v>301.0169491525424</v>
      </c>
      <c r="AL65" s="870">
        <f>PPH_Data_Base28[[#This Row],[PPH Unit Basic Price With Cu Tube]]*0.05</f>
        <v>976.38970084365292</v>
      </c>
      <c r="AM65" s="781">
        <v>462.11264621468928</v>
      </c>
      <c r="AN65" s="781"/>
      <c r="AO65" s="781"/>
      <c r="AP65" s="781">
        <v>850.5</v>
      </c>
      <c r="AQ65" s="781">
        <v>607.5</v>
      </c>
      <c r="AR65" s="781">
        <f>3.2*242</f>
        <v>774.40000000000009</v>
      </c>
      <c r="AS65" s="781">
        <v>694.93183200785177</v>
      </c>
      <c r="AT65" s="781">
        <v>2090.704490534597</v>
      </c>
      <c r="AU65" s="781">
        <v>96.71129632067796</v>
      </c>
      <c r="AV65" s="781">
        <v>567.62490498571196</v>
      </c>
      <c r="AW65" s="870">
        <v>4186</v>
      </c>
      <c r="AX65" s="870">
        <v>363</v>
      </c>
      <c r="AY65" s="870">
        <v>3397.236965466102</v>
      </c>
      <c r="AZ65" s="870">
        <v>1131.6964413003179</v>
      </c>
      <c r="BA65" s="870"/>
      <c r="BB65" s="870">
        <f>PPH_Data_Base28[[#This Row],[PPH Unit Basic Price With Cu Tube]]*0.1</f>
        <v>1952.7794016873058</v>
      </c>
      <c r="BC65" s="870">
        <v>214.057880870037</v>
      </c>
      <c r="BD65" s="870">
        <v>713.52626956679001</v>
      </c>
      <c r="BE65" s="870">
        <v>237.84208985559667</v>
      </c>
      <c r="BF65" s="870">
        <v>237.84208985559667</v>
      </c>
      <c r="BG65" s="870">
        <v>237.84208985559667</v>
      </c>
      <c r="BH65" s="870">
        <f>PPH_Data_Base28[[#This Row],[PPH Unit Basic Price With Cu Tube]]*0.075</f>
        <v>1464.5845512654791</v>
      </c>
      <c r="BI65" s="870">
        <v>713.52626956679001</v>
      </c>
      <c r="BJ65" s="870">
        <v>237.84208985559667</v>
      </c>
      <c r="BK65" s="870">
        <v>237.84208985559667</v>
      </c>
      <c r="BL65" s="870">
        <v>237.84208985559667</v>
      </c>
      <c r="BM65" s="781">
        <f>PPH_Data_Base28[[#This Row],[Total Condenser Coil Area]]*Naming!$M$62*4</f>
        <v>6147.5555555555557</v>
      </c>
      <c r="BN65" s="781">
        <f>PPH_Data_Base28[[#This Row],[Total Evaporator  Coil Area]]*Naming!$M$62*4</f>
        <v>2840.3199999999997</v>
      </c>
      <c r="BO65" s="781">
        <f>PPH_Data_Base28[[#This Row],[Total Condenser Coil Area]]*Naming!$D$61*4</f>
        <v>93.311111111111117</v>
      </c>
      <c r="BP65" s="781">
        <f>PPH_Data_Base28[[#This Row],[Total Evaporator  Coil Area]]*Naming!$D$61*6</f>
        <v>64.668000000000006</v>
      </c>
      <c r="BQ65" s="781">
        <f>$G$195*PPH_Data_Base28[[#This Row],[Total Evaporator  Coil Area]]</f>
        <v>142.65</v>
      </c>
      <c r="BR65" s="781">
        <f>$G$199*PPH_Data_Base28[[#This Row],[Total Evaporator  Coil Area]]</f>
        <v>215.56</v>
      </c>
      <c r="BS65" s="781">
        <f>$E$185*PPH_Data_Base28[[#This Row],[Total Evaporator  Coil Area]]</f>
        <v>634</v>
      </c>
      <c r="BT65" s="781">
        <f>$E$188*PPH_Data_Base28[[#This Row],[Total Evaporator  Coil Area]]</f>
        <v>887.6</v>
      </c>
      <c r="BU65" s="781">
        <f>$G$195*PPH_Data_Base28[[#This Row],[Total Condenser Coil Area]]</f>
        <v>308.75</v>
      </c>
      <c r="BV65" s="781">
        <f>$G$199*PPH_Data_Base28[[#This Row],[Total Condenser Coil Area]]</f>
        <v>466.55555555555554</v>
      </c>
      <c r="BW65" s="781">
        <f>$E$185*PPH_Data_Base28[[#This Row],[Total Condenser Coil Area]]</f>
        <v>1372.2222222222222</v>
      </c>
      <c r="BX65" s="781">
        <f>$E$188*PPH_Data_Base28[[#This Row],[Total Condenser Coil Area]]</f>
        <v>1921.1111111111113</v>
      </c>
      <c r="BY65" s="781">
        <v>231.51080135698533</v>
      </c>
      <c r="BZ65" s="870">
        <v>143.31992532802258</v>
      </c>
      <c r="CA65" s="870"/>
      <c r="CB65" s="870"/>
      <c r="CC65" s="870">
        <v>123.58757062146893</v>
      </c>
      <c r="CD65" s="870">
        <f t="shared" ref="CD65:CD77" si="10">2*85.233103090452</f>
        <v>170.46620618090401</v>
      </c>
      <c r="CE65" s="870">
        <v>30</v>
      </c>
      <c r="CF65" s="832">
        <v>0</v>
      </c>
      <c r="CG65" s="870">
        <f>PPH_Data_Base28[[#This Row],[PPH Unit Basic Price With Cu Tube]]*0.25</f>
        <v>4881.9485042182641</v>
      </c>
      <c r="CH65" s="870">
        <f>PPH_Data_Base28[[#This Row],[DSP Unit Basic Price With Cu Tube]]*0.35</f>
        <v>4950.3172659429447</v>
      </c>
      <c r="CI65" s="781">
        <v>178.38071228813561</v>
      </c>
      <c r="CJ65" s="781">
        <v>259.54695762711867</v>
      </c>
      <c r="CK65" s="781">
        <v>37.192477542372885</v>
      </c>
      <c r="CL65" s="781">
        <f>110*1.35*PPH_Data_Base28[[#This Row],[No. of Unit  Compressors]]</f>
        <v>297</v>
      </c>
      <c r="CM65" s="870">
        <v>101.6949152542373</v>
      </c>
      <c r="CN65" s="781">
        <v>254.51977401129943</v>
      </c>
      <c r="CO65" s="870">
        <v>0</v>
      </c>
      <c r="CP65" s="781">
        <v>237.59286200564972</v>
      </c>
      <c r="CQ65" s="870">
        <v>276.4320848870056</v>
      </c>
      <c r="CR65" s="781">
        <v>430.98562118644065</v>
      </c>
      <c r="CS65" s="870">
        <v>1616.4929745762713</v>
      </c>
      <c r="CT65" s="781">
        <v>865.11299435028252</v>
      </c>
      <c r="CU65" s="870">
        <v>272.22446694915254</v>
      </c>
      <c r="CV65" s="870" t="s">
        <v>1208</v>
      </c>
      <c r="CW65" s="781">
        <f>400*1.35*PPH_Data_Base28[[#This Row],[No. of Unit  Compressors]]</f>
        <v>1080</v>
      </c>
      <c r="CX65" s="835"/>
      <c r="CY65" s="871">
        <f>47*PPH_Data_Base28[[#This Row],[No. of Unit  Compressors]]*1.35</f>
        <v>126.9</v>
      </c>
      <c r="CZ65" s="871">
        <f>30*1.35*PPH_Data_Base28[[#This Row],[NO Condenser Fans]]</f>
        <v>81</v>
      </c>
      <c r="DA65" s="781">
        <f>INDEX($B$136:$F$154,MATCH(PPH_Data_Base28[[#This Row],[STD Supply Fan Motor]],$B$136:$B$154,0),5)*PPH_Data_Base28[[#This Row],[Fan QTY]]</f>
        <v>48.428298587570623</v>
      </c>
      <c r="DB65" s="871">
        <f>47*1.35*PPH_Data_Base28[[#This Row],[No. of Unit  Compressors]]</f>
        <v>126.9</v>
      </c>
      <c r="DC65" s="871">
        <f>28*PPH_Data_Base28[[#This Row],[NO Condenser Fans]]</f>
        <v>56</v>
      </c>
      <c r="DD65" s="781">
        <f>INDEX($B$136:$F$154,MATCH(PPH_Data_Base28[[#This Row],[STD Supply Fan Motor]],$B$136:$B$154,0),3)*PPH_Data_Base28[[#This Row],[Fan QTY]]</f>
        <v>31.842349435028254</v>
      </c>
      <c r="DE65" s="870">
        <f>INDEX($B$114:$C$131,MATCH(PPH_Data_Base28[[#This Row],[Compressor 1 HP]],$B$114:$B$131,0),2)*PPH_Data_Base28[[#This Row],[Compressor 1 QTY]]+IFERROR(INDEX($B$114:$C$131,MATCH(PPH_Data_Base28[[#This Row],[Compressor 2 HP]],$B$114:$B$131,0),2)*PPH_Data_Base28[[#This Row],[Compressor 2 QTY]],0)</f>
        <v>222.87283333333338</v>
      </c>
      <c r="DF65" s="870">
        <f>40*PPH_Data_Base28[[#This Row],[NO Condenser Fans]]</f>
        <v>80</v>
      </c>
      <c r="DG65" s="870">
        <f>INDEX($B$136:$F$154,MATCH(PPH_Data_Base28[[#This Row],[STD Supply Fan Motor]],$B$136:$B$154,0),5)*PPH_Data_Base28[[#This Row],[Fan QTY]]</f>
        <v>48.428298587570623</v>
      </c>
      <c r="DH65" s="781">
        <v>932.20338983050851</v>
      </c>
      <c r="DI65" s="781">
        <v>291.31355932203388</v>
      </c>
      <c r="DJ65" s="870">
        <v>4700</v>
      </c>
      <c r="DK65" s="870">
        <v>9400</v>
      </c>
      <c r="DL65" s="870">
        <v>2173</v>
      </c>
      <c r="DM65" s="870">
        <v>564.9717514124294</v>
      </c>
      <c r="DN65" s="870">
        <v>213.2530350282486</v>
      </c>
      <c r="DO65" s="870"/>
      <c r="DP65" s="870">
        <v>173.0225988700565</v>
      </c>
      <c r="DQ65" s="870">
        <v>173.0225988700565</v>
      </c>
      <c r="DR65" s="870">
        <v>173.0225988700565</v>
      </c>
      <c r="DS65" s="870"/>
      <c r="DT65" s="870">
        <f>PPH_Data_Base28[[#This Row],[NO Condenser Fans]]*350</f>
        <v>700</v>
      </c>
      <c r="DU65" s="870" t="s">
        <v>1208</v>
      </c>
      <c r="DV65" s="870">
        <f>150*PPH_Data_Base28[[#This Row],[NO Condenser Fans]]</f>
        <v>300</v>
      </c>
      <c r="DW65" s="781">
        <v>757.4152542372882</v>
      </c>
      <c r="DX65" s="781">
        <v>250</v>
      </c>
      <c r="DY65" s="870">
        <v>700</v>
      </c>
      <c r="DZ65" s="870">
        <v>100</v>
      </c>
      <c r="EA65" s="870">
        <v>540</v>
      </c>
      <c r="EB65" s="870">
        <v>4.186805084745763</v>
      </c>
      <c r="EC65" s="870">
        <v>34.957627118644069</v>
      </c>
      <c r="ED65" s="870">
        <v>56.080321186440685</v>
      </c>
      <c r="EE65" s="870"/>
      <c r="EF65" s="870"/>
      <c r="EG65" s="870"/>
      <c r="EH65" s="870"/>
      <c r="EI65" s="870"/>
      <c r="EJ65" s="870"/>
      <c r="EK65" s="870"/>
      <c r="EL65" s="870"/>
      <c r="EM65" s="870"/>
      <c r="EN65" s="870"/>
      <c r="EO65" s="870"/>
      <c r="EP65" s="870"/>
      <c r="EQ65" s="870"/>
      <c r="ER65" s="870"/>
      <c r="ES65" s="870"/>
      <c r="ET65" s="870"/>
      <c r="EU65" s="870">
        <v>203</v>
      </c>
      <c r="EV65" s="870">
        <v>250</v>
      </c>
      <c r="EW65" s="847"/>
      <c r="EX65" s="781">
        <v>92.768903954802283</v>
      </c>
      <c r="EY65" s="781">
        <v>666.23951186440684</v>
      </c>
      <c r="EZ65" s="870">
        <v>38.418079096045197</v>
      </c>
      <c r="FA65" s="870">
        <v>40</v>
      </c>
      <c r="FB65" s="870">
        <v>40</v>
      </c>
      <c r="FC65" s="870">
        <v>24</v>
      </c>
      <c r="FD65" s="870">
        <v>24</v>
      </c>
      <c r="FE65" s="870">
        <v>39.548022598870062</v>
      </c>
      <c r="FF65" s="870">
        <v>91.454802259887018</v>
      </c>
      <c r="FG65" s="870">
        <v>400</v>
      </c>
      <c r="FH65" s="870">
        <v>414.03598433475634</v>
      </c>
      <c r="FI65" s="870">
        <v>251.4833065659428</v>
      </c>
      <c r="FJ65" s="870">
        <v>26</v>
      </c>
      <c r="FK65" s="870">
        <f>PPH_Data_Base28[[#This Row],[Differential Pressure Switch]]*2</f>
        <v>52</v>
      </c>
      <c r="FL65" s="870">
        <v>42</v>
      </c>
      <c r="FM65" s="872">
        <f>PPH_Data_Base28[[#This Row],[STD PETRA DIAL DIFF.PRESS.GAUGE NOT DWYER]]*2</f>
        <v>84</v>
      </c>
      <c r="FN65" s="872"/>
      <c r="FO65" s="872">
        <f>PPH_Data_Base28[[#This Row],[Replaceble Filter Drier ]]</f>
        <v>297</v>
      </c>
      <c r="FP65" s="872">
        <f>PPH_Data_Base28[[#This Row],[2" Pre-Filter]]*2</f>
        <v>193.42259264135592</v>
      </c>
      <c r="FQ65" s="872">
        <f>PPH_Data_Base28[[#This Row],[Bag Filter EU-8]]</f>
        <v>567.62490498571196</v>
      </c>
      <c r="FR65" s="872"/>
      <c r="FS65" s="872">
        <v>30</v>
      </c>
      <c r="FT65" s="176"/>
      <c r="FU65" s="176"/>
      <c r="FV65" s="176"/>
      <c r="FW65" s="176"/>
      <c r="GW65" s="176"/>
      <c r="GX65" s="176"/>
      <c r="HC65" s="176"/>
    </row>
    <row r="66" spans="1:211">
      <c r="A66" s="780" t="s">
        <v>494</v>
      </c>
      <c r="B66" s="781" t="s">
        <v>1609</v>
      </c>
      <c r="C66" s="781" t="s">
        <v>534</v>
      </c>
      <c r="D66" s="870" t="s">
        <v>1679</v>
      </c>
      <c r="E66" s="870" t="s">
        <v>1610</v>
      </c>
      <c r="F66" s="870" t="s">
        <v>1610</v>
      </c>
      <c r="G66" s="851">
        <v>0</v>
      </c>
      <c r="H66" s="870" t="s">
        <v>2249</v>
      </c>
      <c r="I66" s="781" t="s">
        <v>1603</v>
      </c>
      <c r="J66" s="781" t="s">
        <v>1608</v>
      </c>
      <c r="K66" s="781">
        <v>1</v>
      </c>
      <c r="L66" s="781" t="s">
        <v>568</v>
      </c>
      <c r="M66" s="781">
        <v>6</v>
      </c>
      <c r="N66" s="300">
        <v>2</v>
      </c>
      <c r="O66" s="781">
        <v>68.611111111111114</v>
      </c>
      <c r="P66" s="781">
        <v>31.7</v>
      </c>
      <c r="Q66" s="781">
        <v>2</v>
      </c>
      <c r="R66" s="781">
        <v>30</v>
      </c>
      <c r="S66" s="781">
        <v>2</v>
      </c>
      <c r="T66" s="781"/>
      <c r="U66" s="781"/>
      <c r="V66" s="781">
        <v>1066</v>
      </c>
      <c r="W66" s="781">
        <v>1304</v>
      </c>
      <c r="X66" s="870"/>
      <c r="Y66" s="835">
        <v>0</v>
      </c>
      <c r="Z66" s="782">
        <v>20374.729190036185</v>
      </c>
      <c r="AA66" s="782">
        <v>22627.280486129977</v>
      </c>
      <c r="AB66" s="870">
        <v>15809.494417361901</v>
      </c>
      <c r="AC66" s="834">
        <v>0</v>
      </c>
      <c r="AD66" s="781">
        <v>195.97457627118646</v>
      </c>
      <c r="AE66" s="870">
        <v>169.84463276836161</v>
      </c>
      <c r="AF66" s="870">
        <v>209.03954802259889</v>
      </c>
      <c r="AG66" s="870">
        <v>250.84745762711867</v>
      </c>
      <c r="AH66" s="781">
        <v>235.16949152542375</v>
      </c>
      <c r="AI66" s="870">
        <v>203.81355932203391</v>
      </c>
      <c r="AJ66" s="870">
        <v>250.84745762711867</v>
      </c>
      <c r="AK66" s="870">
        <v>301.0169491525424</v>
      </c>
      <c r="AL66" s="870">
        <f>PPH_Data_Base28[[#This Row],[PPH Unit Basic Price With Cu Tube]]*0.05</f>
        <v>1131.364024306499</v>
      </c>
      <c r="AM66" s="781">
        <v>462.11264621468928</v>
      </c>
      <c r="AN66" s="781"/>
      <c r="AO66" s="781"/>
      <c r="AP66" s="781">
        <v>850.5</v>
      </c>
      <c r="AQ66" s="781">
        <v>607.5</v>
      </c>
      <c r="AR66" s="781">
        <f>3.2*242</f>
        <v>774.40000000000009</v>
      </c>
      <c r="AS66" s="781">
        <v>694.93183200785177</v>
      </c>
      <c r="AT66" s="781">
        <v>2090.704490534597</v>
      </c>
      <c r="AU66" s="781">
        <v>96.71129632067796</v>
      </c>
      <c r="AV66" s="781">
        <v>567.62490498571196</v>
      </c>
      <c r="AW66" s="870">
        <v>4186</v>
      </c>
      <c r="AX66" s="870">
        <v>363</v>
      </c>
      <c r="AY66" s="870">
        <v>3397.236965466102</v>
      </c>
      <c r="AZ66" s="870">
        <v>1131.6964413003179</v>
      </c>
      <c r="BA66" s="870"/>
      <c r="BB66" s="870">
        <f>PPH_Data_Base28[[#This Row],[PPH Unit Basic Price With Cu Tube]]*0.1</f>
        <v>2262.728048612998</v>
      </c>
      <c r="BC66" s="870">
        <v>239.55758708151154</v>
      </c>
      <c r="BD66" s="870">
        <v>798.52529027170522</v>
      </c>
      <c r="BE66" s="870">
        <v>266.17509675723505</v>
      </c>
      <c r="BF66" s="870">
        <v>266.17509675723505</v>
      </c>
      <c r="BG66" s="870">
        <v>266.17509675723505</v>
      </c>
      <c r="BH66" s="870">
        <f>PPH_Data_Base28[[#This Row],[PPH Unit Basic Price With Cu Tube]]*0.075</f>
        <v>1697.0460364597482</v>
      </c>
      <c r="BI66" s="870">
        <v>798.52529027170522</v>
      </c>
      <c r="BJ66" s="870">
        <v>266.17509675723505</v>
      </c>
      <c r="BK66" s="870">
        <v>266.17509675723505</v>
      </c>
      <c r="BL66" s="870">
        <v>266.17509675723505</v>
      </c>
      <c r="BM66" s="781">
        <f>PPH_Data_Base28[[#This Row],[Total Condenser Coil Area]]*Naming!$M$62*4</f>
        <v>6147.5555555555557</v>
      </c>
      <c r="BN66" s="781">
        <f>PPH_Data_Base28[[#This Row],[Total Evaporator  Coil Area]]*Naming!$M$62*4</f>
        <v>2840.3199999999997</v>
      </c>
      <c r="BO66" s="781">
        <f>PPH_Data_Base28[[#This Row],[Total Condenser Coil Area]]*Naming!$D$61*4</f>
        <v>93.311111111111117</v>
      </c>
      <c r="BP66" s="781">
        <f>PPH_Data_Base28[[#This Row],[Total Evaporator  Coil Area]]*Naming!$D$61*6</f>
        <v>64.668000000000006</v>
      </c>
      <c r="BQ66" s="781">
        <f>$G$195*PPH_Data_Base28[[#This Row],[Total Evaporator  Coil Area]]</f>
        <v>142.65</v>
      </c>
      <c r="BR66" s="781">
        <f>$G$199*PPH_Data_Base28[[#This Row],[Total Evaporator  Coil Area]]</f>
        <v>215.56</v>
      </c>
      <c r="BS66" s="781">
        <f>$E$185*PPH_Data_Base28[[#This Row],[Total Evaporator  Coil Area]]</f>
        <v>634</v>
      </c>
      <c r="BT66" s="781">
        <f>$E$188*PPH_Data_Base28[[#This Row],[Total Evaporator  Coil Area]]</f>
        <v>887.6</v>
      </c>
      <c r="BU66" s="781">
        <f>$G$195*PPH_Data_Base28[[#This Row],[Total Condenser Coil Area]]</f>
        <v>308.75</v>
      </c>
      <c r="BV66" s="781">
        <f>$G$199*PPH_Data_Base28[[#This Row],[Total Condenser Coil Area]]</f>
        <v>466.55555555555554</v>
      </c>
      <c r="BW66" s="781">
        <f>$E$185*PPH_Data_Base28[[#This Row],[Total Condenser Coil Area]]</f>
        <v>1372.2222222222222</v>
      </c>
      <c r="BX66" s="781">
        <f>$E$188*PPH_Data_Base28[[#This Row],[Total Condenser Coil Area]]</f>
        <v>1921.1111111111113</v>
      </c>
      <c r="BY66" s="781">
        <v>231.51080135698533</v>
      </c>
      <c r="BZ66" s="870">
        <v>143.31992532802258</v>
      </c>
      <c r="CA66" s="870"/>
      <c r="CB66" s="870"/>
      <c r="CC66" s="870">
        <v>123.58757062146893</v>
      </c>
      <c r="CD66" s="870">
        <f t="shared" si="10"/>
        <v>170.46620618090401</v>
      </c>
      <c r="CE66" s="870">
        <v>30</v>
      </c>
      <c r="CF66" s="832">
        <v>0</v>
      </c>
      <c r="CG66" s="870">
        <f>PPH_Data_Base28[[#This Row],[PPH Unit Basic Price With Cu Tube]]*0.25</f>
        <v>5656.8201215324943</v>
      </c>
      <c r="CH66" s="870">
        <f>PPH_Data_Base28[[#This Row],[DSP Unit Basic Price With Cu Tube]]*0.35</f>
        <v>5533.3230460766645</v>
      </c>
      <c r="CI66" s="781">
        <v>178.38071228813561</v>
      </c>
      <c r="CJ66" s="781">
        <v>259.54695762711867</v>
      </c>
      <c r="CK66" s="781">
        <v>37.192477542372885</v>
      </c>
      <c r="CL66" s="781">
        <f>110*1.35*PPH_Data_Base28[[#This Row],[No. of Unit  Compressors]]</f>
        <v>297</v>
      </c>
      <c r="CM66" s="870">
        <v>101.6949152542373</v>
      </c>
      <c r="CN66" s="781">
        <v>254.51977401129943</v>
      </c>
      <c r="CO66" s="870">
        <v>0</v>
      </c>
      <c r="CP66" s="781">
        <v>619.50122838983054</v>
      </c>
      <c r="CQ66" s="870">
        <v>276.4320848870056</v>
      </c>
      <c r="CR66" s="781">
        <v>430.98562118644065</v>
      </c>
      <c r="CS66" s="870">
        <v>2276.1427411016957</v>
      </c>
      <c r="CT66" s="781">
        <v>865.11299435028252</v>
      </c>
      <c r="CU66" s="870">
        <v>272.22446694915254</v>
      </c>
      <c r="CV66" s="870" t="s">
        <v>1208</v>
      </c>
      <c r="CW66" s="781">
        <f>400*1.35*PPH_Data_Base28[[#This Row],[No. of Unit  Compressors]]</f>
        <v>1080</v>
      </c>
      <c r="CX66" s="835"/>
      <c r="CY66" s="871">
        <f>47*PPH_Data_Base28[[#This Row],[No. of Unit  Compressors]]*1.35</f>
        <v>126.9</v>
      </c>
      <c r="CZ66" s="871">
        <f>30*1.35*PPH_Data_Base28[[#This Row],[NO Condenser Fans]]</f>
        <v>81</v>
      </c>
      <c r="DA66" s="781">
        <f>INDEX($B$136:$F$154,MATCH(PPH_Data_Base28[[#This Row],[STD Supply Fan Motor]],$B$136:$B$154,0),5)*PPH_Data_Base28[[#This Row],[Fan QTY]]</f>
        <v>53.871794632768371</v>
      </c>
      <c r="DB66" s="871">
        <f>47*1.35*PPH_Data_Base28[[#This Row],[No. of Unit  Compressors]]</f>
        <v>126.9</v>
      </c>
      <c r="DC66" s="871">
        <f>28*PPH_Data_Base28[[#This Row],[NO Condenser Fans]]</f>
        <v>56</v>
      </c>
      <c r="DD66" s="781">
        <f>INDEX($B$136:$F$154,MATCH(PPH_Data_Base28[[#This Row],[STD Supply Fan Motor]],$B$136:$B$154,0),3)*PPH_Data_Base28[[#This Row],[Fan QTY]]</f>
        <v>34.411195903954805</v>
      </c>
      <c r="DE66" s="870">
        <f>INDEX($B$114:$C$131,MATCH(PPH_Data_Base28[[#This Row],[Compressor 1 HP]],$B$114:$B$131,0),2)*PPH_Data_Base28[[#This Row],[Compressor 1 QTY]]+IFERROR(INDEX($B$114:$C$131,MATCH(PPH_Data_Base28[[#This Row],[Compressor 2 HP]],$B$114:$B$131,0),2)*PPH_Data_Base28[[#This Row],[Compressor 2 QTY]],0)</f>
        <v>222.87283333333338</v>
      </c>
      <c r="DF66" s="870">
        <f>40*PPH_Data_Base28[[#This Row],[NO Condenser Fans]]</f>
        <v>80</v>
      </c>
      <c r="DG66" s="870">
        <f>INDEX($B$136:$F$154,MATCH(PPH_Data_Base28[[#This Row],[STD Supply Fan Motor]],$B$136:$B$154,0),5)*PPH_Data_Base28[[#This Row],[Fan QTY]]</f>
        <v>53.871794632768371</v>
      </c>
      <c r="DH66" s="781">
        <v>932.20338983050851</v>
      </c>
      <c r="DI66" s="781">
        <v>349.57627118644069</v>
      </c>
      <c r="DJ66" s="870">
        <v>0</v>
      </c>
      <c r="DK66" s="870">
        <v>0</v>
      </c>
      <c r="DL66" s="870">
        <v>2460</v>
      </c>
      <c r="DM66" s="870">
        <v>564.9717514124294</v>
      </c>
      <c r="DN66" s="870">
        <v>213.2530350282486</v>
      </c>
      <c r="DO66" s="870"/>
      <c r="DP66" s="870">
        <v>173.0225988700565</v>
      </c>
      <c r="DQ66" s="870">
        <v>173.0225988700565</v>
      </c>
      <c r="DR66" s="870">
        <v>173.0225988700565</v>
      </c>
      <c r="DS66" s="870"/>
      <c r="DT66" s="870">
        <f>PPH_Data_Base28[[#This Row],[NO Condenser Fans]]*350</f>
        <v>700</v>
      </c>
      <c r="DU66" s="870" t="s">
        <v>1208</v>
      </c>
      <c r="DV66" s="870">
        <f>150*PPH_Data_Base28[[#This Row],[NO Condenser Fans]]</f>
        <v>300</v>
      </c>
      <c r="DW66" s="781">
        <v>757.4152542372882</v>
      </c>
      <c r="DX66" s="781">
        <v>250</v>
      </c>
      <c r="DY66" s="870">
        <v>700</v>
      </c>
      <c r="DZ66" s="870">
        <v>100</v>
      </c>
      <c r="EA66" s="870">
        <v>540</v>
      </c>
      <c r="EB66" s="870">
        <v>4.186805084745763</v>
      </c>
      <c r="EC66" s="870">
        <v>34.957627118644069</v>
      </c>
      <c r="ED66" s="870">
        <v>56.080321186440685</v>
      </c>
      <c r="EE66" s="870"/>
      <c r="EF66" s="870"/>
      <c r="EG66" s="870"/>
      <c r="EH66" s="870"/>
      <c r="EI66" s="870"/>
      <c r="EJ66" s="870"/>
      <c r="EK66" s="870"/>
      <c r="EL66" s="870"/>
      <c r="EM66" s="870"/>
      <c r="EN66" s="870"/>
      <c r="EO66" s="870"/>
      <c r="EP66" s="870"/>
      <c r="EQ66" s="870"/>
      <c r="ER66" s="870"/>
      <c r="ES66" s="870"/>
      <c r="ET66" s="870"/>
      <c r="EU66" s="870">
        <v>203</v>
      </c>
      <c r="EV66" s="870">
        <v>250</v>
      </c>
      <c r="EW66" s="847"/>
      <c r="EX66" s="781">
        <v>92.768903954802283</v>
      </c>
      <c r="EY66" s="781">
        <v>666.23951186440684</v>
      </c>
      <c r="EZ66" s="870">
        <v>38.418079096045197</v>
      </c>
      <c r="FA66" s="870">
        <v>40</v>
      </c>
      <c r="FB66" s="870">
        <v>40</v>
      </c>
      <c r="FC66" s="870">
        <v>24</v>
      </c>
      <c r="FD66" s="870">
        <v>24</v>
      </c>
      <c r="FE66" s="870">
        <v>39.548022598870062</v>
      </c>
      <c r="FF66" s="870">
        <v>91.454802259887018</v>
      </c>
      <c r="FG66" s="870">
        <v>400</v>
      </c>
      <c r="FH66" s="870">
        <v>414.03598433475634</v>
      </c>
      <c r="FI66" s="870">
        <v>251.4833065659428</v>
      </c>
      <c r="FJ66" s="870">
        <v>26</v>
      </c>
      <c r="FK66" s="870">
        <f>PPH_Data_Base28[[#This Row],[Differential Pressure Switch]]*2</f>
        <v>52</v>
      </c>
      <c r="FL66" s="870">
        <v>42</v>
      </c>
      <c r="FM66" s="872">
        <f>PPH_Data_Base28[[#This Row],[STD PETRA DIAL DIFF.PRESS.GAUGE NOT DWYER]]*2</f>
        <v>84</v>
      </c>
      <c r="FN66" s="872"/>
      <c r="FO66" s="872">
        <f>PPH_Data_Base28[[#This Row],[Replaceble Filter Drier ]]</f>
        <v>297</v>
      </c>
      <c r="FP66" s="872">
        <f>PPH_Data_Base28[[#This Row],[2" Pre-Filter]]*2</f>
        <v>193.42259264135592</v>
      </c>
      <c r="FQ66" s="872">
        <f>PPH_Data_Base28[[#This Row],[Bag Filter EU-8]]</f>
        <v>567.62490498571196</v>
      </c>
      <c r="FR66" s="872"/>
      <c r="FS66" s="872">
        <v>30</v>
      </c>
      <c r="FT66" s="176"/>
      <c r="FU66" s="176"/>
      <c r="FV66" s="176"/>
      <c r="FW66" s="176"/>
      <c r="GW66" s="176"/>
      <c r="GX66" s="176"/>
      <c r="HC66" s="176"/>
    </row>
    <row r="67" spans="1:211">
      <c r="A67" s="780" t="s">
        <v>495</v>
      </c>
      <c r="B67" s="781" t="s">
        <v>1614</v>
      </c>
      <c r="C67" s="781" t="s">
        <v>535</v>
      </c>
      <c r="D67" s="870" t="s">
        <v>1680</v>
      </c>
      <c r="E67" s="870" t="s">
        <v>1076</v>
      </c>
      <c r="F67" s="870" t="s">
        <v>1076</v>
      </c>
      <c r="G67" s="851">
        <v>0</v>
      </c>
      <c r="H67" s="870" t="s">
        <v>2249</v>
      </c>
      <c r="I67" s="781" t="s">
        <v>767</v>
      </c>
      <c r="J67" s="781" t="s">
        <v>1612</v>
      </c>
      <c r="K67" s="781">
        <v>1</v>
      </c>
      <c r="L67" s="781" t="s">
        <v>568</v>
      </c>
      <c r="M67" s="781">
        <v>9</v>
      </c>
      <c r="N67" s="300">
        <v>9</v>
      </c>
      <c r="O67" s="781">
        <v>73.888888888888886</v>
      </c>
      <c r="P67" s="781">
        <v>46.7</v>
      </c>
      <c r="Q67" s="781">
        <v>2</v>
      </c>
      <c r="R67" s="781">
        <v>30</v>
      </c>
      <c r="S67" s="781">
        <v>2</v>
      </c>
      <c r="T67" s="781"/>
      <c r="U67" s="781"/>
      <c r="V67" s="781">
        <v>1610</v>
      </c>
      <c r="W67" s="781">
        <v>1656</v>
      </c>
      <c r="X67" s="870"/>
      <c r="Y67" s="835">
        <v>0</v>
      </c>
      <c r="Z67" s="782">
        <v>23470.236858006556</v>
      </c>
      <c r="AA67" s="782">
        <v>25627.631181375149</v>
      </c>
      <c r="AB67" s="870">
        <v>16245.577036280622</v>
      </c>
      <c r="AC67" s="834">
        <v>0</v>
      </c>
      <c r="AD67" s="781" t="s">
        <v>1613</v>
      </c>
      <c r="AE67" s="783" t="s">
        <v>1613</v>
      </c>
      <c r="AF67" s="783" t="s">
        <v>1613</v>
      </c>
      <c r="AG67" s="783" t="s">
        <v>1613</v>
      </c>
      <c r="AH67" s="781" t="s">
        <v>1208</v>
      </c>
      <c r="AI67" s="783" t="s">
        <v>1208</v>
      </c>
      <c r="AJ67" s="783" t="s">
        <v>1208</v>
      </c>
      <c r="AK67" s="783" t="s">
        <v>1208</v>
      </c>
      <c r="AL67" s="870">
        <f>PPH_Data_Base28[[#This Row],[PPH Unit Basic Price With Cu Tube]]*0.05</f>
        <v>1281.3815590687575</v>
      </c>
      <c r="AM67" s="781">
        <v>462.11264621468928</v>
      </c>
      <c r="AN67" s="781"/>
      <c r="AO67" s="781"/>
      <c r="AP67" s="781">
        <v>1012.5000000000001</v>
      </c>
      <c r="AQ67" s="781">
        <v>843.75</v>
      </c>
      <c r="AR67" s="781">
        <f>4.5*242</f>
        <v>1089</v>
      </c>
      <c r="AS67" s="781">
        <v>1399.5089420466418</v>
      </c>
      <c r="AT67" s="781">
        <v>3218.0278665966612</v>
      </c>
      <c r="AU67" s="781">
        <v>129.12690401478815</v>
      </c>
      <c r="AV67" s="781">
        <v>1193.5357134782523</v>
      </c>
      <c r="AW67" s="870">
        <v>8406</v>
      </c>
      <c r="AX67" s="870">
        <v>363</v>
      </c>
      <c r="AY67" s="870">
        <v>4187.413733072035</v>
      </c>
      <c r="AZ67" s="870">
        <v>1471.2053736904131</v>
      </c>
      <c r="BA67" s="870"/>
      <c r="BB67" s="870">
        <f>PPH_Data_Base28[[#This Row],[PPH Unit Basic Price With Cu Tube]]*0.1</f>
        <v>2562.763118137515</v>
      </c>
      <c r="BC67" s="870">
        <v>287.2027530654201</v>
      </c>
      <c r="BD67" s="870">
        <v>957.3425102180671</v>
      </c>
      <c r="BE67" s="870">
        <v>319.11417007268903</v>
      </c>
      <c r="BF67" s="870">
        <v>319.11417007268903</v>
      </c>
      <c r="BG67" s="870">
        <v>319.11417007268903</v>
      </c>
      <c r="BH67" s="870">
        <f>PPH_Data_Base28[[#This Row],[PPH Unit Basic Price With Cu Tube]]*0.075</f>
        <v>1922.0723386031361</v>
      </c>
      <c r="BI67" s="870">
        <v>957.3425102180671</v>
      </c>
      <c r="BJ67" s="870">
        <v>319.11417007268903</v>
      </c>
      <c r="BK67" s="870">
        <v>319.11417007268903</v>
      </c>
      <c r="BL67" s="870">
        <v>319.11417007268903</v>
      </c>
      <c r="BM67" s="781">
        <f>PPH_Data_Base28[[#This Row],[Total Condenser Coil Area]]*Naming!$M$62*4</f>
        <v>6620.4444444444434</v>
      </c>
      <c r="BN67" s="781">
        <f>PPH_Data_Base28[[#This Row],[Total Evaporator  Coil Area]]*Naming!$M$62*4</f>
        <v>4184.32</v>
      </c>
      <c r="BO67" s="781">
        <f>PPH_Data_Base28[[#This Row],[Total Condenser Coil Area]]*Naming!$D$61*4</f>
        <v>100.48888888888889</v>
      </c>
      <c r="BP67" s="781">
        <f>PPH_Data_Base28[[#This Row],[Total Evaporator  Coil Area]]*Naming!$D$61*6</f>
        <v>95.268000000000015</v>
      </c>
      <c r="BQ67" s="781">
        <f>$G$195*PPH_Data_Base28[[#This Row],[Total Evaporator  Coil Area]]</f>
        <v>210.15</v>
      </c>
      <c r="BR67" s="781">
        <f>$G$199*PPH_Data_Base28[[#This Row],[Total Evaporator  Coil Area]]</f>
        <v>317.56</v>
      </c>
      <c r="BS67" s="781">
        <f>$E$185*PPH_Data_Base28[[#This Row],[Total Evaporator  Coil Area]]</f>
        <v>934</v>
      </c>
      <c r="BT67" s="781">
        <f>$E$188*PPH_Data_Base28[[#This Row],[Total Evaporator  Coil Area]]</f>
        <v>1307.6000000000001</v>
      </c>
      <c r="BU67" s="781">
        <f>$G$195*PPH_Data_Base28[[#This Row],[Total Condenser Coil Area]]</f>
        <v>332.5</v>
      </c>
      <c r="BV67" s="781">
        <f>$G$199*PPH_Data_Base28[[#This Row],[Total Condenser Coil Area]]</f>
        <v>502.4444444444444</v>
      </c>
      <c r="BW67" s="781">
        <f>$E$185*PPH_Data_Base28[[#This Row],[Total Condenser Coil Area]]</f>
        <v>1477.7777777777778</v>
      </c>
      <c r="BX67" s="781">
        <f>$E$188*PPH_Data_Base28[[#This Row],[Total Condenser Coil Area]]</f>
        <v>2068.8888888888887</v>
      </c>
      <c r="BY67" s="781">
        <v>243.69558037577403</v>
      </c>
      <c r="BZ67" s="870">
        <v>150.86307929265539</v>
      </c>
      <c r="CA67" s="870"/>
      <c r="CB67" s="870"/>
      <c r="CC67" s="870">
        <v>197.74011299435028</v>
      </c>
      <c r="CD67" s="870">
        <f t="shared" si="10"/>
        <v>170.46620618090401</v>
      </c>
      <c r="CE67" s="870">
        <v>30</v>
      </c>
      <c r="CF67" s="832">
        <v>0</v>
      </c>
      <c r="CG67" s="870">
        <f>PPH_Data_Base28[[#This Row],[PPH Unit Basic Price With Cu Tube]]*0.25</f>
        <v>6406.9077953437873</v>
      </c>
      <c r="CH67" s="870">
        <f>PPH_Data_Base28[[#This Row],[DSP Unit Basic Price With Cu Tube]]*0.35</f>
        <v>5685.9519626982174</v>
      </c>
      <c r="CI67" s="781">
        <v>178.38071228813561</v>
      </c>
      <c r="CJ67" s="781">
        <v>259.54695762711867</v>
      </c>
      <c r="CK67" s="781">
        <v>37.192477542372885</v>
      </c>
      <c r="CL67" s="781">
        <f>110*1.35*PPH_Data_Base28[[#This Row],[No. of Unit  Compressors]]</f>
        <v>297</v>
      </c>
      <c r="CM67" s="870">
        <v>101.6949152542373</v>
      </c>
      <c r="CN67" s="781">
        <v>254.51977401129943</v>
      </c>
      <c r="CO67" s="870">
        <v>0</v>
      </c>
      <c r="CP67" s="781">
        <v>619.50122838983054</v>
      </c>
      <c r="CQ67" s="870">
        <v>276.4320848870056</v>
      </c>
      <c r="CR67" s="781">
        <v>430.98562118644065</v>
      </c>
      <c r="CS67" s="870">
        <v>2276.1427411016957</v>
      </c>
      <c r="CT67" s="781">
        <v>865.11299435028252</v>
      </c>
      <c r="CU67" s="870">
        <v>272.22446694915254</v>
      </c>
      <c r="CV67" s="870" t="s">
        <v>1208</v>
      </c>
      <c r="CW67" s="781">
        <f>400*1.35*PPH_Data_Base28[[#This Row],[No. of Unit  Compressors]]</f>
        <v>1080</v>
      </c>
      <c r="CX67" s="835"/>
      <c r="CY67" s="871">
        <f>47*PPH_Data_Base28[[#This Row],[No. of Unit  Compressors]]*1.35</f>
        <v>126.9</v>
      </c>
      <c r="CZ67" s="871">
        <f>30*1.35*PPH_Data_Base28[[#This Row],[NO Condenser Fans]]</f>
        <v>364.5</v>
      </c>
      <c r="DA67" s="781">
        <f>INDEX($B$136:$F$154,MATCH(PPH_Data_Base28[[#This Row],[STD Supply Fan Motor]],$B$136:$B$154,0),5)*PPH_Data_Base28[[#This Row],[Fan QTY]]</f>
        <v>93.979755367231661</v>
      </c>
      <c r="DB67" s="871">
        <f>47*1.35*PPH_Data_Base28[[#This Row],[No. of Unit  Compressors]]</f>
        <v>126.9</v>
      </c>
      <c r="DC67" s="871">
        <f>28*PPH_Data_Base28[[#This Row],[NO Condenser Fans]]</f>
        <v>252</v>
      </c>
      <c r="DD67" s="781">
        <f>INDEX($B$136:$F$154,MATCH(PPH_Data_Base28[[#This Row],[STD Supply Fan Motor]],$B$136:$B$154,0),3)*PPH_Data_Base28[[#This Row],[Fan QTY]]</f>
        <v>45.747093644067796</v>
      </c>
      <c r="DE67" s="870">
        <f>INDEX($B$114:$C$131,MATCH(PPH_Data_Base28[[#This Row],[Compressor 1 HP]],$B$114:$B$131,0),2)*PPH_Data_Base28[[#This Row],[Compressor 1 QTY]]+IFERROR(INDEX($B$114:$C$131,MATCH(PPH_Data_Base28[[#This Row],[Compressor 2 HP]],$B$114:$B$131,0),2)*PPH_Data_Base28[[#This Row],[Compressor 2 QTY]],0)</f>
        <v>222.87283333333338</v>
      </c>
      <c r="DF67" s="870">
        <f>38*PPH_Data_Base28[[#This Row],[NO Condenser Fans]]</f>
        <v>342</v>
      </c>
      <c r="DG67" s="870">
        <f>INDEX($B$136:$F$154,MATCH(PPH_Data_Base28[[#This Row],[STD Supply Fan Motor]],$B$136:$B$154,0),5)*PPH_Data_Base28[[#This Row],[Fan QTY]]</f>
        <v>93.979755367231661</v>
      </c>
      <c r="DH67" s="781">
        <v>932.20338983050851</v>
      </c>
      <c r="DI67" s="781">
        <v>349.57627118644069</v>
      </c>
      <c r="DJ67" s="870">
        <v>0</v>
      </c>
      <c r="DK67" s="870">
        <v>0</v>
      </c>
      <c r="DL67" s="870">
        <v>2840</v>
      </c>
      <c r="DM67" s="870">
        <v>564.9717514124294</v>
      </c>
      <c r="DN67" s="870">
        <v>213.2530350282486</v>
      </c>
      <c r="DO67" s="870"/>
      <c r="DP67" s="870">
        <v>173.0225988700565</v>
      </c>
      <c r="DQ67" s="870">
        <v>173.0225988700565</v>
      </c>
      <c r="DR67" s="870">
        <v>173.0225988700565</v>
      </c>
      <c r="DS67" s="870"/>
      <c r="DT67" s="870">
        <f>PPH_Data_Base28[[#This Row],[NO Condenser Fans]]*350</f>
        <v>3150</v>
      </c>
      <c r="DU67" s="870">
        <v>1072.2349239406783</v>
      </c>
      <c r="DV67" s="870">
        <f>150*PPH_Data_Base28[[#This Row],[NO Condenser Fans]]</f>
        <v>1350</v>
      </c>
      <c r="DW67" s="781">
        <v>1514.8305084745764</v>
      </c>
      <c r="DX67" s="781">
        <v>250</v>
      </c>
      <c r="DY67" s="870">
        <v>700</v>
      </c>
      <c r="DZ67" s="870">
        <v>100</v>
      </c>
      <c r="EA67" s="870">
        <v>540</v>
      </c>
      <c r="EB67" s="870">
        <v>4.186805084745763</v>
      </c>
      <c r="EC67" s="870">
        <v>34.957627118644069</v>
      </c>
      <c r="ED67" s="870">
        <v>56.080321186440685</v>
      </c>
      <c r="EE67" s="870"/>
      <c r="EF67" s="870"/>
      <c r="EG67" s="870"/>
      <c r="EH67" s="870"/>
      <c r="EI67" s="870"/>
      <c r="EJ67" s="870"/>
      <c r="EK67" s="870"/>
      <c r="EL67" s="870"/>
      <c r="EM67" s="870"/>
      <c r="EN67" s="870"/>
      <c r="EO67" s="870"/>
      <c r="EP67" s="870"/>
      <c r="EQ67" s="870"/>
      <c r="ER67" s="870"/>
      <c r="ES67" s="870"/>
      <c r="ET67" s="870"/>
      <c r="EU67" s="870">
        <v>203</v>
      </c>
      <c r="EV67" s="870">
        <v>250</v>
      </c>
      <c r="EW67" s="847"/>
      <c r="EX67" s="781">
        <v>46.384451977401142</v>
      </c>
      <c r="EY67" s="781">
        <v>333.11975593220342</v>
      </c>
      <c r="EZ67" s="870">
        <v>19.209039548022599</v>
      </c>
      <c r="FA67" s="870">
        <v>40</v>
      </c>
      <c r="FB67" s="870">
        <v>40</v>
      </c>
      <c r="FC67" s="870">
        <v>24</v>
      </c>
      <c r="FD67" s="870">
        <v>24</v>
      </c>
      <c r="FE67" s="870">
        <v>19.774011299435031</v>
      </c>
      <c r="FF67" s="870">
        <v>91.454802259887018</v>
      </c>
      <c r="FG67" s="870">
        <v>566.66666666666663</v>
      </c>
      <c r="FH67" s="870">
        <v>704.99817239613344</v>
      </c>
      <c r="FI67" s="870">
        <v>427.65868083342161</v>
      </c>
      <c r="FJ67" s="870">
        <v>26</v>
      </c>
      <c r="FK67" s="870">
        <f>PPH_Data_Base28[[#This Row],[Differential Pressure Switch]]*2</f>
        <v>52</v>
      </c>
      <c r="FL67" s="870">
        <v>42</v>
      </c>
      <c r="FM67" s="872">
        <f>PPH_Data_Base28[[#This Row],[STD PETRA DIAL DIFF.PRESS.GAUGE NOT DWYER]]*2</f>
        <v>84</v>
      </c>
      <c r="FN67" s="872"/>
      <c r="FO67" s="872">
        <f>PPH_Data_Base28[[#This Row],[Replaceble Filter Drier ]]</f>
        <v>297</v>
      </c>
      <c r="FP67" s="872">
        <f>PPH_Data_Base28[[#This Row],[2" Pre-Filter]]*2</f>
        <v>258.25380802957631</v>
      </c>
      <c r="FQ67" s="872">
        <f>PPH_Data_Base28[[#This Row],[Bag Filter EU-8]]</f>
        <v>1193.5357134782523</v>
      </c>
      <c r="FR67" s="872"/>
      <c r="FS67" s="872">
        <v>30</v>
      </c>
      <c r="FT67" s="176"/>
      <c r="FU67" s="176"/>
      <c r="FV67" s="176"/>
      <c r="FW67" s="176"/>
      <c r="GW67" s="176"/>
      <c r="GX67" s="176"/>
      <c r="HC67" s="176"/>
    </row>
    <row r="68" spans="1:211">
      <c r="A68" s="780" t="s">
        <v>496</v>
      </c>
      <c r="B68" s="781" t="s">
        <v>1616</v>
      </c>
      <c r="C68" s="781" t="s">
        <v>536</v>
      </c>
      <c r="D68" s="870" t="s">
        <v>1681</v>
      </c>
      <c r="E68" s="870" t="s">
        <v>1617</v>
      </c>
      <c r="F68" s="870" t="s">
        <v>1617</v>
      </c>
      <c r="G68" s="851">
        <v>0</v>
      </c>
      <c r="H68" s="870" t="s">
        <v>2249</v>
      </c>
      <c r="I68" s="781" t="s">
        <v>768</v>
      </c>
      <c r="J68" s="781" t="s">
        <v>1612</v>
      </c>
      <c r="K68" s="781">
        <v>1</v>
      </c>
      <c r="L68" s="781" t="s">
        <v>568</v>
      </c>
      <c r="M68" s="781">
        <v>10</v>
      </c>
      <c r="N68" s="300">
        <v>10</v>
      </c>
      <c r="O68" s="781">
        <v>105.55555555555556</v>
      </c>
      <c r="P68" s="781">
        <v>46.7</v>
      </c>
      <c r="Q68" s="781">
        <v>3</v>
      </c>
      <c r="R68" s="781">
        <v>25.8</v>
      </c>
      <c r="S68" s="781">
        <v>3</v>
      </c>
      <c r="T68" s="781"/>
      <c r="U68" s="781"/>
      <c r="V68" s="781">
        <v>2113</v>
      </c>
      <c r="W68" s="781">
        <v>1656</v>
      </c>
      <c r="X68" s="870"/>
      <c r="Y68" s="835">
        <v>0</v>
      </c>
      <c r="Z68" s="782">
        <v>30858.998737913604</v>
      </c>
      <c r="AA68" s="782">
        <v>33960.967395896507</v>
      </c>
      <c r="AB68" s="870">
        <v>24025.294173078277</v>
      </c>
      <c r="AC68" s="834">
        <v>0</v>
      </c>
      <c r="AD68" s="781" t="s">
        <v>1613</v>
      </c>
      <c r="AE68" s="783" t="s">
        <v>1613</v>
      </c>
      <c r="AF68" s="783" t="s">
        <v>1613</v>
      </c>
      <c r="AG68" s="783" t="s">
        <v>1613</v>
      </c>
      <c r="AH68" s="781" t="s">
        <v>1208</v>
      </c>
      <c r="AI68" s="783" t="s">
        <v>1208</v>
      </c>
      <c r="AJ68" s="783" t="s">
        <v>1208</v>
      </c>
      <c r="AK68" s="783" t="s">
        <v>1208</v>
      </c>
      <c r="AL68" s="870">
        <f>PPH_Data_Base28[[#This Row],[PPH Unit Basic Price With Cu Tube]]*0.05</f>
        <v>1698.0483697948255</v>
      </c>
      <c r="AM68" s="781">
        <v>479.44309836158203</v>
      </c>
      <c r="AN68" s="781"/>
      <c r="AO68" s="781"/>
      <c r="AP68" s="781">
        <v>1012.5000000000001</v>
      </c>
      <c r="AQ68" s="781">
        <v>843.75</v>
      </c>
      <c r="AR68" s="781">
        <f>4.5*242</f>
        <v>1089</v>
      </c>
      <c r="AS68" s="781">
        <v>1399.5089420466418</v>
      </c>
      <c r="AT68" s="781">
        <v>3218.0278665966612</v>
      </c>
      <c r="AU68" s="781">
        <v>129.12690401478815</v>
      </c>
      <c r="AV68" s="781">
        <v>1193.5357134782523</v>
      </c>
      <c r="AW68" s="870">
        <v>8406</v>
      </c>
      <c r="AX68" s="870">
        <v>363</v>
      </c>
      <c r="AY68" s="870">
        <v>4187.413733072035</v>
      </c>
      <c r="AZ68" s="870">
        <v>1471.2053736904131</v>
      </c>
      <c r="BA68" s="870"/>
      <c r="BB68" s="870">
        <f>PPH_Data_Base28[[#This Row],[PPH Unit Basic Price With Cu Tube]]*0.1</f>
        <v>3396.096739589651</v>
      </c>
      <c r="BC68" s="870">
        <v>323.71003688921525</v>
      </c>
      <c r="BD68" s="870">
        <v>1079.0334562973842</v>
      </c>
      <c r="BE68" s="870">
        <v>359.67781876579471</v>
      </c>
      <c r="BF68" s="870">
        <v>359.67781876579471</v>
      </c>
      <c r="BG68" s="870">
        <v>359.67781876579471</v>
      </c>
      <c r="BH68" s="870">
        <f>PPH_Data_Base28[[#This Row],[PPH Unit Basic Price With Cu Tube]]*0.075</f>
        <v>2547.0725546922381</v>
      </c>
      <c r="BI68" s="870">
        <v>1079.0334562973842</v>
      </c>
      <c r="BJ68" s="870">
        <v>359.67781876579471</v>
      </c>
      <c r="BK68" s="870">
        <v>359.67781876579471</v>
      </c>
      <c r="BL68" s="870">
        <v>359.67781876579471</v>
      </c>
      <c r="BM68" s="781">
        <f>PPH_Data_Base28[[#This Row],[Total Condenser Coil Area]]*Naming!$M$62*4</f>
        <v>9457.7777777777774</v>
      </c>
      <c r="BN68" s="781">
        <f>PPH_Data_Base28[[#This Row],[Total Evaporator  Coil Area]]*Naming!$M$62*4</f>
        <v>4184.32</v>
      </c>
      <c r="BO68" s="781">
        <f>PPH_Data_Base28[[#This Row],[Total Condenser Coil Area]]*Naming!$D$61*4</f>
        <v>143.55555555555557</v>
      </c>
      <c r="BP68" s="781">
        <f>PPH_Data_Base28[[#This Row],[Total Evaporator  Coil Area]]*Naming!$D$61*6</f>
        <v>95.268000000000015</v>
      </c>
      <c r="BQ68" s="781">
        <f>$G$195*PPH_Data_Base28[[#This Row],[Total Evaporator  Coil Area]]</f>
        <v>210.15</v>
      </c>
      <c r="BR68" s="781">
        <f>$G$199*PPH_Data_Base28[[#This Row],[Total Evaporator  Coil Area]]</f>
        <v>317.56</v>
      </c>
      <c r="BS68" s="781">
        <f>$E$185*PPH_Data_Base28[[#This Row],[Total Evaporator  Coil Area]]</f>
        <v>934</v>
      </c>
      <c r="BT68" s="781">
        <f>$E$188*PPH_Data_Base28[[#This Row],[Total Evaporator  Coil Area]]</f>
        <v>1307.6000000000001</v>
      </c>
      <c r="BU68" s="781">
        <f>$G$195*PPH_Data_Base28[[#This Row],[Total Condenser Coil Area]]</f>
        <v>475</v>
      </c>
      <c r="BV68" s="781">
        <f>$G$199*PPH_Data_Base28[[#This Row],[Total Condenser Coil Area]]</f>
        <v>717.77777777777771</v>
      </c>
      <c r="BW68" s="781">
        <f>$E$185*PPH_Data_Base28[[#This Row],[Total Condenser Coil Area]]</f>
        <v>2111.1111111111113</v>
      </c>
      <c r="BX68" s="781">
        <f>$E$188*PPH_Data_Base28[[#This Row],[Total Condenser Coil Area]]</f>
        <v>2955.5555555555557</v>
      </c>
      <c r="BY68" s="781">
        <v>243.69558037577403</v>
      </c>
      <c r="BZ68" s="870">
        <v>150.86307929265539</v>
      </c>
      <c r="CA68" s="870"/>
      <c r="CB68" s="870"/>
      <c r="CC68" s="870">
        <v>197.74011299435028</v>
      </c>
      <c r="CD68" s="870">
        <f t="shared" si="10"/>
        <v>170.46620618090401</v>
      </c>
      <c r="CE68" s="870">
        <v>50</v>
      </c>
      <c r="CF68" s="832">
        <v>0</v>
      </c>
      <c r="CG68" s="870">
        <f>PPH_Data_Base28[[#This Row],[PPH Unit Basic Price With Cu Tube]]*0.25</f>
        <v>8490.2418489741267</v>
      </c>
      <c r="CH68" s="870">
        <f>PPH_Data_Base28[[#This Row],[DSP Unit Basic Price With Cu Tube]]*0.35</f>
        <v>8408.8529605773965</v>
      </c>
      <c r="CI68" s="781">
        <v>267.57106843220345</v>
      </c>
      <c r="CJ68" s="781">
        <v>389.32043644067801</v>
      </c>
      <c r="CK68" s="781">
        <v>55.78871631355932</v>
      </c>
      <c r="CL68" s="781">
        <f>110*1.35*PPH_Data_Base28[[#This Row],[No. of Unit  Compressors]]</f>
        <v>445.5</v>
      </c>
      <c r="CM68" s="870">
        <v>152.54237288135596</v>
      </c>
      <c r="CN68" s="781">
        <v>381.77966101694915</v>
      </c>
      <c r="CO68" s="870">
        <v>0</v>
      </c>
      <c r="CP68" s="781">
        <v>356.38929300847457</v>
      </c>
      <c r="CQ68" s="870">
        <v>414.64812733050837</v>
      </c>
      <c r="CR68" s="781">
        <v>430.98562118644065</v>
      </c>
      <c r="CS68" s="870">
        <v>2424.7394618644071</v>
      </c>
      <c r="CT68" s="781">
        <v>1297.6694915254238</v>
      </c>
      <c r="CU68" s="870">
        <v>408.33670042372887</v>
      </c>
      <c r="CV68" s="870" t="s">
        <v>1208</v>
      </c>
      <c r="CW68" s="781">
        <f>400*1.35*PPH_Data_Base28[[#This Row],[No. of Unit  Compressors]]</f>
        <v>1620</v>
      </c>
      <c r="CX68" s="835"/>
      <c r="CY68" s="871">
        <f>47*PPH_Data_Base28[[#This Row],[No. of Unit  Compressors]]*1.35</f>
        <v>190.35000000000002</v>
      </c>
      <c r="CZ68" s="871">
        <f>30*1.35*PPH_Data_Base28[[#This Row],[NO Condenser Fans]]</f>
        <v>405</v>
      </c>
      <c r="DA68" s="781">
        <f>INDEX($B$136:$F$154,MATCH(PPH_Data_Base28[[#This Row],[STD Supply Fan Motor]],$B$136:$B$154,0),5)*PPH_Data_Base28[[#This Row],[Fan QTY]]</f>
        <v>93.979755367231661</v>
      </c>
      <c r="DB68" s="871">
        <f>47*1.35*PPH_Data_Base28[[#This Row],[No. of Unit  Compressors]]</f>
        <v>190.35000000000002</v>
      </c>
      <c r="DC68" s="871">
        <f>28*PPH_Data_Base28[[#This Row],[NO Condenser Fans]]</f>
        <v>280</v>
      </c>
      <c r="DD68" s="781">
        <f>INDEX($B$136:$F$154,MATCH(PPH_Data_Base28[[#This Row],[STD Supply Fan Motor]],$B$136:$B$154,0),3)*PPH_Data_Base28[[#This Row],[Fan QTY]]</f>
        <v>45.747093644067796</v>
      </c>
      <c r="DE68" s="870">
        <f>INDEX($B$114:$C$131,MATCH(PPH_Data_Base28[[#This Row],[Compressor 1 HP]],$B$114:$B$131,0),2)*PPH_Data_Base28[[#This Row],[Compressor 1 QTY]]+IFERROR(INDEX($B$114:$C$131,MATCH(PPH_Data_Base28[[#This Row],[Compressor 2 HP]],$B$114:$B$131,0),2)*PPH_Data_Base28[[#This Row],[Compressor 2 QTY]],0)</f>
        <v>334.30925000000008</v>
      </c>
      <c r="DF68" s="870">
        <f>38*PPH_Data_Base28[[#This Row],[NO Condenser Fans]]</f>
        <v>380</v>
      </c>
      <c r="DG68" s="870">
        <f>INDEX($B$136:$F$154,MATCH(PPH_Data_Base28[[#This Row],[STD Supply Fan Motor]],$B$136:$B$154,0),5)*PPH_Data_Base28[[#This Row],[Fan QTY]]</f>
        <v>93.979755367231661</v>
      </c>
      <c r="DH68" s="781">
        <v>932.20338983050851</v>
      </c>
      <c r="DI68" s="781">
        <v>349.57627118644069</v>
      </c>
      <c r="DJ68" s="870">
        <v>4700</v>
      </c>
      <c r="DK68" s="870">
        <v>14100</v>
      </c>
      <c r="DL68" s="870">
        <v>2840</v>
      </c>
      <c r="DM68" s="870">
        <v>564.9717514124294</v>
      </c>
      <c r="DN68" s="870">
        <v>213.2530350282486</v>
      </c>
      <c r="DO68" s="870"/>
      <c r="DP68" s="870">
        <v>173.0225988700565</v>
      </c>
      <c r="DQ68" s="870">
        <v>173.0225988700565</v>
      </c>
      <c r="DR68" s="870">
        <v>173.0225988700565</v>
      </c>
      <c r="DS68" s="870"/>
      <c r="DT68" s="870">
        <f>PPH_Data_Base28[[#This Row],[NO Condenser Fans]]*350</f>
        <v>3500</v>
      </c>
      <c r="DU68" s="870">
        <v>1191.372137711865</v>
      </c>
      <c r="DV68" s="870">
        <f>150*PPH_Data_Base28[[#This Row],[NO Condenser Fans]]</f>
        <v>1500</v>
      </c>
      <c r="DW68" s="781">
        <v>1514.8305084745764</v>
      </c>
      <c r="DX68" s="781">
        <v>250</v>
      </c>
      <c r="DY68" s="870">
        <v>700</v>
      </c>
      <c r="DZ68" s="870">
        <v>100</v>
      </c>
      <c r="EA68" s="870">
        <v>540</v>
      </c>
      <c r="EB68" s="870">
        <v>4.186805084745763</v>
      </c>
      <c r="EC68" s="870">
        <v>34.957627118644069</v>
      </c>
      <c r="ED68" s="870">
        <v>56.080321186440685</v>
      </c>
      <c r="EE68" s="870"/>
      <c r="EF68" s="870"/>
      <c r="EG68" s="870"/>
      <c r="EH68" s="870"/>
      <c r="EI68" s="870"/>
      <c r="EJ68" s="870"/>
      <c r="EK68" s="870"/>
      <c r="EL68" s="870"/>
      <c r="EM68" s="870"/>
      <c r="EN68" s="870"/>
      <c r="EO68" s="870"/>
      <c r="EP68" s="870"/>
      <c r="EQ68" s="870"/>
      <c r="ER68" s="870"/>
      <c r="ES68" s="870"/>
      <c r="ET68" s="870"/>
      <c r="EU68" s="870">
        <v>203</v>
      </c>
      <c r="EV68" s="870">
        <v>250</v>
      </c>
      <c r="EW68" s="847"/>
      <c r="EX68" s="781">
        <v>46.384451977401142</v>
      </c>
      <c r="EY68" s="781">
        <v>333.11975593220342</v>
      </c>
      <c r="EZ68" s="870">
        <v>19.209039548022599</v>
      </c>
      <c r="FA68" s="870">
        <v>40</v>
      </c>
      <c r="FB68" s="870">
        <v>40</v>
      </c>
      <c r="FC68" s="870">
        <v>24</v>
      </c>
      <c r="FD68" s="870">
        <v>24</v>
      </c>
      <c r="FE68" s="870">
        <v>19.774011299435031</v>
      </c>
      <c r="FF68" s="870">
        <v>91.454802259887018</v>
      </c>
      <c r="FG68" s="870">
        <v>566.66666666666663</v>
      </c>
      <c r="FH68" s="870">
        <v>704.99817239613344</v>
      </c>
      <c r="FI68" s="870">
        <v>427.65868083342161</v>
      </c>
      <c r="FJ68" s="870">
        <v>26</v>
      </c>
      <c r="FK68" s="870">
        <f>PPH_Data_Base28[[#This Row],[Differential Pressure Switch]]*2</f>
        <v>52</v>
      </c>
      <c r="FL68" s="870">
        <v>42</v>
      </c>
      <c r="FM68" s="872">
        <f>PPH_Data_Base28[[#This Row],[STD PETRA DIAL DIFF.PRESS.GAUGE NOT DWYER]]*2</f>
        <v>84</v>
      </c>
      <c r="FN68" s="872"/>
      <c r="FO68" s="872">
        <f>PPH_Data_Base28[[#This Row],[Replaceble Filter Drier ]]</f>
        <v>445.5</v>
      </c>
      <c r="FP68" s="872">
        <f>PPH_Data_Base28[[#This Row],[2" Pre-Filter]]*2</f>
        <v>258.25380802957631</v>
      </c>
      <c r="FQ68" s="872">
        <f>PPH_Data_Base28[[#This Row],[Bag Filter EU-8]]</f>
        <v>1193.5357134782523</v>
      </c>
      <c r="FR68" s="872"/>
      <c r="FS68" s="872">
        <v>30</v>
      </c>
      <c r="FT68" s="176"/>
      <c r="FU68" s="176"/>
      <c r="FV68" s="176"/>
      <c r="FW68" s="176"/>
      <c r="GW68" s="176"/>
      <c r="GX68" s="176"/>
      <c r="HC68" s="176"/>
    </row>
    <row r="69" spans="1:211">
      <c r="A69" s="780" t="s">
        <v>497</v>
      </c>
      <c r="B69" s="781" t="s">
        <v>1619</v>
      </c>
      <c r="C69" s="781" t="s">
        <v>537</v>
      </c>
      <c r="D69" s="870" t="s">
        <v>1682</v>
      </c>
      <c r="E69" s="870" t="s">
        <v>1620</v>
      </c>
      <c r="F69" s="870" t="s">
        <v>1620</v>
      </c>
      <c r="G69" s="851">
        <v>0</v>
      </c>
      <c r="H69" s="870" t="s">
        <v>2249</v>
      </c>
      <c r="I69" s="781" t="s">
        <v>768</v>
      </c>
      <c r="J69" s="781" t="s">
        <v>1612</v>
      </c>
      <c r="K69" s="781">
        <v>1</v>
      </c>
      <c r="L69" s="781" t="s">
        <v>568</v>
      </c>
      <c r="M69" s="781">
        <v>10</v>
      </c>
      <c r="N69" s="300">
        <v>10</v>
      </c>
      <c r="O69" s="781">
        <v>105.6</v>
      </c>
      <c r="P69" s="781">
        <v>46.7</v>
      </c>
      <c r="Q69" s="781">
        <v>3</v>
      </c>
      <c r="R69" s="781">
        <v>20</v>
      </c>
      <c r="S69" s="781">
        <v>4</v>
      </c>
      <c r="T69" s="781"/>
      <c r="U69" s="781"/>
      <c r="V69" s="781">
        <v>2113</v>
      </c>
      <c r="W69" s="781">
        <v>1656</v>
      </c>
      <c r="X69" s="870"/>
      <c r="Y69" s="835">
        <v>0</v>
      </c>
      <c r="Z69" s="782">
        <v>34869.056611973443</v>
      </c>
      <c r="AA69" s="782">
        <v>38932.462685070226</v>
      </c>
      <c r="AB69" s="870">
        <v>27835.545820972638</v>
      </c>
      <c r="AC69" s="834">
        <v>0</v>
      </c>
      <c r="AD69" s="781" t="s">
        <v>1613</v>
      </c>
      <c r="AE69" s="783" t="s">
        <v>1613</v>
      </c>
      <c r="AF69" s="783" t="s">
        <v>1613</v>
      </c>
      <c r="AG69" s="783" t="s">
        <v>1613</v>
      </c>
      <c r="AH69" s="781" t="s">
        <v>1208</v>
      </c>
      <c r="AI69" s="783" t="s">
        <v>1208</v>
      </c>
      <c r="AJ69" s="783" t="s">
        <v>1208</v>
      </c>
      <c r="AK69" s="783" t="s">
        <v>1208</v>
      </c>
      <c r="AL69" s="870">
        <f>PPH_Data_Base28[[#This Row],[PPH Unit Basic Price With Cu Tube]]*0.05</f>
        <v>1946.6231342535114</v>
      </c>
      <c r="AM69" s="781">
        <v>479.44309836158203</v>
      </c>
      <c r="AN69" s="781"/>
      <c r="AO69" s="781"/>
      <c r="AP69" s="781">
        <v>1012.5000000000001</v>
      </c>
      <c r="AQ69" s="781">
        <v>843.75</v>
      </c>
      <c r="AR69" s="781">
        <f>4.5*242</f>
        <v>1089</v>
      </c>
      <c r="AS69" s="781">
        <v>1399.5089420466418</v>
      </c>
      <c r="AT69" s="781">
        <v>3218.0278665966612</v>
      </c>
      <c r="AU69" s="781">
        <v>129.12690401478815</v>
      </c>
      <c r="AV69" s="781">
        <v>1193.5357134782523</v>
      </c>
      <c r="AW69" s="870">
        <v>8406</v>
      </c>
      <c r="AX69" s="870">
        <v>363</v>
      </c>
      <c r="AY69" s="870">
        <v>4187.413733072035</v>
      </c>
      <c r="AZ69" s="870">
        <v>1471.2053736904131</v>
      </c>
      <c r="BA69" s="870"/>
      <c r="BB69" s="870">
        <f>PPH_Data_Base28[[#This Row],[PPH Unit Basic Price With Cu Tube]]*0.1</f>
        <v>3893.2462685070227</v>
      </c>
      <c r="BC69" s="870">
        <v>365.93944927763442</v>
      </c>
      <c r="BD69" s="870">
        <v>1219.7981642587815</v>
      </c>
      <c r="BE69" s="870">
        <v>406.59938808626049</v>
      </c>
      <c r="BF69" s="870">
        <v>406.59938808626049</v>
      </c>
      <c r="BG69" s="870">
        <v>406.59938808626049</v>
      </c>
      <c r="BH69" s="870">
        <f>PPH_Data_Base28[[#This Row],[PPH Unit Basic Price With Cu Tube]]*0.075</f>
        <v>2919.9347013802667</v>
      </c>
      <c r="BI69" s="870">
        <v>1219.7981642587815</v>
      </c>
      <c r="BJ69" s="870">
        <v>406.59938808626049</v>
      </c>
      <c r="BK69" s="870">
        <v>406.59938808626049</v>
      </c>
      <c r="BL69" s="870">
        <v>406.59938808626049</v>
      </c>
      <c r="BM69" s="781">
        <f>PPH_Data_Base28[[#This Row],[Total Condenser Coil Area]]*Naming!$M$62*4</f>
        <v>9461.7599999999984</v>
      </c>
      <c r="BN69" s="781">
        <f>PPH_Data_Base28[[#This Row],[Total Evaporator  Coil Area]]*Naming!$M$62*4</f>
        <v>4184.32</v>
      </c>
      <c r="BO69" s="781">
        <f>PPH_Data_Base28[[#This Row],[Total Condenser Coil Area]]*Naming!$D$61*4</f>
        <v>143.61600000000001</v>
      </c>
      <c r="BP69" s="781">
        <f>PPH_Data_Base28[[#This Row],[Total Evaporator  Coil Area]]*Naming!$D$61*6</f>
        <v>95.268000000000015</v>
      </c>
      <c r="BQ69" s="781">
        <f>$G$195*PPH_Data_Base28[[#This Row],[Total Evaporator  Coil Area]]</f>
        <v>210.15</v>
      </c>
      <c r="BR69" s="781">
        <f>$G$199*PPH_Data_Base28[[#This Row],[Total Evaporator  Coil Area]]</f>
        <v>317.56</v>
      </c>
      <c r="BS69" s="781">
        <f>$E$185*PPH_Data_Base28[[#This Row],[Total Evaporator  Coil Area]]</f>
        <v>934</v>
      </c>
      <c r="BT69" s="781">
        <f>$E$188*PPH_Data_Base28[[#This Row],[Total Evaporator  Coil Area]]</f>
        <v>1307.6000000000001</v>
      </c>
      <c r="BU69" s="781">
        <f>$G$195*PPH_Data_Base28[[#This Row],[Total Condenser Coil Area]]</f>
        <v>475.2</v>
      </c>
      <c r="BV69" s="781">
        <f>$G$199*PPH_Data_Base28[[#This Row],[Total Condenser Coil Area]]</f>
        <v>718.07999999999993</v>
      </c>
      <c r="BW69" s="781">
        <f>$E$185*PPH_Data_Base28[[#This Row],[Total Condenser Coil Area]]</f>
        <v>2112</v>
      </c>
      <c r="BX69" s="781">
        <f>$E$188*PPH_Data_Base28[[#This Row],[Total Condenser Coil Area]]</f>
        <v>2956.7999999999997</v>
      </c>
      <c r="BY69" s="781">
        <v>243.69558037577403</v>
      </c>
      <c r="BZ69" s="870">
        <v>150.86307929265539</v>
      </c>
      <c r="CA69" s="870"/>
      <c r="CB69" s="870"/>
      <c r="CC69" s="870">
        <v>197.74011299435028</v>
      </c>
      <c r="CD69" s="870">
        <f t="shared" si="10"/>
        <v>170.46620618090401</v>
      </c>
      <c r="CE69" s="870">
        <v>50</v>
      </c>
      <c r="CF69" s="832">
        <v>0</v>
      </c>
      <c r="CG69" s="870">
        <f>PPH_Data_Base28[[#This Row],[PPH Unit Basic Price With Cu Tube]]*0.25</f>
        <v>9733.1156712675565</v>
      </c>
      <c r="CH69" s="870">
        <f>PPH_Data_Base28[[#This Row],[DSP Unit Basic Price With Cu Tube]]*0.35</f>
        <v>9742.4410373404226</v>
      </c>
      <c r="CI69" s="781">
        <v>267.57106843220345</v>
      </c>
      <c r="CJ69" s="781">
        <v>389.32043644067801</v>
      </c>
      <c r="CK69" s="781">
        <v>55.78871631355932</v>
      </c>
      <c r="CL69" s="781">
        <f>110*1.35*PPH_Data_Base28[[#This Row],[No. of Unit  Compressors]]</f>
        <v>445.5</v>
      </c>
      <c r="CM69" s="870">
        <v>152.54237288135596</v>
      </c>
      <c r="CN69" s="781">
        <v>381.77966101694915</v>
      </c>
      <c r="CO69" s="870">
        <v>0</v>
      </c>
      <c r="CP69" s="781">
        <v>929.25184258474587</v>
      </c>
      <c r="CQ69" s="870">
        <v>414.64812733050837</v>
      </c>
      <c r="CR69" s="781">
        <v>430.98562118644065</v>
      </c>
      <c r="CS69" s="870">
        <v>3414.214111652544</v>
      </c>
      <c r="CT69" s="781">
        <v>1297.6694915254238</v>
      </c>
      <c r="CU69" s="870">
        <v>408.33670042372887</v>
      </c>
      <c r="CV69" s="870" t="s">
        <v>1208</v>
      </c>
      <c r="CW69" s="781">
        <f>400*1.35*PPH_Data_Base28[[#This Row],[No. of Unit  Compressors]]</f>
        <v>1620</v>
      </c>
      <c r="CX69" s="835"/>
      <c r="CY69" s="871">
        <f>47*PPH_Data_Base28[[#This Row],[No. of Unit  Compressors]]*1.35</f>
        <v>190.35000000000002</v>
      </c>
      <c r="CZ69" s="871">
        <f>30*1.35*PPH_Data_Base28[[#This Row],[NO Condenser Fans]]</f>
        <v>405</v>
      </c>
      <c r="DA69" s="781">
        <f>INDEX($B$136:$F$154,MATCH(PPH_Data_Base28[[#This Row],[STD Supply Fan Motor]],$B$136:$B$154,0),5)*PPH_Data_Base28[[#This Row],[Fan QTY]]</f>
        <v>93.979755367231661</v>
      </c>
      <c r="DB69" s="871">
        <f>47*1.35*PPH_Data_Base28[[#This Row],[No. of Unit  Compressors]]</f>
        <v>190.35000000000002</v>
      </c>
      <c r="DC69" s="871">
        <f>28*PPH_Data_Base28[[#This Row],[NO Condenser Fans]]</f>
        <v>280</v>
      </c>
      <c r="DD69" s="781">
        <f>INDEX($B$136:$F$154,MATCH(PPH_Data_Base28[[#This Row],[STD Supply Fan Motor]],$B$136:$B$154,0),3)*PPH_Data_Base28[[#This Row],[Fan QTY]]</f>
        <v>45.747093644067796</v>
      </c>
      <c r="DE69" s="870">
        <f>INDEX($B$114:$C$131,MATCH(PPH_Data_Base28[[#This Row],[Compressor 1 HP]],$B$114:$B$131,0),2)*PPH_Data_Base28[[#This Row],[Compressor 1 QTY]]+IFERROR(INDEX($B$114:$C$131,MATCH(PPH_Data_Base28[[#This Row],[Compressor 2 HP]],$B$114:$B$131,0),2)*PPH_Data_Base28[[#This Row],[Compressor 2 QTY]],0)</f>
        <v>445.74566666666675</v>
      </c>
      <c r="DF69" s="870">
        <f>38*PPH_Data_Base28[[#This Row],[NO Condenser Fans]]</f>
        <v>380</v>
      </c>
      <c r="DG69" s="870">
        <f>INDEX($B$136:$F$154,MATCH(PPH_Data_Base28[[#This Row],[STD Supply Fan Motor]],$B$136:$B$154,0),5)*PPH_Data_Base28[[#This Row],[Fan QTY]]</f>
        <v>93.979755367231661</v>
      </c>
      <c r="DH69" s="781">
        <v>932.20338983050851</v>
      </c>
      <c r="DI69" s="781">
        <v>559.32203389830511</v>
      </c>
      <c r="DJ69" s="870">
        <v>4300</v>
      </c>
      <c r="DK69" s="870">
        <v>17200</v>
      </c>
      <c r="DL69" s="870">
        <v>2840</v>
      </c>
      <c r="DM69" s="870">
        <v>564.9717514124294</v>
      </c>
      <c r="DN69" s="870">
        <v>213.2530350282486</v>
      </c>
      <c r="DO69" s="870"/>
      <c r="DP69" s="870">
        <v>173.0225988700565</v>
      </c>
      <c r="DQ69" s="870">
        <v>173.0225988700565</v>
      </c>
      <c r="DR69" s="870">
        <v>173.0225988700565</v>
      </c>
      <c r="DS69" s="870"/>
      <c r="DT69" s="870">
        <f>PPH_Data_Base28[[#This Row],[NO Condenser Fans]]*350</f>
        <v>3500</v>
      </c>
      <c r="DU69" s="870">
        <v>1191.372137711865</v>
      </c>
      <c r="DV69" s="870">
        <f>150*PPH_Data_Base28[[#This Row],[NO Condenser Fans]]</f>
        <v>1500</v>
      </c>
      <c r="DW69" s="781">
        <v>1514.8305084745764</v>
      </c>
      <c r="DX69" s="781">
        <v>250</v>
      </c>
      <c r="DY69" s="870">
        <v>700</v>
      </c>
      <c r="DZ69" s="870">
        <v>100</v>
      </c>
      <c r="EA69" s="870">
        <v>540</v>
      </c>
      <c r="EB69" s="870">
        <v>4.186805084745763</v>
      </c>
      <c r="EC69" s="870">
        <v>34.957627118644069</v>
      </c>
      <c r="ED69" s="870">
        <v>56.080321186440685</v>
      </c>
      <c r="EE69" s="870"/>
      <c r="EF69" s="870"/>
      <c r="EG69" s="870"/>
      <c r="EH69" s="870"/>
      <c r="EI69" s="870"/>
      <c r="EJ69" s="870"/>
      <c r="EK69" s="870"/>
      <c r="EL69" s="870"/>
      <c r="EM69" s="870"/>
      <c r="EN69" s="870"/>
      <c r="EO69" s="870"/>
      <c r="EP69" s="870"/>
      <c r="EQ69" s="870"/>
      <c r="ER69" s="870"/>
      <c r="ES69" s="870"/>
      <c r="ET69" s="870"/>
      <c r="EU69" s="870">
        <v>203</v>
      </c>
      <c r="EV69" s="870">
        <v>250</v>
      </c>
      <c r="EW69" s="847"/>
      <c r="EX69" s="781">
        <v>46.384451977401142</v>
      </c>
      <c r="EY69" s="781">
        <v>333.11975593220342</v>
      </c>
      <c r="EZ69" s="870">
        <v>19.209039548022599</v>
      </c>
      <c r="FA69" s="870">
        <v>40</v>
      </c>
      <c r="FB69" s="870">
        <v>40</v>
      </c>
      <c r="FC69" s="870">
        <v>24</v>
      </c>
      <c r="FD69" s="870">
        <v>24</v>
      </c>
      <c r="FE69" s="870">
        <v>19.774011299435031</v>
      </c>
      <c r="FF69" s="870">
        <v>91.454802259887018</v>
      </c>
      <c r="FG69" s="870">
        <v>566.66666666666663</v>
      </c>
      <c r="FH69" s="870">
        <v>704.99817239613344</v>
      </c>
      <c r="FI69" s="870">
        <v>427.65868083342161</v>
      </c>
      <c r="FJ69" s="870">
        <v>26</v>
      </c>
      <c r="FK69" s="870">
        <f>PPH_Data_Base28[[#This Row],[Differential Pressure Switch]]*2</f>
        <v>52</v>
      </c>
      <c r="FL69" s="870">
        <v>42</v>
      </c>
      <c r="FM69" s="872">
        <f>PPH_Data_Base28[[#This Row],[STD PETRA DIAL DIFF.PRESS.GAUGE NOT DWYER]]*2</f>
        <v>84</v>
      </c>
      <c r="FN69" s="872"/>
      <c r="FO69" s="872">
        <f>PPH_Data_Base28[[#This Row],[Replaceble Filter Drier ]]</f>
        <v>445.5</v>
      </c>
      <c r="FP69" s="872">
        <f>PPH_Data_Base28[[#This Row],[2" Pre-Filter]]*2</f>
        <v>258.25380802957631</v>
      </c>
      <c r="FQ69" s="872">
        <f>PPH_Data_Base28[[#This Row],[Bag Filter EU-8]]</f>
        <v>1193.5357134782523</v>
      </c>
      <c r="FR69" s="872"/>
      <c r="FS69" s="872">
        <v>30</v>
      </c>
      <c r="FT69" s="176"/>
      <c r="FU69" s="176"/>
      <c r="FV69" s="176"/>
      <c r="FW69" s="176"/>
      <c r="GW69" s="176"/>
      <c r="GX69" s="176"/>
      <c r="HC69" s="176"/>
    </row>
    <row r="70" spans="1:211">
      <c r="A70" s="780" t="s">
        <v>498</v>
      </c>
      <c r="B70" s="781" t="s">
        <v>1622</v>
      </c>
      <c r="C70" s="781" t="s">
        <v>538</v>
      </c>
      <c r="D70" s="870" t="s">
        <v>1683</v>
      </c>
      <c r="E70" s="870" t="s">
        <v>1080</v>
      </c>
      <c r="F70" s="870" t="s">
        <v>1080</v>
      </c>
      <c r="G70" s="851">
        <v>0</v>
      </c>
      <c r="H70" s="870" t="s">
        <v>2249</v>
      </c>
      <c r="I70" s="781" t="s">
        <v>768</v>
      </c>
      <c r="J70" s="781" t="s">
        <v>1612</v>
      </c>
      <c r="K70" s="781">
        <v>1</v>
      </c>
      <c r="L70" s="781" t="s">
        <v>568</v>
      </c>
      <c r="M70" s="781">
        <v>12</v>
      </c>
      <c r="N70" s="300">
        <v>4</v>
      </c>
      <c r="O70" s="781">
        <v>137.22222222222223</v>
      </c>
      <c r="P70" s="781">
        <v>57.8</v>
      </c>
      <c r="Q70" s="781">
        <v>4</v>
      </c>
      <c r="R70" s="781">
        <v>25.8</v>
      </c>
      <c r="S70" s="781">
        <v>4</v>
      </c>
      <c r="T70" s="781"/>
      <c r="U70" s="781"/>
      <c r="V70" s="781">
        <v>2113</v>
      </c>
      <c r="W70" s="781">
        <v>1656</v>
      </c>
      <c r="X70" s="870"/>
      <c r="Y70" s="835">
        <v>0</v>
      </c>
      <c r="Z70" s="782">
        <v>38258.919572684252</v>
      </c>
      <c r="AA70" s="782">
        <v>42327.301636569646</v>
      </c>
      <c r="AB70" s="870">
        <v>29596.353028491609</v>
      </c>
      <c r="AC70" s="834">
        <v>0</v>
      </c>
      <c r="AD70" s="781" t="s">
        <v>1613</v>
      </c>
      <c r="AE70" s="783" t="s">
        <v>1613</v>
      </c>
      <c r="AF70" s="783" t="s">
        <v>1613</v>
      </c>
      <c r="AG70" s="783" t="s">
        <v>1613</v>
      </c>
      <c r="AH70" s="781" t="s">
        <v>1208</v>
      </c>
      <c r="AI70" s="783" t="s">
        <v>1208</v>
      </c>
      <c r="AJ70" s="783" t="s">
        <v>1208</v>
      </c>
      <c r="AK70" s="783" t="s">
        <v>1208</v>
      </c>
      <c r="AL70" s="870">
        <f>PPH_Data_Base28[[#This Row],[PPH Unit Basic Price With Cu Tube]]*0.05</f>
        <v>2116.3650818284823</v>
      </c>
      <c r="AM70" s="781">
        <v>479.44309836158203</v>
      </c>
      <c r="AN70" s="781"/>
      <c r="AO70" s="781"/>
      <c r="AP70" s="781">
        <v>1161</v>
      </c>
      <c r="AQ70" s="781">
        <v>978.75000000000011</v>
      </c>
      <c r="AR70" s="781">
        <f>5*242</f>
        <v>1210</v>
      </c>
      <c r="AS70" s="781">
        <v>1641.0975989749047</v>
      </c>
      <c r="AT70" s="781">
        <v>4070.6714125971357</v>
      </c>
      <c r="AU70" s="781">
        <v>161.33469990489411</v>
      </c>
      <c r="AV70" s="781">
        <v>1370.8403480615998</v>
      </c>
      <c r="AW70" s="870">
        <v>9521</v>
      </c>
      <c r="AX70" s="870">
        <v>725</v>
      </c>
      <c r="AY70" s="870">
        <v>5728.1891043432215</v>
      </c>
      <c r="AZ70" s="870">
        <v>1903.9474350834219</v>
      </c>
      <c r="BA70" s="870"/>
      <c r="BB70" s="870">
        <f>PPH_Data_Base28[[#This Row],[PPH Unit Basic Price With Cu Tube]]*0.1</f>
        <v>4232.7301636569646</v>
      </c>
      <c r="BC70" s="870">
        <v>412.45005828802522</v>
      </c>
      <c r="BD70" s="870">
        <v>1374.8335276267508</v>
      </c>
      <c r="BE70" s="870">
        <v>458.27784254225026</v>
      </c>
      <c r="BF70" s="870">
        <v>458.27784254225026</v>
      </c>
      <c r="BG70" s="870">
        <v>458.27784254225026</v>
      </c>
      <c r="BH70" s="870">
        <f>PPH_Data_Base28[[#This Row],[PPH Unit Basic Price With Cu Tube]]*0.075</f>
        <v>3174.5476227427234</v>
      </c>
      <c r="BI70" s="870">
        <v>1374.8335276267508</v>
      </c>
      <c r="BJ70" s="870">
        <v>458.27784254225026</v>
      </c>
      <c r="BK70" s="870">
        <v>458.27784254225026</v>
      </c>
      <c r="BL70" s="870">
        <v>458.27784254225026</v>
      </c>
      <c r="BM70" s="781">
        <f>PPH_Data_Base28[[#This Row],[Total Condenser Coil Area]]*Naming!$M$62*4</f>
        <v>12295.111111111111</v>
      </c>
      <c r="BN70" s="781">
        <f>PPH_Data_Base28[[#This Row],[Total Evaporator  Coil Area]]*Naming!$M$62*4</f>
        <v>5178.8799999999992</v>
      </c>
      <c r="BO70" s="781">
        <f>PPH_Data_Base28[[#This Row],[Total Condenser Coil Area]]*Naming!$D$61*4</f>
        <v>186.62222222222223</v>
      </c>
      <c r="BP70" s="781">
        <f>PPH_Data_Base28[[#This Row],[Total Evaporator  Coil Area]]*Naming!$D$61*6</f>
        <v>117.91200000000001</v>
      </c>
      <c r="BQ70" s="781">
        <f>$G$195*PPH_Data_Base28[[#This Row],[Total Evaporator  Coil Area]]</f>
        <v>260.09999999999997</v>
      </c>
      <c r="BR70" s="781">
        <f>$G$199*PPH_Data_Base28[[#This Row],[Total Evaporator  Coil Area]]</f>
        <v>393.03999999999996</v>
      </c>
      <c r="BS70" s="781">
        <f>$E$185*PPH_Data_Base28[[#This Row],[Total Evaporator  Coil Area]]</f>
        <v>1156</v>
      </c>
      <c r="BT70" s="781">
        <f>$E$188*PPH_Data_Base28[[#This Row],[Total Evaporator  Coil Area]]</f>
        <v>1618.3999999999999</v>
      </c>
      <c r="BU70" s="781">
        <f>$G$195*PPH_Data_Base28[[#This Row],[Total Condenser Coil Area]]</f>
        <v>617.5</v>
      </c>
      <c r="BV70" s="781">
        <f>$G$199*PPH_Data_Base28[[#This Row],[Total Condenser Coil Area]]</f>
        <v>933.11111111111109</v>
      </c>
      <c r="BW70" s="781">
        <f>$E$185*PPH_Data_Base28[[#This Row],[Total Condenser Coil Area]]</f>
        <v>2744.4444444444443</v>
      </c>
      <c r="BX70" s="781">
        <f>$E$188*PPH_Data_Base28[[#This Row],[Total Condenser Coil Area]]</f>
        <v>3842.2222222222226</v>
      </c>
      <c r="BY70" s="781">
        <v>301.57328071502025</v>
      </c>
      <c r="BZ70" s="870">
        <v>186.69306062466097</v>
      </c>
      <c r="CA70" s="870"/>
      <c r="CB70" s="870"/>
      <c r="CC70" s="870">
        <v>222.4576271186441</v>
      </c>
      <c r="CD70" s="870">
        <f t="shared" si="10"/>
        <v>170.46620618090401</v>
      </c>
      <c r="CE70" s="870">
        <v>50</v>
      </c>
      <c r="CF70" s="832">
        <v>0</v>
      </c>
      <c r="CG70" s="870">
        <f>PPH_Data_Base28[[#This Row],[PPH Unit Basic Price With Cu Tube]]*0.25</f>
        <v>10581.825409142411</v>
      </c>
      <c r="CH70" s="870">
        <f>PPH_Data_Base28[[#This Row],[DSP Unit Basic Price With Cu Tube]]*0.35</f>
        <v>10358.723559972063</v>
      </c>
      <c r="CI70" s="781">
        <v>356.76142457627122</v>
      </c>
      <c r="CJ70" s="781">
        <v>519.09391525423734</v>
      </c>
      <c r="CK70" s="781">
        <v>74.384955084745769</v>
      </c>
      <c r="CL70" s="781">
        <f>110*1.35*PPH_Data_Base28[[#This Row],[No. of Unit  Compressors]]</f>
        <v>594</v>
      </c>
      <c r="CM70" s="870">
        <v>203.3898305084746</v>
      </c>
      <c r="CN70" s="781">
        <v>509.03954802259886</v>
      </c>
      <c r="CO70" s="870">
        <v>0</v>
      </c>
      <c r="CP70" s="781">
        <v>475.18572401129944</v>
      </c>
      <c r="CQ70" s="870">
        <v>552.8641697740112</v>
      </c>
      <c r="CR70" s="781">
        <v>430.98562118644065</v>
      </c>
      <c r="CS70" s="870">
        <v>3232.9859491525426</v>
      </c>
      <c r="CT70" s="781">
        <v>1730.225988700565</v>
      </c>
      <c r="CU70" s="870">
        <v>544.44893389830509</v>
      </c>
      <c r="CV70" s="870" t="s">
        <v>1208</v>
      </c>
      <c r="CW70" s="781">
        <f>400*1.35*PPH_Data_Base28[[#This Row],[No. of Unit  Compressors]]</f>
        <v>2160</v>
      </c>
      <c r="CX70" s="835"/>
      <c r="CY70" s="871">
        <f>47*PPH_Data_Base28[[#This Row],[No. of Unit  Compressors]]*1.35</f>
        <v>253.8</v>
      </c>
      <c r="CZ70" s="871">
        <f>30*1.35*PPH_Data_Base28[[#This Row],[NO Condenser Fans]]</f>
        <v>162</v>
      </c>
      <c r="DA70" s="781">
        <f>INDEX($B$136:$F$154,MATCH(PPH_Data_Base28[[#This Row],[STD Supply Fan Motor]],$B$136:$B$154,0),5)*PPH_Data_Base28[[#This Row],[Fan QTY]]</f>
        <v>93.979755367231661</v>
      </c>
      <c r="DB70" s="871">
        <f>47*1.35*PPH_Data_Base28[[#This Row],[No. of Unit  Compressors]]</f>
        <v>253.8</v>
      </c>
      <c r="DC70" s="871">
        <f>28*PPH_Data_Base28[[#This Row],[NO Condenser Fans]]</f>
        <v>112</v>
      </c>
      <c r="DD70" s="781">
        <f>INDEX($B$136:$F$154,MATCH(PPH_Data_Base28[[#This Row],[STD Supply Fan Motor]],$B$136:$B$154,0),3)*PPH_Data_Base28[[#This Row],[Fan QTY]]</f>
        <v>45.747093644067796</v>
      </c>
      <c r="DE70" s="870">
        <f>INDEX($B$114:$C$131,MATCH(PPH_Data_Base28[[#This Row],[Compressor 1 HP]],$B$114:$B$131,0),2)*PPH_Data_Base28[[#This Row],[Compressor 1 QTY]]+IFERROR(INDEX($B$114:$C$131,MATCH(PPH_Data_Base28[[#This Row],[Compressor 2 HP]],$B$114:$B$131,0),2)*PPH_Data_Base28[[#This Row],[Compressor 2 QTY]],0)</f>
        <v>445.74566666666675</v>
      </c>
      <c r="DF70" s="870">
        <f>40*PPH_Data_Base28[[#This Row],[NO Condenser Fans]]</f>
        <v>160</v>
      </c>
      <c r="DG70" s="870">
        <f>INDEX($B$136:$F$154,MATCH(PPH_Data_Base28[[#This Row],[STD Supply Fan Motor]],$B$136:$B$154,0),5)*PPH_Data_Base28[[#This Row],[Fan QTY]]</f>
        <v>93.979755367231661</v>
      </c>
      <c r="DH70" s="781">
        <v>932.20338983050851</v>
      </c>
      <c r="DI70" s="781">
        <v>559.32203389830511</v>
      </c>
      <c r="DJ70" s="870">
        <v>4700</v>
      </c>
      <c r="DK70" s="870">
        <v>18800</v>
      </c>
      <c r="DL70" s="870">
        <v>2840</v>
      </c>
      <c r="DM70" s="870">
        <v>564.9717514124294</v>
      </c>
      <c r="DN70" s="870">
        <v>213.2530350282486</v>
      </c>
      <c r="DO70" s="870"/>
      <c r="DP70" s="870">
        <v>173.0225988700565</v>
      </c>
      <c r="DQ70" s="870">
        <v>173.0225988700565</v>
      </c>
      <c r="DR70" s="870">
        <v>173.0225988700565</v>
      </c>
      <c r="DS70" s="870"/>
      <c r="DT70" s="870">
        <f>PPH_Data_Base28[[#This Row],[NO Condenser Fans]]*350</f>
        <v>1400</v>
      </c>
      <c r="DU70" s="870" t="s">
        <v>1208</v>
      </c>
      <c r="DV70" s="870">
        <f>150*PPH_Data_Base28[[#This Row],[NO Condenser Fans]]</f>
        <v>600</v>
      </c>
      <c r="DW70" s="781">
        <v>1514.8305084745764</v>
      </c>
      <c r="DX70" s="781">
        <v>250</v>
      </c>
      <c r="DY70" s="870">
        <v>700</v>
      </c>
      <c r="DZ70" s="870">
        <v>100</v>
      </c>
      <c r="EA70" s="870">
        <v>540</v>
      </c>
      <c r="EB70" s="870">
        <v>4.186805084745763</v>
      </c>
      <c r="EC70" s="870">
        <v>34.957627118644069</v>
      </c>
      <c r="ED70" s="870">
        <v>56.080321186440685</v>
      </c>
      <c r="EE70" s="870"/>
      <c r="EF70" s="870"/>
      <c r="EG70" s="870"/>
      <c r="EH70" s="870"/>
      <c r="EI70" s="870"/>
      <c r="EJ70" s="870"/>
      <c r="EK70" s="870"/>
      <c r="EL70" s="870"/>
      <c r="EM70" s="870"/>
      <c r="EN70" s="870"/>
      <c r="EO70" s="870"/>
      <c r="EP70" s="870"/>
      <c r="EQ70" s="870"/>
      <c r="ER70" s="870"/>
      <c r="ES70" s="870"/>
      <c r="ET70" s="870"/>
      <c r="EU70" s="870">
        <v>203</v>
      </c>
      <c r="EV70" s="870">
        <v>250</v>
      </c>
      <c r="EW70" s="847"/>
      <c r="EX70" s="781">
        <v>46.384451977401142</v>
      </c>
      <c r="EY70" s="781">
        <v>333.11975593220342</v>
      </c>
      <c r="EZ70" s="870">
        <v>19.209039548022599</v>
      </c>
      <c r="FA70" s="870">
        <v>40</v>
      </c>
      <c r="FB70" s="870">
        <v>40</v>
      </c>
      <c r="FC70" s="870">
        <v>24</v>
      </c>
      <c r="FD70" s="870">
        <v>24</v>
      </c>
      <c r="FE70" s="870">
        <v>19.774011299435031</v>
      </c>
      <c r="FF70" s="870">
        <v>91.454802259887018</v>
      </c>
      <c r="FG70" s="870">
        <v>566.66666666666663</v>
      </c>
      <c r="FH70" s="870">
        <v>754.18931324702851</v>
      </c>
      <c r="FI70" s="870">
        <v>457.85367261957094</v>
      </c>
      <c r="FJ70" s="870">
        <v>26</v>
      </c>
      <c r="FK70" s="870">
        <f>PPH_Data_Base28[[#This Row],[Differential Pressure Switch]]*2</f>
        <v>52</v>
      </c>
      <c r="FL70" s="870">
        <v>42</v>
      </c>
      <c r="FM70" s="872">
        <f>PPH_Data_Base28[[#This Row],[STD PETRA DIAL DIFF.PRESS.GAUGE NOT DWYER]]*2</f>
        <v>84</v>
      </c>
      <c r="FN70" s="872"/>
      <c r="FO70" s="872">
        <f>PPH_Data_Base28[[#This Row],[Replaceble Filter Drier ]]</f>
        <v>594</v>
      </c>
      <c r="FP70" s="872">
        <f>PPH_Data_Base28[[#This Row],[2" Pre-Filter]]*2</f>
        <v>322.66939980978822</v>
      </c>
      <c r="FQ70" s="872">
        <f>PPH_Data_Base28[[#This Row],[Bag Filter EU-8]]</f>
        <v>1370.8403480615998</v>
      </c>
      <c r="FR70" s="872"/>
      <c r="FS70" s="872">
        <v>30</v>
      </c>
      <c r="FT70" s="176"/>
      <c r="FU70" s="176"/>
      <c r="FV70" s="176"/>
      <c r="FW70" s="176"/>
      <c r="GW70" s="176"/>
      <c r="GX70" s="176"/>
      <c r="HC70" s="176"/>
    </row>
    <row r="71" spans="1:211">
      <c r="A71" s="780" t="s">
        <v>499</v>
      </c>
      <c r="B71" s="781" t="s">
        <v>1625</v>
      </c>
      <c r="C71" s="781" t="s">
        <v>539</v>
      </c>
      <c r="D71" s="870" t="s">
        <v>1684</v>
      </c>
      <c r="E71" s="870" t="s">
        <v>1626</v>
      </c>
      <c r="F71" s="870" t="s">
        <v>1626</v>
      </c>
      <c r="G71" s="851">
        <v>0</v>
      </c>
      <c r="H71" s="870" t="s">
        <v>2249</v>
      </c>
      <c r="I71" s="781" t="s">
        <v>772</v>
      </c>
      <c r="J71" s="781" t="s">
        <v>1624</v>
      </c>
      <c r="K71" s="781">
        <v>1</v>
      </c>
      <c r="L71" s="781" t="s">
        <v>568</v>
      </c>
      <c r="M71" s="781">
        <v>12</v>
      </c>
      <c r="N71" s="300">
        <v>4</v>
      </c>
      <c r="O71" s="781">
        <v>137.22222222222223</v>
      </c>
      <c r="P71" s="781">
        <v>57.8</v>
      </c>
      <c r="Q71" s="781">
        <v>4</v>
      </c>
      <c r="R71" s="781">
        <v>30</v>
      </c>
      <c r="S71" s="781">
        <v>2</v>
      </c>
      <c r="T71" s="781">
        <v>25.8</v>
      </c>
      <c r="U71" s="781">
        <v>2</v>
      </c>
      <c r="V71" s="781">
        <v>2751</v>
      </c>
      <c r="W71" s="781">
        <v>2153</v>
      </c>
      <c r="X71" s="870"/>
      <c r="Y71" s="835">
        <v>0</v>
      </c>
      <c r="Z71" s="782">
        <v>42801.411559055989</v>
      </c>
      <c r="AA71" s="782">
        <v>47425.809622547276</v>
      </c>
      <c r="AB71" s="870">
        <v>33044.11181799839</v>
      </c>
      <c r="AC71" s="834">
        <v>0</v>
      </c>
      <c r="AD71" s="781" t="s">
        <v>1613</v>
      </c>
      <c r="AE71" s="783" t="s">
        <v>1613</v>
      </c>
      <c r="AF71" s="783" t="s">
        <v>1613</v>
      </c>
      <c r="AG71" s="783" t="s">
        <v>1613</v>
      </c>
      <c r="AH71" s="781" t="s">
        <v>1208</v>
      </c>
      <c r="AI71" s="783" t="s">
        <v>1208</v>
      </c>
      <c r="AJ71" s="783" t="s">
        <v>1208</v>
      </c>
      <c r="AK71" s="783" t="s">
        <v>1208</v>
      </c>
      <c r="AL71" s="870">
        <f>PPH_Data_Base28[[#This Row],[PPH Unit Basic Price With Cu Tube]]*0.05</f>
        <v>2371.2904811273638</v>
      </c>
      <c r="AM71" s="781">
        <v>479.44309836158203</v>
      </c>
      <c r="AN71" s="781"/>
      <c r="AO71" s="781"/>
      <c r="AP71" s="781">
        <v>1161</v>
      </c>
      <c r="AQ71" s="781">
        <v>978.75000000000011</v>
      </c>
      <c r="AR71" s="781">
        <f>5*242</f>
        <v>1210</v>
      </c>
      <c r="AS71" s="781">
        <v>1641.0975989749047</v>
      </c>
      <c r="AT71" s="781">
        <v>4070.6714125971357</v>
      </c>
      <c r="AU71" s="781">
        <v>161.33469990489411</v>
      </c>
      <c r="AV71" s="781">
        <v>1370.8403480615998</v>
      </c>
      <c r="AW71" s="870">
        <v>9521</v>
      </c>
      <c r="AX71" s="870">
        <v>725</v>
      </c>
      <c r="AY71" s="870">
        <v>5728.1891043432215</v>
      </c>
      <c r="AZ71" s="870">
        <v>1903.9474350834219</v>
      </c>
      <c r="BA71" s="870"/>
      <c r="BB71" s="870">
        <f>PPH_Data_Base28[[#This Row],[PPH Unit Basic Price With Cu Tube]]*0.1</f>
        <v>4742.5809622547276</v>
      </c>
      <c r="BC71" s="870">
        <v>438.05553928711419</v>
      </c>
      <c r="BD71" s="870">
        <v>1460.1851309570472</v>
      </c>
      <c r="BE71" s="870">
        <v>486.72837698568242</v>
      </c>
      <c r="BF71" s="870">
        <v>486.72837698568242</v>
      </c>
      <c r="BG71" s="870">
        <v>486.72837698568242</v>
      </c>
      <c r="BH71" s="870">
        <f>PPH_Data_Base28[[#This Row],[PPH Unit Basic Price With Cu Tube]]*0.075</f>
        <v>3556.9357216910457</v>
      </c>
      <c r="BI71" s="870">
        <v>1460.1851309570472</v>
      </c>
      <c r="BJ71" s="870">
        <v>486.72837698568242</v>
      </c>
      <c r="BK71" s="870">
        <v>486.72837698568242</v>
      </c>
      <c r="BL71" s="870">
        <v>486.72837698568242</v>
      </c>
      <c r="BM71" s="781">
        <f>PPH_Data_Base28[[#This Row],[Total Condenser Coil Area]]*Naming!$M$62*4</f>
        <v>12295.111111111111</v>
      </c>
      <c r="BN71" s="781">
        <f>PPH_Data_Base28[[#This Row],[Total Evaporator  Coil Area]]*Naming!$M$62*4</f>
        <v>5178.8799999999992</v>
      </c>
      <c r="BO71" s="781">
        <f>PPH_Data_Base28[[#This Row],[Total Condenser Coil Area]]*Naming!$D$61*4</f>
        <v>186.62222222222223</v>
      </c>
      <c r="BP71" s="781">
        <f>PPH_Data_Base28[[#This Row],[Total Evaporator  Coil Area]]*Naming!$D$61*6</f>
        <v>117.91200000000001</v>
      </c>
      <c r="BQ71" s="781">
        <f>$G$195*PPH_Data_Base28[[#This Row],[Total Evaporator  Coil Area]]</f>
        <v>260.09999999999997</v>
      </c>
      <c r="BR71" s="781">
        <f>$G$199*PPH_Data_Base28[[#This Row],[Total Evaporator  Coil Area]]</f>
        <v>393.03999999999996</v>
      </c>
      <c r="BS71" s="781">
        <f>$E$185*PPH_Data_Base28[[#This Row],[Total Evaporator  Coil Area]]</f>
        <v>1156</v>
      </c>
      <c r="BT71" s="781">
        <f>$E$188*PPH_Data_Base28[[#This Row],[Total Evaporator  Coil Area]]</f>
        <v>1618.3999999999999</v>
      </c>
      <c r="BU71" s="781">
        <f>$G$195*PPH_Data_Base28[[#This Row],[Total Condenser Coil Area]]</f>
        <v>617.5</v>
      </c>
      <c r="BV71" s="781">
        <f>$G$199*PPH_Data_Base28[[#This Row],[Total Condenser Coil Area]]</f>
        <v>933.11111111111109</v>
      </c>
      <c r="BW71" s="781">
        <f>$E$185*PPH_Data_Base28[[#This Row],[Total Condenser Coil Area]]</f>
        <v>2744.4444444444443</v>
      </c>
      <c r="BX71" s="781">
        <f>$E$188*PPH_Data_Base28[[#This Row],[Total Condenser Coil Area]]</f>
        <v>3842.2222222222226</v>
      </c>
      <c r="BY71" s="781">
        <v>301.57328071502025</v>
      </c>
      <c r="BZ71" s="870">
        <v>186.69306062466097</v>
      </c>
      <c r="CA71" s="870"/>
      <c r="CB71" s="870"/>
      <c r="CC71" s="870">
        <v>222.4576271186441</v>
      </c>
      <c r="CD71" s="870">
        <f t="shared" si="10"/>
        <v>170.46620618090401</v>
      </c>
      <c r="CE71" s="870">
        <v>50</v>
      </c>
      <c r="CF71" s="832">
        <v>0</v>
      </c>
      <c r="CG71" s="870">
        <f>PPH_Data_Base28[[#This Row],[PPH Unit Basic Price With Cu Tube]]*0.25</f>
        <v>11856.452405636819</v>
      </c>
      <c r="CH71" s="870">
        <f>PPH_Data_Base28[[#This Row],[DSP Unit Basic Price With Cu Tube]]*0.35</f>
        <v>11565.439136299436</v>
      </c>
      <c r="CI71" s="781">
        <v>356.76142457627122</v>
      </c>
      <c r="CJ71" s="781">
        <v>519.09391525423734</v>
      </c>
      <c r="CK71" s="781">
        <v>74.384955084745769</v>
      </c>
      <c r="CL71" s="781">
        <f>110*1.35*PPH_Data_Base28[[#This Row],[No. of Unit  Compressors]]</f>
        <v>594</v>
      </c>
      <c r="CM71" s="870">
        <v>203.3898305084746</v>
      </c>
      <c r="CN71" s="781">
        <v>509.03954802259886</v>
      </c>
      <c r="CO71" s="870">
        <v>0</v>
      </c>
      <c r="CP71" s="781">
        <v>857.09409039548029</v>
      </c>
      <c r="CQ71" s="870">
        <v>552.8641697740112</v>
      </c>
      <c r="CR71" s="781">
        <v>430.98562118644065</v>
      </c>
      <c r="CS71" s="870">
        <v>3892.6357156779673</v>
      </c>
      <c r="CT71" s="781">
        <v>1730.225988700565</v>
      </c>
      <c r="CU71" s="870">
        <v>544.44893389830509</v>
      </c>
      <c r="CV71" s="870" t="s">
        <v>1208</v>
      </c>
      <c r="CW71" s="781">
        <f>400*1.35*PPH_Data_Base28[[#This Row],[No. of Unit  Compressors]]</f>
        <v>2160</v>
      </c>
      <c r="CX71" s="835"/>
      <c r="CY71" s="871">
        <f>47*PPH_Data_Base28[[#This Row],[No. of Unit  Compressors]]*1.35</f>
        <v>253.8</v>
      </c>
      <c r="CZ71" s="871">
        <f>30*1.35*PPH_Data_Base28[[#This Row],[NO Condenser Fans]]</f>
        <v>162</v>
      </c>
      <c r="DA71" s="781">
        <f>INDEX($B$136:$F$154,MATCH(PPH_Data_Base28[[#This Row],[STD Supply Fan Motor]],$B$136:$B$154,0),5)*PPH_Data_Base28[[#This Row],[Fan QTY]]</f>
        <v>99.574937994350279</v>
      </c>
      <c r="DB71" s="871">
        <f>47*1.35*PPH_Data_Base28[[#This Row],[No. of Unit  Compressors]]</f>
        <v>253.8</v>
      </c>
      <c r="DC71" s="871">
        <f>28*PPH_Data_Base28[[#This Row],[NO Condenser Fans]]</f>
        <v>112</v>
      </c>
      <c r="DD71" s="781">
        <f>INDEX($B$136:$F$154,MATCH(PPH_Data_Base28[[#This Row],[STD Supply Fan Motor]],$B$136:$B$154,0),3)*PPH_Data_Base28[[#This Row],[Fan QTY]]</f>
        <v>98.090216101694921</v>
      </c>
      <c r="DE71" s="870">
        <f>INDEX($B$114:$C$131,MATCH(PPH_Data_Base28[[#This Row],[Compressor 1 HP]],$B$114:$B$131,0),2)*PPH_Data_Base28[[#This Row],[Compressor 1 QTY]]+IFERROR(INDEX($B$114:$C$131,MATCH(PPH_Data_Base28[[#This Row],[Compressor 2 HP]],$B$114:$B$131,0),2)*PPH_Data_Base28[[#This Row],[Compressor 2 QTY]],0)</f>
        <v>445.74566666666675</v>
      </c>
      <c r="DF71" s="870">
        <f>40*PPH_Data_Base28[[#This Row],[NO Condenser Fans]]</f>
        <v>160</v>
      </c>
      <c r="DG71" s="870">
        <f>INDEX($B$136:$F$154,MATCH(PPH_Data_Base28[[#This Row],[STD Supply Fan Motor]],$B$136:$B$154,0),5)*PPH_Data_Base28[[#This Row],[Fan QTY]]</f>
        <v>99.574937994350279</v>
      </c>
      <c r="DH71" s="781">
        <v>932.20338983050851</v>
      </c>
      <c r="DI71" s="781">
        <v>559.32203389830511</v>
      </c>
      <c r="DJ71" s="870">
        <v>0</v>
      </c>
      <c r="DK71" s="870">
        <v>9400</v>
      </c>
      <c r="DL71" s="870">
        <v>3457</v>
      </c>
      <c r="DM71" s="870">
        <v>564.9717514124294</v>
      </c>
      <c r="DN71" s="870">
        <v>213.2530350282486</v>
      </c>
      <c r="DO71" s="870"/>
      <c r="DP71" s="870">
        <v>173.0225988700565</v>
      </c>
      <c r="DQ71" s="870">
        <v>173.0225988700565</v>
      </c>
      <c r="DR71" s="870">
        <v>173.0225988700565</v>
      </c>
      <c r="DS71" s="870"/>
      <c r="DT71" s="870">
        <f>PPH_Data_Base28[[#This Row],[NO Condenser Fans]]*350</f>
        <v>1400</v>
      </c>
      <c r="DU71" s="870" t="s">
        <v>1208</v>
      </c>
      <c r="DV71" s="870">
        <f>150*PPH_Data_Base28[[#This Row],[NO Condenser Fans]]</f>
        <v>600</v>
      </c>
      <c r="DW71" s="781">
        <v>1514.8305084745764</v>
      </c>
      <c r="DX71" s="781">
        <v>250</v>
      </c>
      <c r="DY71" s="870">
        <v>700</v>
      </c>
      <c r="DZ71" s="870">
        <v>100</v>
      </c>
      <c r="EA71" s="870">
        <v>540</v>
      </c>
      <c r="EB71" s="870">
        <v>4.186805084745763</v>
      </c>
      <c r="EC71" s="870">
        <v>34.957627118644069</v>
      </c>
      <c r="ED71" s="870">
        <v>56.080321186440685</v>
      </c>
      <c r="EE71" s="870"/>
      <c r="EF71" s="870"/>
      <c r="EG71" s="870"/>
      <c r="EH71" s="870"/>
      <c r="EI71" s="870"/>
      <c r="EJ71" s="870"/>
      <c r="EK71" s="870"/>
      <c r="EL71" s="870"/>
      <c r="EM71" s="870"/>
      <c r="EN71" s="870"/>
      <c r="EO71" s="870"/>
      <c r="EP71" s="870"/>
      <c r="EQ71" s="870"/>
      <c r="ER71" s="870"/>
      <c r="ES71" s="870"/>
      <c r="ET71" s="870"/>
      <c r="EU71" s="870">
        <v>203</v>
      </c>
      <c r="EV71" s="870">
        <v>250</v>
      </c>
      <c r="EW71" s="847"/>
      <c r="EX71" s="781">
        <v>46.384451977401142</v>
      </c>
      <c r="EY71" s="781">
        <v>333.11975593220342</v>
      </c>
      <c r="EZ71" s="870">
        <v>19.209039548022599</v>
      </c>
      <c r="FA71" s="870">
        <v>40</v>
      </c>
      <c r="FB71" s="870">
        <v>40</v>
      </c>
      <c r="FC71" s="870">
        <v>24</v>
      </c>
      <c r="FD71" s="870">
        <v>24</v>
      </c>
      <c r="FE71" s="870">
        <v>19.774011299435031</v>
      </c>
      <c r="FF71" s="870">
        <v>91.454802259887018</v>
      </c>
      <c r="FG71" s="870">
        <v>566.66666666666663</v>
      </c>
      <c r="FH71" s="870">
        <v>754.18931324702851</v>
      </c>
      <c r="FI71" s="870">
        <v>457.85367261957094</v>
      </c>
      <c r="FJ71" s="870">
        <v>26</v>
      </c>
      <c r="FK71" s="870">
        <f>PPH_Data_Base28[[#This Row],[Differential Pressure Switch]]*2</f>
        <v>52</v>
      </c>
      <c r="FL71" s="870">
        <v>42</v>
      </c>
      <c r="FM71" s="872">
        <f>PPH_Data_Base28[[#This Row],[STD PETRA DIAL DIFF.PRESS.GAUGE NOT DWYER]]*2</f>
        <v>84</v>
      </c>
      <c r="FN71" s="872"/>
      <c r="FO71" s="872">
        <f>PPH_Data_Base28[[#This Row],[Replaceble Filter Drier ]]</f>
        <v>594</v>
      </c>
      <c r="FP71" s="872">
        <f>PPH_Data_Base28[[#This Row],[2" Pre-Filter]]*2</f>
        <v>322.66939980978822</v>
      </c>
      <c r="FQ71" s="872">
        <f>PPH_Data_Base28[[#This Row],[Bag Filter EU-8]]</f>
        <v>1370.8403480615998</v>
      </c>
      <c r="FR71" s="872"/>
      <c r="FS71" s="872">
        <v>30</v>
      </c>
      <c r="FT71" s="176"/>
      <c r="FU71" s="176"/>
      <c r="FV71" s="176"/>
      <c r="FW71" s="176"/>
      <c r="GW71" s="176"/>
      <c r="GX71" s="176"/>
      <c r="HC71" s="176"/>
    </row>
    <row r="72" spans="1:211">
      <c r="A72" s="780" t="s">
        <v>500</v>
      </c>
      <c r="B72" s="781" t="s">
        <v>1628</v>
      </c>
      <c r="C72" s="781" t="s">
        <v>540</v>
      </c>
      <c r="D72" s="870" t="s">
        <v>1685</v>
      </c>
      <c r="E72" s="870" t="s">
        <v>1629</v>
      </c>
      <c r="F72" s="870" t="s">
        <v>1629</v>
      </c>
      <c r="G72" s="851">
        <v>0</v>
      </c>
      <c r="H72" s="870" t="s">
        <v>2249</v>
      </c>
      <c r="I72" s="781" t="s">
        <v>772</v>
      </c>
      <c r="J72" s="781" t="s">
        <v>1624</v>
      </c>
      <c r="K72" s="781">
        <v>1</v>
      </c>
      <c r="L72" s="781" t="s">
        <v>568</v>
      </c>
      <c r="M72" s="781">
        <v>12</v>
      </c>
      <c r="N72" s="300">
        <v>4</v>
      </c>
      <c r="O72" s="781">
        <v>137.22222222222223</v>
      </c>
      <c r="P72" s="781">
        <v>57.8</v>
      </c>
      <c r="Q72" s="781">
        <v>4</v>
      </c>
      <c r="R72" s="781">
        <v>30</v>
      </c>
      <c r="S72" s="781">
        <v>4</v>
      </c>
      <c r="T72" s="781"/>
      <c r="U72" s="781"/>
      <c r="V72" s="781">
        <v>2751</v>
      </c>
      <c r="W72" s="781">
        <v>2153</v>
      </c>
      <c r="X72" s="870"/>
      <c r="Y72" s="835">
        <v>0</v>
      </c>
      <c r="Z72" s="782">
        <v>43802.097561936294</v>
      </c>
      <c r="AA72" s="782">
        <v>48452.373871480086</v>
      </c>
      <c r="AB72" s="870">
        <v>34142.526230355288</v>
      </c>
      <c r="AC72" s="834">
        <v>0</v>
      </c>
      <c r="AD72" s="781" t="s">
        <v>1613</v>
      </c>
      <c r="AE72" s="783" t="s">
        <v>1613</v>
      </c>
      <c r="AF72" s="783" t="s">
        <v>1613</v>
      </c>
      <c r="AG72" s="783" t="s">
        <v>1613</v>
      </c>
      <c r="AH72" s="781" t="s">
        <v>1208</v>
      </c>
      <c r="AI72" s="783" t="s">
        <v>1208</v>
      </c>
      <c r="AJ72" s="783" t="s">
        <v>1208</v>
      </c>
      <c r="AK72" s="783" t="s">
        <v>1208</v>
      </c>
      <c r="AL72" s="870">
        <f>PPH_Data_Base28[[#This Row],[PPH Unit Basic Price With Cu Tube]]*0.05</f>
        <v>2422.6186935740043</v>
      </c>
      <c r="AM72" s="781">
        <v>479.44309836158203</v>
      </c>
      <c r="AN72" s="781"/>
      <c r="AO72" s="781"/>
      <c r="AP72" s="781">
        <v>1161</v>
      </c>
      <c r="AQ72" s="781">
        <v>978.75000000000011</v>
      </c>
      <c r="AR72" s="781">
        <f>5*242</f>
        <v>1210</v>
      </c>
      <c r="AS72" s="781">
        <v>1641.0975989749047</v>
      </c>
      <c r="AT72" s="781">
        <v>4070.6714125971357</v>
      </c>
      <c r="AU72" s="781">
        <v>161.33469990489411</v>
      </c>
      <c r="AV72" s="781">
        <v>1370.8403480615998</v>
      </c>
      <c r="AW72" s="870">
        <v>9521</v>
      </c>
      <c r="AX72" s="870">
        <v>725</v>
      </c>
      <c r="AY72" s="870">
        <v>5728.1891043432215</v>
      </c>
      <c r="AZ72" s="870">
        <v>1903.9474350834219</v>
      </c>
      <c r="BA72" s="870"/>
      <c r="BB72" s="870">
        <f>PPH_Data_Base28[[#This Row],[PPH Unit Basic Price With Cu Tube]]*0.1</f>
        <v>4845.2373871480086</v>
      </c>
      <c r="BC72" s="870">
        <v>443.81608028369254</v>
      </c>
      <c r="BD72" s="870">
        <v>1479.3869342789751</v>
      </c>
      <c r="BE72" s="870">
        <v>493.1289780929917</v>
      </c>
      <c r="BF72" s="870">
        <v>493.1289780929917</v>
      </c>
      <c r="BG72" s="870">
        <v>493.1289780929917</v>
      </c>
      <c r="BH72" s="870">
        <f>PPH_Data_Base28[[#This Row],[PPH Unit Basic Price With Cu Tube]]*0.075</f>
        <v>3633.9280403610064</v>
      </c>
      <c r="BI72" s="870">
        <v>1479.3869342789751</v>
      </c>
      <c r="BJ72" s="870">
        <v>493.1289780929917</v>
      </c>
      <c r="BK72" s="870">
        <v>493.1289780929917</v>
      </c>
      <c r="BL72" s="870">
        <v>493.1289780929917</v>
      </c>
      <c r="BM72" s="781">
        <f>PPH_Data_Base28[[#This Row],[Total Condenser Coil Area]]*Naming!$M$62*4</f>
        <v>12295.111111111111</v>
      </c>
      <c r="BN72" s="781">
        <f>PPH_Data_Base28[[#This Row],[Total Evaporator  Coil Area]]*Naming!$M$62*4</f>
        <v>5178.8799999999992</v>
      </c>
      <c r="BO72" s="781">
        <f>PPH_Data_Base28[[#This Row],[Total Condenser Coil Area]]*Naming!$D$61*4</f>
        <v>186.62222222222223</v>
      </c>
      <c r="BP72" s="781">
        <f>PPH_Data_Base28[[#This Row],[Total Evaporator  Coil Area]]*Naming!$D$61*6</f>
        <v>117.91200000000001</v>
      </c>
      <c r="BQ72" s="781">
        <f>$G$195*PPH_Data_Base28[[#This Row],[Total Evaporator  Coil Area]]</f>
        <v>260.09999999999997</v>
      </c>
      <c r="BR72" s="781">
        <f>$G$199*PPH_Data_Base28[[#This Row],[Total Evaporator  Coil Area]]</f>
        <v>393.03999999999996</v>
      </c>
      <c r="BS72" s="781">
        <f>$E$185*PPH_Data_Base28[[#This Row],[Total Evaporator  Coil Area]]</f>
        <v>1156</v>
      </c>
      <c r="BT72" s="781">
        <f>$E$188*PPH_Data_Base28[[#This Row],[Total Evaporator  Coil Area]]</f>
        <v>1618.3999999999999</v>
      </c>
      <c r="BU72" s="781">
        <f>$G$195*PPH_Data_Base28[[#This Row],[Total Condenser Coil Area]]</f>
        <v>617.5</v>
      </c>
      <c r="BV72" s="781">
        <f>$G$199*PPH_Data_Base28[[#This Row],[Total Condenser Coil Area]]</f>
        <v>933.11111111111109</v>
      </c>
      <c r="BW72" s="781">
        <f>$E$185*PPH_Data_Base28[[#This Row],[Total Condenser Coil Area]]</f>
        <v>2744.4444444444443</v>
      </c>
      <c r="BX72" s="781">
        <f>$E$188*PPH_Data_Base28[[#This Row],[Total Condenser Coil Area]]</f>
        <v>3842.2222222222226</v>
      </c>
      <c r="BY72" s="781">
        <v>301.57328071502025</v>
      </c>
      <c r="BZ72" s="870">
        <v>186.69306062466097</v>
      </c>
      <c r="CA72" s="870"/>
      <c r="CB72" s="870"/>
      <c r="CC72" s="870">
        <v>222.4576271186441</v>
      </c>
      <c r="CD72" s="870">
        <f t="shared" si="10"/>
        <v>170.46620618090401</v>
      </c>
      <c r="CE72" s="870">
        <v>50</v>
      </c>
      <c r="CF72" s="832">
        <v>0</v>
      </c>
      <c r="CG72" s="870">
        <f>PPH_Data_Base28[[#This Row],[PPH Unit Basic Price With Cu Tube]]*0.25</f>
        <v>12113.093467870021</v>
      </c>
      <c r="CH72" s="870">
        <f>PPH_Data_Base28[[#This Row],[DSP Unit Basic Price With Cu Tube]]*0.35</f>
        <v>11949.884180624351</v>
      </c>
      <c r="CI72" s="781">
        <v>356.76142457627122</v>
      </c>
      <c r="CJ72" s="781">
        <v>519.09391525423734</v>
      </c>
      <c r="CK72" s="781">
        <v>74.384955084745769</v>
      </c>
      <c r="CL72" s="781">
        <f>110*1.35*PPH_Data_Base28[[#This Row],[No. of Unit  Compressors]]</f>
        <v>594</v>
      </c>
      <c r="CM72" s="870">
        <v>203.3898305084746</v>
      </c>
      <c r="CN72" s="781">
        <v>509.03954802259886</v>
      </c>
      <c r="CO72" s="870">
        <v>0</v>
      </c>
      <c r="CP72" s="781">
        <v>1239.0024567796611</v>
      </c>
      <c r="CQ72" s="870">
        <v>552.8641697740112</v>
      </c>
      <c r="CR72" s="781">
        <v>430.98562118644065</v>
      </c>
      <c r="CS72" s="870">
        <v>4552.2854822033914</v>
      </c>
      <c r="CT72" s="781">
        <v>1730.225988700565</v>
      </c>
      <c r="CU72" s="870">
        <v>544.44893389830509</v>
      </c>
      <c r="CV72" s="870" t="s">
        <v>1208</v>
      </c>
      <c r="CW72" s="781">
        <f>400*1.35*PPH_Data_Base28[[#This Row],[No. of Unit  Compressors]]</f>
        <v>2160</v>
      </c>
      <c r="CX72" s="835"/>
      <c r="CY72" s="871">
        <f>47*PPH_Data_Base28[[#This Row],[No. of Unit  Compressors]]*1.35</f>
        <v>253.8</v>
      </c>
      <c r="CZ72" s="871">
        <f>30*1.35*PPH_Data_Base28[[#This Row],[NO Condenser Fans]]</f>
        <v>162</v>
      </c>
      <c r="DA72" s="781">
        <f>INDEX($B$136:$F$154,MATCH(PPH_Data_Base28[[#This Row],[STD Supply Fan Motor]],$B$136:$B$154,0),5)*PPH_Data_Base28[[#This Row],[Fan QTY]]</f>
        <v>99.574937994350279</v>
      </c>
      <c r="DB72" s="871">
        <f>47*1.35*PPH_Data_Base28[[#This Row],[No. of Unit  Compressors]]</f>
        <v>253.8</v>
      </c>
      <c r="DC72" s="871">
        <f>28*PPH_Data_Base28[[#This Row],[NO Condenser Fans]]</f>
        <v>112</v>
      </c>
      <c r="DD72" s="781">
        <f>INDEX($B$136:$F$154,MATCH(PPH_Data_Base28[[#This Row],[STD Supply Fan Motor]],$B$136:$B$154,0),3)*PPH_Data_Base28[[#This Row],[Fan QTY]]</f>
        <v>98.090216101694921</v>
      </c>
      <c r="DE72" s="870">
        <f>INDEX($B$114:$C$131,MATCH(PPH_Data_Base28[[#This Row],[Compressor 1 HP]],$B$114:$B$131,0),2)*PPH_Data_Base28[[#This Row],[Compressor 1 QTY]]+IFERROR(INDEX($B$114:$C$131,MATCH(PPH_Data_Base28[[#This Row],[Compressor 2 HP]],$B$114:$B$131,0),2)*PPH_Data_Base28[[#This Row],[Compressor 2 QTY]],0)</f>
        <v>445.74566666666675</v>
      </c>
      <c r="DF72" s="870">
        <f>40*PPH_Data_Base28[[#This Row],[NO Condenser Fans]]</f>
        <v>160</v>
      </c>
      <c r="DG72" s="870">
        <f>INDEX($B$136:$F$154,MATCH(PPH_Data_Base28[[#This Row],[STD Supply Fan Motor]],$B$136:$B$154,0),5)*PPH_Data_Base28[[#This Row],[Fan QTY]]</f>
        <v>99.574937994350279</v>
      </c>
      <c r="DH72" s="781">
        <v>932.20338983050851</v>
      </c>
      <c r="DI72" s="781">
        <v>559.32203389830511</v>
      </c>
      <c r="DJ72" s="870">
        <v>0</v>
      </c>
      <c r="DK72" s="870">
        <v>0</v>
      </c>
      <c r="DL72" s="870">
        <v>3457</v>
      </c>
      <c r="DM72" s="870">
        <v>564.9717514124294</v>
      </c>
      <c r="DN72" s="870">
        <v>213.2530350282486</v>
      </c>
      <c r="DO72" s="870"/>
      <c r="DP72" s="870">
        <v>173.0225988700565</v>
      </c>
      <c r="DQ72" s="870">
        <v>173.0225988700565</v>
      </c>
      <c r="DR72" s="870">
        <v>173.0225988700565</v>
      </c>
      <c r="DS72" s="870"/>
      <c r="DT72" s="870">
        <f>PPH_Data_Base28[[#This Row],[NO Condenser Fans]]*350</f>
        <v>1400</v>
      </c>
      <c r="DU72" s="870" t="s">
        <v>1208</v>
      </c>
      <c r="DV72" s="870">
        <f>150*PPH_Data_Base28[[#This Row],[NO Condenser Fans]]</f>
        <v>600</v>
      </c>
      <c r="DW72" s="781">
        <v>1514.8305084745764</v>
      </c>
      <c r="DX72" s="781">
        <v>250</v>
      </c>
      <c r="DY72" s="870">
        <v>700</v>
      </c>
      <c r="DZ72" s="870">
        <v>100</v>
      </c>
      <c r="EA72" s="870">
        <v>540</v>
      </c>
      <c r="EB72" s="870">
        <v>4.186805084745763</v>
      </c>
      <c r="EC72" s="870">
        <v>34.957627118644069</v>
      </c>
      <c r="ED72" s="870">
        <v>56.080321186440685</v>
      </c>
      <c r="EE72" s="870"/>
      <c r="EF72" s="870"/>
      <c r="EG72" s="870"/>
      <c r="EH72" s="870"/>
      <c r="EI72" s="870"/>
      <c r="EJ72" s="870"/>
      <c r="EK72" s="870"/>
      <c r="EL72" s="870"/>
      <c r="EM72" s="870"/>
      <c r="EN72" s="870"/>
      <c r="EO72" s="870"/>
      <c r="EP72" s="870"/>
      <c r="EQ72" s="870"/>
      <c r="ER72" s="870"/>
      <c r="ES72" s="870"/>
      <c r="ET72" s="870"/>
      <c r="EU72" s="870">
        <v>203</v>
      </c>
      <c r="EV72" s="870">
        <v>250</v>
      </c>
      <c r="EW72" s="847"/>
      <c r="EX72" s="781">
        <v>46.384451977401142</v>
      </c>
      <c r="EY72" s="781">
        <v>333.11975593220342</v>
      </c>
      <c r="EZ72" s="870">
        <v>19.209039548022599</v>
      </c>
      <c r="FA72" s="870">
        <v>40</v>
      </c>
      <c r="FB72" s="870">
        <v>40</v>
      </c>
      <c r="FC72" s="870">
        <v>24</v>
      </c>
      <c r="FD72" s="870">
        <v>24</v>
      </c>
      <c r="FE72" s="870">
        <v>19.774011299435031</v>
      </c>
      <c r="FF72" s="870">
        <v>91.454802259887018</v>
      </c>
      <c r="FG72" s="870">
        <v>566.66666666666663</v>
      </c>
      <c r="FH72" s="870">
        <v>754.18931324702851</v>
      </c>
      <c r="FI72" s="870">
        <v>457.85367261957094</v>
      </c>
      <c r="FJ72" s="870">
        <v>26</v>
      </c>
      <c r="FK72" s="870">
        <f>PPH_Data_Base28[[#This Row],[Differential Pressure Switch]]*2</f>
        <v>52</v>
      </c>
      <c r="FL72" s="870">
        <v>42</v>
      </c>
      <c r="FM72" s="872">
        <f>PPH_Data_Base28[[#This Row],[STD PETRA DIAL DIFF.PRESS.GAUGE NOT DWYER]]*2</f>
        <v>84</v>
      </c>
      <c r="FN72" s="872"/>
      <c r="FO72" s="872">
        <f>PPH_Data_Base28[[#This Row],[Replaceble Filter Drier ]]</f>
        <v>594</v>
      </c>
      <c r="FP72" s="872">
        <f>PPH_Data_Base28[[#This Row],[2" Pre-Filter]]*2</f>
        <v>322.66939980978822</v>
      </c>
      <c r="FQ72" s="872">
        <f>PPH_Data_Base28[[#This Row],[Bag Filter EU-8]]</f>
        <v>1370.8403480615998</v>
      </c>
      <c r="FR72" s="872"/>
      <c r="FS72" s="872">
        <v>30</v>
      </c>
      <c r="FT72" s="176"/>
      <c r="FU72" s="176"/>
      <c r="FV72" s="176"/>
      <c r="FW72" s="176"/>
      <c r="GW72" s="176"/>
      <c r="GX72" s="176"/>
      <c r="HC72" s="176"/>
    </row>
    <row r="73" spans="1:211">
      <c r="A73" s="784" t="s">
        <v>501</v>
      </c>
      <c r="B73" s="781" t="s">
        <v>1631</v>
      </c>
      <c r="C73" s="781" t="s">
        <v>541</v>
      </c>
      <c r="D73" s="870" t="s">
        <v>1686</v>
      </c>
      <c r="E73" s="870" t="s">
        <v>1632</v>
      </c>
      <c r="F73" s="870" t="s">
        <v>1632</v>
      </c>
      <c r="G73" s="851">
        <v>0</v>
      </c>
      <c r="H73" s="870" t="s">
        <v>2249</v>
      </c>
      <c r="I73" s="785" t="s">
        <v>774</v>
      </c>
      <c r="J73" s="785" t="s">
        <v>1612</v>
      </c>
      <c r="K73" s="785">
        <v>2</v>
      </c>
      <c r="L73" s="785" t="s">
        <v>568</v>
      </c>
      <c r="M73" s="785">
        <v>12</v>
      </c>
      <c r="N73" s="300">
        <v>6</v>
      </c>
      <c r="O73" s="785">
        <v>180.5</v>
      </c>
      <c r="P73" s="781">
        <v>85.8</v>
      </c>
      <c r="Q73" s="785">
        <v>6</v>
      </c>
      <c r="R73" s="781">
        <v>25.8</v>
      </c>
      <c r="S73" s="781">
        <v>2</v>
      </c>
      <c r="T73" s="781">
        <v>20</v>
      </c>
      <c r="U73" s="781">
        <v>4</v>
      </c>
      <c r="V73" s="781">
        <v>3220</v>
      </c>
      <c r="W73" s="781">
        <v>3312</v>
      </c>
      <c r="X73" s="870"/>
      <c r="Y73" s="835">
        <v>0</v>
      </c>
      <c r="Z73" s="786">
        <v>57268.367641625016</v>
      </c>
      <c r="AA73" s="786">
        <v>62794.945723127952</v>
      </c>
      <c r="AB73" s="870">
        <v>44667.362214932204</v>
      </c>
      <c r="AC73" s="834">
        <v>0</v>
      </c>
      <c r="AD73" s="785" t="s">
        <v>1613</v>
      </c>
      <c r="AE73" s="783" t="s">
        <v>1613</v>
      </c>
      <c r="AF73" s="783" t="s">
        <v>1613</v>
      </c>
      <c r="AG73" s="783" t="s">
        <v>1613</v>
      </c>
      <c r="AH73" s="785" t="s">
        <v>1208</v>
      </c>
      <c r="AI73" s="783" t="s">
        <v>1208</v>
      </c>
      <c r="AJ73" s="783" t="s">
        <v>1208</v>
      </c>
      <c r="AK73" s="783" t="s">
        <v>1208</v>
      </c>
      <c r="AL73" s="870">
        <f>PPH_Data_Base28[[#This Row],[PPH Unit Basic Price With Cu Tube]]*0.05</f>
        <v>3139.7472861563979</v>
      </c>
      <c r="AM73" s="785">
        <v>594.15051744350285</v>
      </c>
      <c r="AN73" s="785"/>
      <c r="AO73" s="785"/>
      <c r="AP73" s="785">
        <v>1161</v>
      </c>
      <c r="AQ73" s="785">
        <v>978.75000000000011</v>
      </c>
      <c r="AR73" s="785">
        <f>8*242</f>
        <v>1936</v>
      </c>
      <c r="AS73" s="785">
        <v>2318.0707063508685</v>
      </c>
      <c r="AT73" s="785">
        <v>5153.8283843986783</v>
      </c>
      <c r="AU73" s="785">
        <v>246.90992900656781</v>
      </c>
      <c r="AV73" s="785">
        <v>2004.0928885601484</v>
      </c>
      <c r="AW73" s="870"/>
      <c r="AX73" s="870">
        <v>725</v>
      </c>
      <c r="AY73" s="870">
        <v>8374.8274661440701</v>
      </c>
      <c r="AZ73" s="870">
        <v>2942.4107473808263</v>
      </c>
      <c r="BA73" s="870"/>
      <c r="BB73" s="870">
        <f>PPH_Data_Base28[[#This Row],[PPH Unit Basic Price With Cu Tube]]*0.1</f>
        <v>6279.4945723127958</v>
      </c>
      <c r="BC73" s="870">
        <v>605.14992116166684</v>
      </c>
      <c r="BD73" s="870">
        <v>2017.1664038722229</v>
      </c>
      <c r="BE73" s="870">
        <v>672.38880129074096</v>
      </c>
      <c r="BF73" s="870">
        <v>672.38880129074096</v>
      </c>
      <c r="BG73" s="870">
        <v>672.38880129074096</v>
      </c>
      <c r="BH73" s="870">
        <f>PPH_Data_Base28[[#This Row],[PPH Unit Basic Price With Cu Tube]]*0.075</f>
        <v>4709.6209292345966</v>
      </c>
      <c r="BI73" s="870">
        <v>2017.1664038722229</v>
      </c>
      <c r="BJ73" s="870">
        <v>672.38880129074096</v>
      </c>
      <c r="BK73" s="870">
        <v>672.38880129074096</v>
      </c>
      <c r="BL73" s="870">
        <v>672.38880129074096</v>
      </c>
      <c r="BM73" s="781">
        <f>PPH_Data_Base28[[#This Row],[Total Condenser Coil Area]]*Naming!$M$62*4</f>
        <v>16172.8</v>
      </c>
      <c r="BN73" s="781">
        <f>PPH_Data_Base28[[#This Row],[Total Evaporator  Coil Area]]*Naming!$M$62*4</f>
        <v>7687.6799999999994</v>
      </c>
      <c r="BO73" s="781">
        <f>PPH_Data_Base28[[#This Row],[Total Condenser Coil Area]]*Naming!$D$61*4</f>
        <v>245.48000000000002</v>
      </c>
      <c r="BP73" s="781">
        <f>PPH_Data_Base28[[#This Row],[Total Evaporator  Coil Area]]*Naming!$D$61*6</f>
        <v>175.03200000000001</v>
      </c>
      <c r="BQ73" s="781">
        <f>$G$195*PPH_Data_Base28[[#This Row],[Total Evaporator  Coil Area]]</f>
        <v>386.09999999999997</v>
      </c>
      <c r="BR73" s="781">
        <f>$G$199*PPH_Data_Base28[[#This Row],[Total Evaporator  Coil Area]]</f>
        <v>583.43999999999994</v>
      </c>
      <c r="BS73" s="781">
        <f>$E$185*PPH_Data_Base28[[#This Row],[Total Evaporator  Coil Area]]</f>
        <v>1716</v>
      </c>
      <c r="BT73" s="781">
        <f>$E$188*PPH_Data_Base28[[#This Row],[Total Evaporator  Coil Area]]</f>
        <v>2402.4</v>
      </c>
      <c r="BU73" s="781">
        <f>$G$195*PPH_Data_Base28[[#This Row],[Total Condenser Coil Area]]</f>
        <v>812.25</v>
      </c>
      <c r="BV73" s="781">
        <f>$G$199*PPH_Data_Base28[[#This Row],[Total Condenser Coil Area]]</f>
        <v>1227.3999999999999</v>
      </c>
      <c r="BW73" s="781">
        <f>$E$185*PPH_Data_Base28[[#This Row],[Total Condenser Coil Area]]</f>
        <v>3610</v>
      </c>
      <c r="BX73" s="781">
        <f>$E$188*PPH_Data_Base28[[#This Row],[Total Condenser Coil Area]]</f>
        <v>5054</v>
      </c>
      <c r="BY73" s="785">
        <v>447.79062894048479</v>
      </c>
      <c r="BZ73" s="870">
        <v>277.21090820025427</v>
      </c>
      <c r="CA73" s="870"/>
      <c r="CB73" s="870"/>
      <c r="CC73" s="870">
        <v>271.89265536723161</v>
      </c>
      <c r="CD73" s="870">
        <f t="shared" si="10"/>
        <v>170.46620618090401</v>
      </c>
      <c r="CE73" s="870">
        <v>20</v>
      </c>
      <c r="CF73" s="832">
        <v>0</v>
      </c>
      <c r="CG73" s="1057">
        <f>PPH_Data_Base28[[#This Row],[PPH Unit Basic Price With Cu Tube]]*0.25</f>
        <v>15698.736430781988</v>
      </c>
      <c r="CH73" s="1057">
        <f>PPH_Data_Base28[[#This Row],[DSP Unit Basic Price With Cu Tube]]*0.35</f>
        <v>15633.576775226271</v>
      </c>
      <c r="CI73" s="785">
        <v>535.14213686440689</v>
      </c>
      <c r="CJ73" s="785">
        <v>778.64087288135602</v>
      </c>
      <c r="CK73" s="785">
        <v>111.57743262711864</v>
      </c>
      <c r="CL73" s="781">
        <f>110*1.35*PPH_Data_Base28[[#This Row],[No. of Unit  Compressors]]</f>
        <v>891</v>
      </c>
      <c r="CM73" s="870">
        <v>305.08474576271192</v>
      </c>
      <c r="CN73" s="781">
        <v>619.49152542372883</v>
      </c>
      <c r="CO73" s="870">
        <v>0</v>
      </c>
      <c r="CP73" s="781">
        <v>635.85982895480231</v>
      </c>
      <c r="CQ73" s="870">
        <v>829.29625466101675</v>
      </c>
      <c r="CR73" s="781">
        <v>430.98562118644065</v>
      </c>
      <c r="CS73" s="870">
        <v>5380.6400431355942</v>
      </c>
      <c r="CT73" s="781">
        <v>2595.3389830508477</v>
      </c>
      <c r="CU73" s="870">
        <v>816.67340084745774</v>
      </c>
      <c r="CV73" s="870" t="s">
        <v>1208</v>
      </c>
      <c r="CW73" s="781">
        <f>400*1.35*PPH_Data_Base28[[#This Row],[No. of Unit  Compressors]]</f>
        <v>3240</v>
      </c>
      <c r="CX73" s="835"/>
      <c r="CY73" s="871">
        <f>47*PPH_Data_Base28[[#This Row],[No. of Unit  Compressors]]*1.35</f>
        <v>380.70000000000005</v>
      </c>
      <c r="CZ73" s="871">
        <f>30*1.35*PPH_Data_Base28[[#This Row],[NO Condenser Fans]]</f>
        <v>243</v>
      </c>
      <c r="DA73" s="781">
        <f>INDEX($B$136:$F$154,MATCH(PPH_Data_Base28[[#This Row],[STD Supply Fan Motor]],$B$136:$B$154,0),5)*PPH_Data_Base28[[#This Row],[Fan QTY]]</f>
        <v>187.95951073446332</v>
      </c>
      <c r="DB73" s="871">
        <f>47*1.35*PPH_Data_Base28[[#This Row],[No. of Unit  Compressors]]</f>
        <v>380.70000000000005</v>
      </c>
      <c r="DC73" s="871">
        <f>28*PPH_Data_Base28[[#This Row],[NO Condenser Fans]]</f>
        <v>168</v>
      </c>
      <c r="DD73" s="781">
        <f>INDEX($B$136:$F$154,MATCH(PPH_Data_Base28[[#This Row],[STD Supply Fan Motor]],$B$136:$B$154,0),3)*PPH_Data_Base28[[#This Row],[Fan QTY]]</f>
        <v>91.494187288135592</v>
      </c>
      <c r="DE73" s="870">
        <f>INDEX($B$114:$C$131,MATCH(PPH_Data_Base28[[#This Row],[Compressor 1 HP]],$B$114:$B$131,0),2)*PPH_Data_Base28[[#This Row],[Compressor 1 QTY]]+IFERROR(INDEX($B$114:$C$131,MATCH(PPH_Data_Base28[[#This Row],[Compressor 2 HP]],$B$114:$B$131,0),2)*PPH_Data_Base28[[#This Row],[Compressor 2 QTY]],0)</f>
        <v>668.61850000000015</v>
      </c>
      <c r="DF73" s="870">
        <f>40*PPH_Data_Base28[[#This Row],[NO Condenser Fans]]</f>
        <v>240</v>
      </c>
      <c r="DG73" s="870">
        <f>INDEX($B$136:$F$154,MATCH(PPH_Data_Base28[[#This Row],[STD Supply Fan Motor]],$B$136:$B$154,0),5)*PPH_Data_Base28[[#This Row],[Fan QTY]]</f>
        <v>187.95951073446332</v>
      </c>
      <c r="DH73" s="785">
        <v>932.20338983050851</v>
      </c>
      <c r="DI73" s="785">
        <v>559.32203389830511</v>
      </c>
      <c r="DJ73" s="870">
        <v>4700</v>
      </c>
      <c r="DK73" s="870">
        <v>26600</v>
      </c>
      <c r="DL73" s="870">
        <v>2840</v>
      </c>
      <c r="DM73" s="870" t="s">
        <v>1208</v>
      </c>
      <c r="DN73" s="870" t="s">
        <v>1208</v>
      </c>
      <c r="DO73" s="870"/>
      <c r="DP73" s="870">
        <v>346.045197740113</v>
      </c>
      <c r="DQ73" s="870">
        <v>346.045197740113</v>
      </c>
      <c r="DR73" s="870">
        <v>346.045197740113</v>
      </c>
      <c r="DS73" s="870"/>
      <c r="DT73" s="870">
        <f>PPH_Data_Base28[[#This Row],[NO Condenser Fans]]*350</f>
        <v>2100</v>
      </c>
      <c r="DU73" s="870" t="s">
        <v>1208</v>
      </c>
      <c r="DV73" s="870">
        <f>150*PPH_Data_Base28[[#This Row],[NO Condenser Fans]]</f>
        <v>900</v>
      </c>
      <c r="DW73" s="781">
        <v>2272.2457627118642</v>
      </c>
      <c r="DX73" s="781">
        <v>250</v>
      </c>
      <c r="DY73" s="870">
        <v>700</v>
      </c>
      <c r="DZ73" s="870">
        <v>100</v>
      </c>
      <c r="EA73" s="870">
        <v>540</v>
      </c>
      <c r="EB73" s="870">
        <v>4.186805084745763</v>
      </c>
      <c r="EC73" s="870">
        <v>34.957627118644069</v>
      </c>
      <c r="ED73" s="870">
        <v>56.080321186440685</v>
      </c>
      <c r="EE73" s="870"/>
      <c r="EF73" s="870"/>
      <c r="EG73" s="870"/>
      <c r="EH73" s="870"/>
      <c r="EI73" s="870"/>
      <c r="EJ73" s="870"/>
      <c r="EK73" s="870"/>
      <c r="EL73" s="870"/>
      <c r="EM73" s="870"/>
      <c r="EN73" s="870"/>
      <c r="EO73" s="870"/>
      <c r="EP73" s="870"/>
      <c r="EQ73" s="870"/>
      <c r="ER73" s="870"/>
      <c r="ES73" s="870"/>
      <c r="ET73" s="870"/>
      <c r="EU73" s="870">
        <v>203</v>
      </c>
      <c r="EV73" s="870">
        <v>250</v>
      </c>
      <c r="EW73" s="847"/>
      <c r="EX73" s="781">
        <v>92.768903954802283</v>
      </c>
      <c r="EY73" s="781">
        <v>666.23951186440684</v>
      </c>
      <c r="EZ73" s="870">
        <v>38.418079096045197</v>
      </c>
      <c r="FA73" s="870">
        <v>40</v>
      </c>
      <c r="FB73" s="870">
        <v>40</v>
      </c>
      <c r="FC73" s="870">
        <v>24</v>
      </c>
      <c r="FD73" s="870">
        <v>24</v>
      </c>
      <c r="FE73" s="870">
        <v>39.548022598870062</v>
      </c>
      <c r="FF73" s="870">
        <v>182.90960451977404</v>
      </c>
      <c r="FG73" s="870">
        <v>1133.3333333333333</v>
      </c>
      <c r="FH73" s="870">
        <v>1161.1450898591472</v>
      </c>
      <c r="FI73" s="870">
        <v>704.93137407507925</v>
      </c>
      <c r="FJ73" s="870">
        <v>26</v>
      </c>
      <c r="FK73" s="870">
        <f>PPH_Data_Base28[[#This Row],[Differential Pressure Switch]]*2</f>
        <v>52</v>
      </c>
      <c r="FL73" s="870">
        <v>42</v>
      </c>
      <c r="FM73" s="872">
        <f>PPH_Data_Base28[[#This Row],[STD PETRA DIAL DIFF.PRESS.GAUGE NOT DWYER]]*2</f>
        <v>84</v>
      </c>
      <c r="FN73" s="872"/>
      <c r="FO73" s="872">
        <f>PPH_Data_Base28[[#This Row],[Replaceble Filter Drier ]]</f>
        <v>891</v>
      </c>
      <c r="FP73" s="872">
        <f>PPH_Data_Base28[[#This Row],[2" Pre-Filter]]*2</f>
        <v>493.81985801313562</v>
      </c>
      <c r="FQ73" s="872">
        <f>PPH_Data_Base28[[#This Row],[Bag Filter EU-8]]</f>
        <v>2004.0928885601484</v>
      </c>
      <c r="FR73" s="872"/>
      <c r="FS73" s="872">
        <v>30</v>
      </c>
      <c r="FT73" s="176"/>
      <c r="FU73" s="176"/>
      <c r="FV73" s="176"/>
      <c r="FW73" s="176"/>
      <c r="GW73" s="176"/>
      <c r="GX73" s="176"/>
      <c r="HC73" s="176"/>
    </row>
    <row r="74" spans="1:211">
      <c r="A74" s="784" t="s">
        <v>502</v>
      </c>
      <c r="B74" s="781" t="s">
        <v>1634</v>
      </c>
      <c r="C74" s="781" t="s">
        <v>542</v>
      </c>
      <c r="D74" s="870" t="s">
        <v>1687</v>
      </c>
      <c r="E74" s="870" t="s">
        <v>1635</v>
      </c>
      <c r="F74" s="870" t="s">
        <v>1635</v>
      </c>
      <c r="G74" s="851">
        <v>0</v>
      </c>
      <c r="H74" s="870" t="s">
        <v>2249</v>
      </c>
      <c r="I74" s="785" t="s">
        <v>777</v>
      </c>
      <c r="J74" s="785" t="s">
        <v>1612</v>
      </c>
      <c r="K74" s="785">
        <v>2</v>
      </c>
      <c r="L74" s="785" t="s">
        <v>568</v>
      </c>
      <c r="M74" s="785">
        <v>12</v>
      </c>
      <c r="N74" s="300">
        <v>6</v>
      </c>
      <c r="O74" s="785">
        <v>197.38888888888889</v>
      </c>
      <c r="P74" s="781">
        <v>85.8</v>
      </c>
      <c r="Q74" s="785">
        <v>6</v>
      </c>
      <c r="R74" s="781">
        <v>25.8</v>
      </c>
      <c r="S74" s="781">
        <v>4</v>
      </c>
      <c r="T74" s="781">
        <v>20</v>
      </c>
      <c r="U74" s="781">
        <v>2</v>
      </c>
      <c r="V74" s="781">
        <v>3220</v>
      </c>
      <c r="W74" s="781">
        <v>3312</v>
      </c>
      <c r="X74" s="870"/>
      <c r="Y74" s="835">
        <v>0</v>
      </c>
      <c r="Z74" s="786">
        <v>61176.792704307802</v>
      </c>
      <c r="AA74" s="786">
        <v>67110.399306307081</v>
      </c>
      <c r="AB74" s="870">
        <v>46517.288357884463</v>
      </c>
      <c r="AC74" s="834">
        <v>0</v>
      </c>
      <c r="AD74" s="785" t="s">
        <v>1613</v>
      </c>
      <c r="AE74" s="783" t="s">
        <v>1613</v>
      </c>
      <c r="AF74" s="783" t="s">
        <v>1613</v>
      </c>
      <c r="AG74" s="783" t="s">
        <v>1613</v>
      </c>
      <c r="AH74" s="785" t="s">
        <v>1208</v>
      </c>
      <c r="AI74" s="783" t="s">
        <v>1208</v>
      </c>
      <c r="AJ74" s="783" t="s">
        <v>1208</v>
      </c>
      <c r="AK74" s="783" t="s">
        <v>1208</v>
      </c>
      <c r="AL74" s="870">
        <f>PPH_Data_Base28[[#This Row],[PPH Unit Basic Price With Cu Tube]]*0.05</f>
        <v>3355.5199653153541</v>
      </c>
      <c r="AM74" s="785">
        <v>594.15051744350285</v>
      </c>
      <c r="AN74" s="785"/>
      <c r="AO74" s="785"/>
      <c r="AP74" s="785">
        <v>1161</v>
      </c>
      <c r="AQ74" s="785">
        <v>978.75000000000011</v>
      </c>
      <c r="AR74" s="785">
        <f>8*242</f>
        <v>1936</v>
      </c>
      <c r="AS74" s="785">
        <v>2318.0707063508685</v>
      </c>
      <c r="AT74" s="785">
        <v>5153.8283843986783</v>
      </c>
      <c r="AU74" s="785">
        <v>246.90992900656781</v>
      </c>
      <c r="AV74" s="785">
        <v>2004.0928885601484</v>
      </c>
      <c r="AW74" s="870"/>
      <c r="AX74" s="870">
        <v>725</v>
      </c>
      <c r="AY74" s="870">
        <v>8374.8274661440701</v>
      </c>
      <c r="AZ74" s="870">
        <v>2942.4107473808263</v>
      </c>
      <c r="BA74" s="870"/>
      <c r="BB74" s="870">
        <f>PPH_Data_Base28[[#This Row],[PPH Unit Basic Price With Cu Tube]]*0.1</f>
        <v>6711.0399306307081</v>
      </c>
      <c r="BC74" s="870">
        <v>641.34770266275586</v>
      </c>
      <c r="BD74" s="870">
        <v>2137.8256755425195</v>
      </c>
      <c r="BE74" s="870">
        <v>712.60855851417318</v>
      </c>
      <c r="BF74" s="870">
        <v>712.60855851417318</v>
      </c>
      <c r="BG74" s="870">
        <v>712.60855851417318</v>
      </c>
      <c r="BH74" s="870">
        <f>PPH_Data_Base28[[#This Row],[PPH Unit Basic Price With Cu Tube]]*0.075</f>
        <v>5033.2799479730311</v>
      </c>
      <c r="BI74" s="870">
        <v>2137.8256755425195</v>
      </c>
      <c r="BJ74" s="870">
        <v>712.60855851417318</v>
      </c>
      <c r="BK74" s="870">
        <v>712.60855851417318</v>
      </c>
      <c r="BL74" s="870">
        <v>712.60855851417318</v>
      </c>
      <c r="BM74" s="781">
        <f>PPH_Data_Base28[[#This Row],[Total Condenser Coil Area]]*Naming!$M$62*4</f>
        <v>17686.044444444444</v>
      </c>
      <c r="BN74" s="781">
        <f>PPH_Data_Base28[[#This Row],[Total Evaporator  Coil Area]]*Naming!$M$62*4</f>
        <v>7687.6799999999994</v>
      </c>
      <c r="BO74" s="781">
        <f>PPH_Data_Base28[[#This Row],[Total Condenser Coil Area]]*Naming!$D$61*4</f>
        <v>268.44888888888892</v>
      </c>
      <c r="BP74" s="781">
        <f>PPH_Data_Base28[[#This Row],[Total Evaporator  Coil Area]]*Naming!$D$61*6</f>
        <v>175.03200000000001</v>
      </c>
      <c r="BQ74" s="781">
        <f>$G$195*PPH_Data_Base28[[#This Row],[Total Evaporator  Coil Area]]</f>
        <v>386.09999999999997</v>
      </c>
      <c r="BR74" s="781">
        <f>$G$199*PPH_Data_Base28[[#This Row],[Total Evaporator  Coil Area]]</f>
        <v>583.43999999999994</v>
      </c>
      <c r="BS74" s="781">
        <f>$E$185*PPH_Data_Base28[[#This Row],[Total Evaporator  Coil Area]]</f>
        <v>1716</v>
      </c>
      <c r="BT74" s="781">
        <f>$E$188*PPH_Data_Base28[[#This Row],[Total Evaporator  Coil Area]]</f>
        <v>2402.4</v>
      </c>
      <c r="BU74" s="781">
        <f>$G$195*PPH_Data_Base28[[#This Row],[Total Condenser Coil Area]]</f>
        <v>888.25</v>
      </c>
      <c r="BV74" s="781">
        <f>$G$199*PPH_Data_Base28[[#This Row],[Total Condenser Coil Area]]</f>
        <v>1342.2444444444443</v>
      </c>
      <c r="BW74" s="781">
        <f>$E$185*PPH_Data_Base28[[#This Row],[Total Condenser Coil Area]]</f>
        <v>3947.7777777777778</v>
      </c>
      <c r="BX74" s="781">
        <f>$E$188*PPH_Data_Base28[[#This Row],[Total Condenser Coil Area]]</f>
        <v>5526.8888888888887</v>
      </c>
      <c r="BY74" s="785">
        <v>447.79062894048479</v>
      </c>
      <c r="BZ74" s="870">
        <v>277.21090820025427</v>
      </c>
      <c r="CA74" s="870"/>
      <c r="CB74" s="870"/>
      <c r="CC74" s="870">
        <v>271.89265536723161</v>
      </c>
      <c r="CD74" s="870">
        <f t="shared" si="10"/>
        <v>170.46620618090401</v>
      </c>
      <c r="CE74" s="870">
        <v>20</v>
      </c>
      <c r="CF74" s="832">
        <v>0</v>
      </c>
      <c r="CG74" s="1057">
        <f>PPH_Data_Base28[[#This Row],[PPH Unit Basic Price With Cu Tube]]*0.25</f>
        <v>16777.59982657677</v>
      </c>
      <c r="CH74" s="1057">
        <f>PPH_Data_Base28[[#This Row],[DSP Unit Basic Price With Cu Tube]]*0.35</f>
        <v>16281.05092525956</v>
      </c>
      <c r="CI74" s="785">
        <v>535.14213686440689</v>
      </c>
      <c r="CJ74" s="785">
        <v>778.64087288135602</v>
      </c>
      <c r="CK74" s="785">
        <v>111.57743262711864</v>
      </c>
      <c r="CL74" s="781">
        <f>110*1.35*PPH_Data_Base28[[#This Row],[No. of Unit  Compressors]]</f>
        <v>891</v>
      </c>
      <c r="CM74" s="870">
        <v>305.08474576271192</v>
      </c>
      <c r="CN74" s="781">
        <v>691.52542372881351</v>
      </c>
      <c r="CO74" s="870">
        <v>0</v>
      </c>
      <c r="CP74" s="781">
        <v>674.31920748587572</v>
      </c>
      <c r="CQ74" s="870">
        <v>829.29625466101675</v>
      </c>
      <c r="CR74" s="781">
        <v>430.98562118644065</v>
      </c>
      <c r="CS74" s="870">
        <v>5478.7704027118634</v>
      </c>
      <c r="CT74" s="781">
        <v>2595.3389830508477</v>
      </c>
      <c r="CU74" s="870">
        <v>816.67340084745774</v>
      </c>
      <c r="CV74" s="870" t="s">
        <v>1208</v>
      </c>
      <c r="CW74" s="781">
        <f>400*1.35*PPH_Data_Base28[[#This Row],[No. of Unit  Compressors]]</f>
        <v>3240</v>
      </c>
      <c r="CX74" s="835"/>
      <c r="CY74" s="871">
        <f>47*PPH_Data_Base28[[#This Row],[No. of Unit  Compressors]]*1.35</f>
        <v>380.70000000000005</v>
      </c>
      <c r="CZ74" s="871">
        <f>30*1.35*PPH_Data_Base28[[#This Row],[NO Condenser Fans]]</f>
        <v>243</v>
      </c>
      <c r="DA74" s="781">
        <f>INDEX($B$136:$F$154,MATCH(PPH_Data_Base28[[#This Row],[STD Supply Fan Motor]],$B$136:$B$154,0),5)*PPH_Data_Base28[[#This Row],[Fan QTY]]</f>
        <v>187.95951073446332</v>
      </c>
      <c r="DB74" s="871">
        <f>47*1.35*PPH_Data_Base28[[#This Row],[No. of Unit  Compressors]]</f>
        <v>380.70000000000005</v>
      </c>
      <c r="DC74" s="871">
        <f>28*PPH_Data_Base28[[#This Row],[NO Condenser Fans]]</f>
        <v>168</v>
      </c>
      <c r="DD74" s="781">
        <f>INDEX($B$136:$F$154,MATCH(PPH_Data_Base28[[#This Row],[STD Supply Fan Motor]],$B$136:$B$154,0),3)*PPH_Data_Base28[[#This Row],[Fan QTY]]</f>
        <v>91.494187288135592</v>
      </c>
      <c r="DE74" s="870">
        <f>INDEX($B$114:$C$131,MATCH(PPH_Data_Base28[[#This Row],[Compressor 1 HP]],$B$114:$B$131,0),2)*PPH_Data_Base28[[#This Row],[Compressor 1 QTY]]+IFERROR(INDEX($B$114:$C$131,MATCH(PPH_Data_Base28[[#This Row],[Compressor 2 HP]],$B$114:$B$131,0),2)*PPH_Data_Base28[[#This Row],[Compressor 2 QTY]],0)</f>
        <v>668.61850000000015</v>
      </c>
      <c r="DF74" s="870">
        <f>40*PPH_Data_Base28[[#This Row],[NO Condenser Fans]]</f>
        <v>240</v>
      </c>
      <c r="DG74" s="870">
        <f>INDEX($B$136:$F$154,MATCH(PPH_Data_Base28[[#This Row],[STD Supply Fan Motor]],$B$136:$B$154,0),5)*PPH_Data_Base28[[#This Row],[Fan QTY]]</f>
        <v>187.95951073446332</v>
      </c>
      <c r="DH74" s="785">
        <v>932.20338983050851</v>
      </c>
      <c r="DI74" s="785">
        <v>559.32203389830511</v>
      </c>
      <c r="DJ74" s="870">
        <v>4700</v>
      </c>
      <c r="DK74" s="870">
        <v>27400</v>
      </c>
      <c r="DL74" s="870">
        <v>2840</v>
      </c>
      <c r="DM74" s="870" t="s">
        <v>1208</v>
      </c>
      <c r="DN74" s="870" t="s">
        <v>1208</v>
      </c>
      <c r="DO74" s="870"/>
      <c r="DP74" s="870">
        <v>346.045197740113</v>
      </c>
      <c r="DQ74" s="870">
        <v>346.045197740113</v>
      </c>
      <c r="DR74" s="870">
        <v>346.045197740113</v>
      </c>
      <c r="DS74" s="870"/>
      <c r="DT74" s="870">
        <f>PPH_Data_Base28[[#This Row],[NO Condenser Fans]]*350</f>
        <v>2100</v>
      </c>
      <c r="DU74" s="870" t="s">
        <v>1208</v>
      </c>
      <c r="DV74" s="870">
        <f>150*PPH_Data_Base28[[#This Row],[NO Condenser Fans]]</f>
        <v>900</v>
      </c>
      <c r="DW74" s="781">
        <v>2272.2457627118642</v>
      </c>
      <c r="DX74" s="781">
        <v>250</v>
      </c>
      <c r="DY74" s="870">
        <v>700</v>
      </c>
      <c r="DZ74" s="870">
        <v>100</v>
      </c>
      <c r="EA74" s="870">
        <v>540</v>
      </c>
      <c r="EB74" s="870">
        <v>4.186805084745763</v>
      </c>
      <c r="EC74" s="870">
        <v>34.957627118644069</v>
      </c>
      <c r="ED74" s="870">
        <v>56.080321186440685</v>
      </c>
      <c r="EE74" s="870"/>
      <c r="EF74" s="870"/>
      <c r="EG74" s="870"/>
      <c r="EH74" s="870"/>
      <c r="EI74" s="870"/>
      <c r="EJ74" s="870"/>
      <c r="EK74" s="870"/>
      <c r="EL74" s="870"/>
      <c r="EM74" s="870"/>
      <c r="EN74" s="870"/>
      <c r="EO74" s="870"/>
      <c r="EP74" s="870"/>
      <c r="EQ74" s="870"/>
      <c r="ER74" s="870"/>
      <c r="ES74" s="870"/>
      <c r="ET74" s="870"/>
      <c r="EU74" s="870">
        <v>203</v>
      </c>
      <c r="EV74" s="870">
        <v>250</v>
      </c>
      <c r="EW74" s="847"/>
      <c r="EX74" s="781">
        <v>92.768903954802283</v>
      </c>
      <c r="EY74" s="781">
        <v>666.23951186440684</v>
      </c>
      <c r="EZ74" s="870">
        <v>38.418079096045197</v>
      </c>
      <c r="FA74" s="870">
        <v>40</v>
      </c>
      <c r="FB74" s="870">
        <v>40</v>
      </c>
      <c r="FC74" s="870">
        <v>24</v>
      </c>
      <c r="FD74" s="870">
        <v>24</v>
      </c>
      <c r="FE74" s="870">
        <v>39.548022598870062</v>
      </c>
      <c r="FF74" s="870">
        <v>182.90960451977404</v>
      </c>
      <c r="FG74" s="870">
        <v>1133.3333333333333</v>
      </c>
      <c r="FH74" s="870">
        <v>1161.1450898591472</v>
      </c>
      <c r="FI74" s="870">
        <v>704.93137407507925</v>
      </c>
      <c r="FJ74" s="870">
        <v>26</v>
      </c>
      <c r="FK74" s="870">
        <f>PPH_Data_Base28[[#This Row],[Differential Pressure Switch]]*2</f>
        <v>52</v>
      </c>
      <c r="FL74" s="870">
        <v>42</v>
      </c>
      <c r="FM74" s="872">
        <f>PPH_Data_Base28[[#This Row],[STD PETRA DIAL DIFF.PRESS.GAUGE NOT DWYER]]*2</f>
        <v>84</v>
      </c>
      <c r="FN74" s="872"/>
      <c r="FO74" s="872">
        <f>PPH_Data_Base28[[#This Row],[Replaceble Filter Drier ]]</f>
        <v>891</v>
      </c>
      <c r="FP74" s="872">
        <f>PPH_Data_Base28[[#This Row],[2" Pre-Filter]]*2</f>
        <v>493.81985801313562</v>
      </c>
      <c r="FQ74" s="872">
        <f>PPH_Data_Base28[[#This Row],[Bag Filter EU-8]]</f>
        <v>2004.0928885601484</v>
      </c>
      <c r="FR74" s="872"/>
      <c r="FS74" s="872">
        <v>30</v>
      </c>
      <c r="FT74" s="176"/>
      <c r="FU74" s="176"/>
      <c r="FV74" s="176"/>
      <c r="FW74" s="176"/>
      <c r="GW74" s="176"/>
      <c r="GX74" s="176"/>
      <c r="HC74" s="176"/>
    </row>
    <row r="75" spans="1:211">
      <c r="A75" s="784" t="s">
        <v>503</v>
      </c>
      <c r="B75" s="781" t="s">
        <v>1637</v>
      </c>
      <c r="C75" s="781" t="s">
        <v>543</v>
      </c>
      <c r="D75" s="870" t="s">
        <v>1688</v>
      </c>
      <c r="E75" s="870" t="s">
        <v>1638</v>
      </c>
      <c r="F75" s="870" t="s">
        <v>1638</v>
      </c>
      <c r="G75" s="851">
        <v>0</v>
      </c>
      <c r="H75" s="870" t="s">
        <v>2249</v>
      </c>
      <c r="I75" s="785" t="s">
        <v>777</v>
      </c>
      <c r="J75" s="785" t="s">
        <v>1624</v>
      </c>
      <c r="K75" s="785">
        <v>2</v>
      </c>
      <c r="L75" s="785" t="s">
        <v>568</v>
      </c>
      <c r="M75" s="785">
        <v>12</v>
      </c>
      <c r="N75" s="300">
        <v>6</v>
      </c>
      <c r="O75" s="785">
        <v>205.83333333333334</v>
      </c>
      <c r="P75" s="781">
        <v>85.8</v>
      </c>
      <c r="Q75" s="785">
        <v>6</v>
      </c>
      <c r="R75" s="781">
        <v>30</v>
      </c>
      <c r="S75" s="781">
        <v>2</v>
      </c>
      <c r="T75" s="781">
        <v>25.8</v>
      </c>
      <c r="U75" s="781">
        <v>4</v>
      </c>
      <c r="V75" s="781">
        <v>3220</v>
      </c>
      <c r="W75" s="781">
        <v>4306</v>
      </c>
      <c r="X75" s="870"/>
      <c r="Y75" s="835">
        <v>0</v>
      </c>
      <c r="Z75" s="786">
        <v>63841.961011707121</v>
      </c>
      <c r="AA75" s="786">
        <v>70790.330667794027</v>
      </c>
      <c r="AB75" s="870">
        <v>46909.902965695321</v>
      </c>
      <c r="AC75" s="834">
        <v>0</v>
      </c>
      <c r="AD75" s="785" t="s">
        <v>1613</v>
      </c>
      <c r="AE75" s="783" t="s">
        <v>1613</v>
      </c>
      <c r="AF75" s="783" t="s">
        <v>1613</v>
      </c>
      <c r="AG75" s="783" t="s">
        <v>1613</v>
      </c>
      <c r="AH75" s="785" t="s">
        <v>1208</v>
      </c>
      <c r="AI75" s="783" t="s">
        <v>1208</v>
      </c>
      <c r="AJ75" s="783" t="s">
        <v>1208</v>
      </c>
      <c r="AK75" s="783" t="s">
        <v>1208</v>
      </c>
      <c r="AL75" s="870">
        <f>PPH_Data_Base28[[#This Row],[PPH Unit Basic Price With Cu Tube]]*0.05</f>
        <v>3539.5165333897016</v>
      </c>
      <c r="AM75" s="785">
        <v>594.15051744350285</v>
      </c>
      <c r="AN75" s="785"/>
      <c r="AO75" s="785"/>
      <c r="AP75" s="785">
        <v>1161</v>
      </c>
      <c r="AQ75" s="785">
        <v>978.75000000000011</v>
      </c>
      <c r="AR75" s="785">
        <f>8*242</f>
        <v>1936</v>
      </c>
      <c r="AS75" s="785">
        <v>2272.6531323996082</v>
      </c>
      <c r="AT75" s="785">
        <v>5081.1602660766612</v>
      </c>
      <c r="AU75" s="785">
        <v>246.90992900656781</v>
      </c>
      <c r="AV75" s="785">
        <v>2004.0928885601484</v>
      </c>
      <c r="AW75" s="870"/>
      <c r="AX75" s="870">
        <v>725</v>
      </c>
      <c r="AY75" s="870">
        <v>8374.8274661440701</v>
      </c>
      <c r="AZ75" s="870">
        <v>2942.4107473808263</v>
      </c>
      <c r="BA75" s="870"/>
      <c r="BB75" s="870">
        <f>PPH_Data_Base28[[#This Row],[PPH Unit Basic Price With Cu Tube]]*0.1</f>
        <v>7079.0330667794033</v>
      </c>
      <c r="BC75" s="870">
        <v>677.1283518275651</v>
      </c>
      <c r="BD75" s="870">
        <v>2257.0945060918839</v>
      </c>
      <c r="BE75" s="870">
        <v>752.36483536396133</v>
      </c>
      <c r="BF75" s="870">
        <v>752.36483536396133</v>
      </c>
      <c r="BG75" s="870">
        <v>752.36483536396133</v>
      </c>
      <c r="BH75" s="870">
        <f>PPH_Data_Base28[[#This Row],[PPH Unit Basic Price With Cu Tube]]*0.075</f>
        <v>5309.2748000845522</v>
      </c>
      <c r="BI75" s="870">
        <v>2257.0945060918839</v>
      </c>
      <c r="BJ75" s="870">
        <v>752.36483536396133</v>
      </c>
      <c r="BK75" s="870">
        <v>752.36483536396133</v>
      </c>
      <c r="BL75" s="870">
        <v>752.36483536396133</v>
      </c>
      <c r="BM75" s="781">
        <f>PPH_Data_Base28[[#This Row],[Total Condenser Coil Area]]*Naming!$M$62*4</f>
        <v>18442.666666666668</v>
      </c>
      <c r="BN75" s="781">
        <f>PPH_Data_Base28[[#This Row],[Total Evaporator  Coil Area]]*Naming!$M$62*4</f>
        <v>7687.6799999999994</v>
      </c>
      <c r="BO75" s="781">
        <f>PPH_Data_Base28[[#This Row],[Total Condenser Coil Area]]*Naming!$D$61*4</f>
        <v>279.93333333333339</v>
      </c>
      <c r="BP75" s="781">
        <f>PPH_Data_Base28[[#This Row],[Total Evaporator  Coil Area]]*Naming!$D$61*6</f>
        <v>175.03200000000001</v>
      </c>
      <c r="BQ75" s="781">
        <f>$G$195*PPH_Data_Base28[[#This Row],[Total Evaporator  Coil Area]]</f>
        <v>386.09999999999997</v>
      </c>
      <c r="BR75" s="781">
        <f>$G$199*PPH_Data_Base28[[#This Row],[Total Evaporator  Coil Area]]</f>
        <v>583.43999999999994</v>
      </c>
      <c r="BS75" s="781">
        <f>$E$185*PPH_Data_Base28[[#This Row],[Total Evaporator  Coil Area]]</f>
        <v>1716</v>
      </c>
      <c r="BT75" s="781">
        <f>$E$188*PPH_Data_Base28[[#This Row],[Total Evaporator  Coil Area]]</f>
        <v>2402.4</v>
      </c>
      <c r="BU75" s="781">
        <f>$G$195*PPH_Data_Base28[[#This Row],[Total Condenser Coil Area]]</f>
        <v>926.25</v>
      </c>
      <c r="BV75" s="781">
        <f>$G$199*PPH_Data_Base28[[#This Row],[Total Condenser Coil Area]]</f>
        <v>1399.6666666666667</v>
      </c>
      <c r="BW75" s="781">
        <f>$E$185*PPH_Data_Base28[[#This Row],[Total Condenser Coil Area]]</f>
        <v>4116.666666666667</v>
      </c>
      <c r="BX75" s="781">
        <f>$E$188*PPH_Data_Base28[[#This Row],[Total Condenser Coil Area]]</f>
        <v>5763.3333333333339</v>
      </c>
      <c r="BY75" s="785">
        <v>447.79062894048479</v>
      </c>
      <c r="BZ75" s="870">
        <v>277.21090820025427</v>
      </c>
      <c r="CA75" s="870"/>
      <c r="CB75" s="870"/>
      <c r="CC75" s="870">
        <v>271.89265536723161</v>
      </c>
      <c r="CD75" s="870">
        <f t="shared" si="10"/>
        <v>170.46620618090401</v>
      </c>
      <c r="CE75" s="870">
        <v>20</v>
      </c>
      <c r="CF75" s="832">
        <v>0</v>
      </c>
      <c r="CG75" s="1057">
        <f>PPH_Data_Base28[[#This Row],[PPH Unit Basic Price With Cu Tube]]*0.25</f>
        <v>17697.582666948507</v>
      </c>
      <c r="CH75" s="1057">
        <f>PPH_Data_Base28[[#This Row],[DSP Unit Basic Price With Cu Tube]]*0.35</f>
        <v>16418.466037993363</v>
      </c>
      <c r="CI75" s="785">
        <v>535.14213686440689</v>
      </c>
      <c r="CJ75" s="785">
        <v>778.64087288135602</v>
      </c>
      <c r="CK75" s="785">
        <v>111.57743262711864</v>
      </c>
      <c r="CL75" s="781">
        <f>110*1.35*PPH_Data_Base28[[#This Row],[No. of Unit  Compressors]]</f>
        <v>891</v>
      </c>
      <c r="CM75" s="870">
        <v>305.08474576271192</v>
      </c>
      <c r="CN75" s="781">
        <v>763.5593220338983</v>
      </c>
      <c r="CO75" s="870">
        <v>0</v>
      </c>
      <c r="CP75" s="781">
        <v>1094.6869524011299</v>
      </c>
      <c r="CQ75" s="870">
        <v>829.29625466101675</v>
      </c>
      <c r="CR75" s="781">
        <v>430.98562118644065</v>
      </c>
      <c r="CS75" s="870">
        <v>6335.4979937923736</v>
      </c>
      <c r="CT75" s="781">
        <v>2595.3389830508477</v>
      </c>
      <c r="CU75" s="870">
        <v>816.67340084745774</v>
      </c>
      <c r="CV75" s="870" t="s">
        <v>1208</v>
      </c>
      <c r="CW75" s="781">
        <f>400*1.35*PPH_Data_Base28[[#This Row],[No. of Unit  Compressors]]</f>
        <v>3240</v>
      </c>
      <c r="CX75" s="835"/>
      <c r="CY75" s="871">
        <f>47*PPH_Data_Base28[[#This Row],[No. of Unit  Compressors]]*1.35</f>
        <v>380.70000000000005</v>
      </c>
      <c r="CZ75" s="871">
        <f>30*1.35*PPH_Data_Base28[[#This Row],[NO Condenser Fans]]</f>
        <v>243</v>
      </c>
      <c r="DA75" s="781">
        <f>INDEX($B$136:$F$154,MATCH(PPH_Data_Base28[[#This Row],[STD Supply Fan Motor]],$B$136:$B$154,0),5)*PPH_Data_Base28[[#This Row],[Fan QTY]]</f>
        <v>199.14987598870056</v>
      </c>
      <c r="DB75" s="871">
        <f>47*1.35*PPH_Data_Base28[[#This Row],[No. of Unit  Compressors]]</f>
        <v>380.70000000000005</v>
      </c>
      <c r="DC75" s="871">
        <f>28*PPH_Data_Base28[[#This Row],[NO Condenser Fans]]</f>
        <v>168</v>
      </c>
      <c r="DD75" s="781">
        <f>INDEX($B$136:$F$154,MATCH(PPH_Data_Base28[[#This Row],[STD Supply Fan Motor]],$B$136:$B$154,0),3)*PPH_Data_Base28[[#This Row],[Fan QTY]]</f>
        <v>196.18043220338984</v>
      </c>
      <c r="DE75" s="870">
        <f>INDEX($B$114:$C$131,MATCH(PPH_Data_Base28[[#This Row],[Compressor 1 HP]],$B$114:$B$131,0),2)*PPH_Data_Base28[[#This Row],[Compressor 1 QTY]]+IFERROR(INDEX($B$114:$C$131,MATCH(PPH_Data_Base28[[#This Row],[Compressor 2 HP]],$B$114:$B$131,0),2)*PPH_Data_Base28[[#This Row],[Compressor 2 QTY]],0)</f>
        <v>668.61850000000015</v>
      </c>
      <c r="DF75" s="870">
        <f>40*PPH_Data_Base28[[#This Row],[NO Condenser Fans]]</f>
        <v>240</v>
      </c>
      <c r="DG75" s="870">
        <f>INDEX($B$136:$F$154,MATCH(PPH_Data_Base28[[#This Row],[STD Supply Fan Motor]],$B$136:$B$154,0),5)*PPH_Data_Base28[[#This Row],[Fan QTY]]</f>
        <v>199.14987598870056</v>
      </c>
      <c r="DH75" s="785">
        <v>932.20338983050851</v>
      </c>
      <c r="DI75" s="785">
        <v>559.32203389830511</v>
      </c>
      <c r="DJ75" s="870">
        <v>0</v>
      </c>
      <c r="DK75" s="870">
        <v>18800</v>
      </c>
      <c r="DL75" s="870">
        <v>3457</v>
      </c>
      <c r="DM75" s="870" t="s">
        <v>1208</v>
      </c>
      <c r="DN75" s="870" t="s">
        <v>1208</v>
      </c>
      <c r="DO75" s="870"/>
      <c r="DP75" s="870">
        <v>346.045197740113</v>
      </c>
      <c r="DQ75" s="870">
        <v>346.045197740113</v>
      </c>
      <c r="DR75" s="870">
        <v>346.045197740113</v>
      </c>
      <c r="DS75" s="870"/>
      <c r="DT75" s="870">
        <f>PPH_Data_Base28[[#This Row],[NO Condenser Fans]]*350</f>
        <v>2100</v>
      </c>
      <c r="DU75" s="870" t="s">
        <v>1208</v>
      </c>
      <c r="DV75" s="870">
        <f>150*PPH_Data_Base28[[#This Row],[NO Condenser Fans]]</f>
        <v>900</v>
      </c>
      <c r="DW75" s="781">
        <v>2272.2457627118642</v>
      </c>
      <c r="DX75" s="781">
        <v>250</v>
      </c>
      <c r="DY75" s="870">
        <v>700</v>
      </c>
      <c r="DZ75" s="870">
        <v>100</v>
      </c>
      <c r="EA75" s="870">
        <v>540</v>
      </c>
      <c r="EB75" s="870">
        <v>4.186805084745763</v>
      </c>
      <c r="EC75" s="870">
        <v>34.957627118644069</v>
      </c>
      <c r="ED75" s="870">
        <v>56.080321186440685</v>
      </c>
      <c r="EE75" s="870"/>
      <c r="EF75" s="870"/>
      <c r="EG75" s="870"/>
      <c r="EH75" s="870"/>
      <c r="EI75" s="870"/>
      <c r="EJ75" s="870"/>
      <c r="EK75" s="870"/>
      <c r="EL75" s="870"/>
      <c r="EM75" s="870"/>
      <c r="EN75" s="870"/>
      <c r="EO75" s="870"/>
      <c r="EP75" s="870"/>
      <c r="EQ75" s="870"/>
      <c r="ER75" s="870"/>
      <c r="ES75" s="870"/>
      <c r="ET75" s="870"/>
      <c r="EU75" s="870">
        <v>203</v>
      </c>
      <c r="EV75" s="870">
        <v>250</v>
      </c>
      <c r="EW75" s="847"/>
      <c r="EX75" s="781">
        <v>92.768903954802283</v>
      </c>
      <c r="EY75" s="781">
        <v>666.23951186440684</v>
      </c>
      <c r="EZ75" s="870">
        <v>38.418079096045197</v>
      </c>
      <c r="FA75" s="870">
        <v>40</v>
      </c>
      <c r="FB75" s="870">
        <v>40</v>
      </c>
      <c r="FC75" s="870">
        <v>24</v>
      </c>
      <c r="FD75" s="870">
        <v>24</v>
      </c>
      <c r="FE75" s="870">
        <v>39.548022598870062</v>
      </c>
      <c r="FF75" s="870">
        <v>182.90960451977404</v>
      </c>
      <c r="FG75" s="870">
        <v>1133.3333333333333</v>
      </c>
      <c r="FH75" s="870">
        <v>1161.1450898591472</v>
      </c>
      <c r="FI75" s="870">
        <v>704.93137407507925</v>
      </c>
      <c r="FJ75" s="870">
        <v>26</v>
      </c>
      <c r="FK75" s="870">
        <f>PPH_Data_Base28[[#This Row],[Differential Pressure Switch]]*2</f>
        <v>52</v>
      </c>
      <c r="FL75" s="870">
        <v>42</v>
      </c>
      <c r="FM75" s="872">
        <f>PPH_Data_Base28[[#This Row],[STD PETRA DIAL DIFF.PRESS.GAUGE NOT DWYER]]*2</f>
        <v>84</v>
      </c>
      <c r="FN75" s="872"/>
      <c r="FO75" s="872">
        <f>PPH_Data_Base28[[#This Row],[Replaceble Filter Drier ]]</f>
        <v>891</v>
      </c>
      <c r="FP75" s="872">
        <f>PPH_Data_Base28[[#This Row],[2" Pre-Filter]]*2</f>
        <v>493.81985801313562</v>
      </c>
      <c r="FQ75" s="872">
        <f>PPH_Data_Base28[[#This Row],[Bag Filter EU-8]]</f>
        <v>2004.0928885601484</v>
      </c>
      <c r="FR75" s="872"/>
      <c r="FS75" s="872">
        <v>30</v>
      </c>
      <c r="FT75" s="176"/>
      <c r="FU75" s="176"/>
      <c r="FV75" s="176"/>
      <c r="FW75" s="176"/>
      <c r="GW75" s="176"/>
      <c r="GX75" s="176"/>
      <c r="HC75" s="176"/>
    </row>
    <row r="76" spans="1:211">
      <c r="A76" s="784" t="s">
        <v>504</v>
      </c>
      <c r="B76" s="781" t="s">
        <v>1640</v>
      </c>
      <c r="C76" s="781" t="s">
        <v>544</v>
      </c>
      <c r="D76" s="870" t="s">
        <v>1689</v>
      </c>
      <c r="E76" s="870" t="s">
        <v>1641</v>
      </c>
      <c r="F76" s="870" t="s">
        <v>1641</v>
      </c>
      <c r="G76" s="851">
        <v>0</v>
      </c>
      <c r="H76" s="870" t="s">
        <v>2249</v>
      </c>
      <c r="I76" s="785" t="s">
        <v>777</v>
      </c>
      <c r="J76" s="785" t="s">
        <v>1624</v>
      </c>
      <c r="K76" s="785">
        <v>2</v>
      </c>
      <c r="L76" s="785" t="s">
        <v>568</v>
      </c>
      <c r="M76" s="790">
        <v>12</v>
      </c>
      <c r="N76" s="300">
        <v>6</v>
      </c>
      <c r="O76" s="790">
        <v>205.83333333333334</v>
      </c>
      <c r="P76" s="790">
        <v>85.8</v>
      </c>
      <c r="Q76" s="785">
        <v>6</v>
      </c>
      <c r="R76" s="781">
        <v>30</v>
      </c>
      <c r="S76" s="781">
        <v>6</v>
      </c>
      <c r="T76" s="781"/>
      <c r="U76" s="781"/>
      <c r="V76" s="781">
        <v>3220</v>
      </c>
      <c r="W76" s="781">
        <v>4306</v>
      </c>
      <c r="X76" s="870"/>
      <c r="Y76" s="835">
        <v>0</v>
      </c>
      <c r="Z76" s="786">
        <v>66432.356842804569</v>
      </c>
      <c r="AA76" s="786">
        <v>73431.397548783221</v>
      </c>
      <c r="AB76" s="870">
        <v>49325.226138872989</v>
      </c>
      <c r="AC76" s="834">
        <v>0</v>
      </c>
      <c r="AD76" s="785" t="s">
        <v>1613</v>
      </c>
      <c r="AE76" s="783" t="s">
        <v>1613</v>
      </c>
      <c r="AF76" s="783" t="s">
        <v>1613</v>
      </c>
      <c r="AG76" s="783" t="s">
        <v>1613</v>
      </c>
      <c r="AH76" s="785" t="s">
        <v>1208</v>
      </c>
      <c r="AI76" s="783" t="s">
        <v>1208</v>
      </c>
      <c r="AJ76" s="783" t="s">
        <v>1208</v>
      </c>
      <c r="AK76" s="783" t="s">
        <v>1208</v>
      </c>
      <c r="AL76" s="870">
        <f>PPH_Data_Base28[[#This Row],[PPH Unit Basic Price With Cu Tube]]*0.05</f>
        <v>3671.5698774391612</v>
      </c>
      <c r="AM76" s="785">
        <v>594.15051744350285</v>
      </c>
      <c r="AN76" s="785"/>
      <c r="AO76" s="785"/>
      <c r="AP76" s="785">
        <v>1161</v>
      </c>
      <c r="AQ76" s="785">
        <v>978.75000000000011</v>
      </c>
      <c r="AR76" s="785">
        <f>8*242</f>
        <v>1936</v>
      </c>
      <c r="AS76" s="785">
        <v>2272.6531323996082</v>
      </c>
      <c r="AT76" s="785">
        <v>5081.1602660766612</v>
      </c>
      <c r="AU76" s="785">
        <v>246.90992900656781</v>
      </c>
      <c r="AV76" s="785">
        <v>2004.0928885601484</v>
      </c>
      <c r="AW76" s="870"/>
      <c r="AX76" s="870">
        <v>725</v>
      </c>
      <c r="AY76" s="870">
        <v>8374.8274661440701</v>
      </c>
      <c r="AZ76" s="870">
        <v>2942.4107473808263</v>
      </c>
      <c r="BA76" s="870"/>
      <c r="BB76" s="870">
        <f>PPH_Data_Base28[[#This Row],[PPH Unit Basic Price With Cu Tube]]*0.1</f>
        <v>7343.1397548783225</v>
      </c>
      <c r="BC76" s="870">
        <v>694.37530442505465</v>
      </c>
      <c r="BD76" s="870">
        <v>2314.5843480835156</v>
      </c>
      <c r="BE76" s="870">
        <v>771.52811602783856</v>
      </c>
      <c r="BF76" s="870">
        <v>771.52811602783856</v>
      </c>
      <c r="BG76" s="870">
        <v>771.52811602783856</v>
      </c>
      <c r="BH76" s="870">
        <f>PPH_Data_Base28[[#This Row],[PPH Unit Basic Price With Cu Tube]]*0.075</f>
        <v>5507.3548161587414</v>
      </c>
      <c r="BI76" s="870">
        <v>2314.5843480835156</v>
      </c>
      <c r="BJ76" s="870">
        <v>771.52811602783856</v>
      </c>
      <c r="BK76" s="870">
        <v>771.52811602783856</v>
      </c>
      <c r="BL76" s="870">
        <v>771.52811602783856</v>
      </c>
      <c r="BM76" s="781">
        <f>PPH_Data_Base28[[#This Row],[Total Condenser Coil Area]]*Naming!$M$62*4</f>
        <v>18442.666666666668</v>
      </c>
      <c r="BN76" s="781">
        <f>PPH_Data_Base28[[#This Row],[Total Evaporator  Coil Area]]*Naming!$M$62*4</f>
        <v>7687.6799999999994</v>
      </c>
      <c r="BO76" s="781">
        <f>PPH_Data_Base28[[#This Row],[Total Condenser Coil Area]]*Naming!$D$61*4</f>
        <v>279.93333333333339</v>
      </c>
      <c r="BP76" s="781">
        <f>PPH_Data_Base28[[#This Row],[Total Evaporator  Coil Area]]*Naming!$D$61*6</f>
        <v>175.03200000000001</v>
      </c>
      <c r="BQ76" s="781">
        <f>$G$195*PPH_Data_Base28[[#This Row],[Total Evaporator  Coil Area]]</f>
        <v>386.09999999999997</v>
      </c>
      <c r="BR76" s="781">
        <f>$G$199*PPH_Data_Base28[[#This Row],[Total Evaporator  Coil Area]]</f>
        <v>583.43999999999994</v>
      </c>
      <c r="BS76" s="781">
        <f>$E$185*PPH_Data_Base28[[#This Row],[Total Evaporator  Coil Area]]</f>
        <v>1716</v>
      </c>
      <c r="BT76" s="781">
        <f>$E$188*PPH_Data_Base28[[#This Row],[Total Evaporator  Coil Area]]</f>
        <v>2402.4</v>
      </c>
      <c r="BU76" s="781">
        <f>$G$195*PPH_Data_Base28[[#This Row],[Total Condenser Coil Area]]</f>
        <v>926.25</v>
      </c>
      <c r="BV76" s="781">
        <f>$G$199*PPH_Data_Base28[[#This Row],[Total Condenser Coil Area]]</f>
        <v>1399.6666666666667</v>
      </c>
      <c r="BW76" s="781">
        <f>$E$185*PPH_Data_Base28[[#This Row],[Total Condenser Coil Area]]</f>
        <v>4116.666666666667</v>
      </c>
      <c r="BX76" s="781">
        <f>$E$188*PPH_Data_Base28[[#This Row],[Total Condenser Coil Area]]</f>
        <v>5763.3333333333339</v>
      </c>
      <c r="BY76" s="785">
        <v>447.79062894048479</v>
      </c>
      <c r="BZ76" s="870">
        <v>277.21090820025427</v>
      </c>
      <c r="CA76" s="870"/>
      <c r="CB76" s="870"/>
      <c r="CC76" s="870">
        <v>271.89265536723161</v>
      </c>
      <c r="CD76" s="870">
        <f t="shared" si="10"/>
        <v>170.46620618090401</v>
      </c>
      <c r="CE76" s="870">
        <v>20</v>
      </c>
      <c r="CF76" s="832">
        <v>0</v>
      </c>
      <c r="CG76" s="1057">
        <f>PPH_Data_Base28[[#This Row],[PPH Unit Basic Price With Cu Tube]]*0.25</f>
        <v>18357.849387195805</v>
      </c>
      <c r="CH76" s="1057">
        <f>PPH_Data_Base28[[#This Row],[DSP Unit Basic Price With Cu Tube]]*0.35</f>
        <v>17263.829148605546</v>
      </c>
      <c r="CI76" s="785">
        <v>535.14213686440689</v>
      </c>
      <c r="CJ76" s="785">
        <v>778.64087288135602</v>
      </c>
      <c r="CK76" s="785">
        <v>111.57743262711864</v>
      </c>
      <c r="CL76" s="781">
        <f>110*1.35*PPH_Data_Base28[[#This Row],[No. of Unit  Compressors]]</f>
        <v>891</v>
      </c>
      <c r="CM76" s="870">
        <v>305.08474576271192</v>
      </c>
      <c r="CN76" s="781">
        <v>763.5593220338983</v>
      </c>
      <c r="CO76" s="870">
        <v>0</v>
      </c>
      <c r="CP76" s="781">
        <v>1858.5036851694917</v>
      </c>
      <c r="CQ76" s="870">
        <v>829.29625466101675</v>
      </c>
      <c r="CR76" s="781">
        <v>430.98562118644065</v>
      </c>
      <c r="CS76" s="870">
        <v>7852.6924568008499</v>
      </c>
      <c r="CT76" s="781">
        <v>2595.3389830508477</v>
      </c>
      <c r="CU76" s="870">
        <v>816.67340084745774</v>
      </c>
      <c r="CV76" s="870" t="s">
        <v>1208</v>
      </c>
      <c r="CW76" s="781">
        <f>400*1.35*PPH_Data_Base28[[#This Row],[No. of Unit  Compressors]]</f>
        <v>3240</v>
      </c>
      <c r="CX76" s="835"/>
      <c r="CY76" s="871">
        <f>47*PPH_Data_Base28[[#This Row],[No. of Unit  Compressors]]*1.35</f>
        <v>380.70000000000005</v>
      </c>
      <c r="CZ76" s="871">
        <f>30*1.35*PPH_Data_Base28[[#This Row],[NO Condenser Fans]]</f>
        <v>243</v>
      </c>
      <c r="DA76" s="781">
        <f>INDEX($B$136:$F$154,MATCH(PPH_Data_Base28[[#This Row],[STD Supply Fan Motor]],$B$136:$B$154,0),5)*PPH_Data_Base28[[#This Row],[Fan QTY]]</f>
        <v>199.14987598870056</v>
      </c>
      <c r="DB76" s="871">
        <f>47*1.35*PPH_Data_Base28[[#This Row],[No. of Unit  Compressors]]</f>
        <v>380.70000000000005</v>
      </c>
      <c r="DC76" s="871">
        <f>28*PPH_Data_Base28[[#This Row],[NO Condenser Fans]]</f>
        <v>168</v>
      </c>
      <c r="DD76" s="781">
        <f>INDEX($B$136:$F$154,MATCH(PPH_Data_Base28[[#This Row],[STD Supply Fan Motor]],$B$136:$B$154,0),3)*PPH_Data_Base28[[#This Row],[Fan QTY]]</f>
        <v>196.18043220338984</v>
      </c>
      <c r="DE76" s="870">
        <f>INDEX($B$114:$C$131,MATCH(PPH_Data_Base28[[#This Row],[Compressor 1 HP]],$B$114:$B$131,0),2)*PPH_Data_Base28[[#This Row],[Compressor 1 QTY]]+IFERROR(INDEX($B$114:$C$131,MATCH(PPH_Data_Base28[[#This Row],[Compressor 2 HP]],$B$114:$B$131,0),2)*PPH_Data_Base28[[#This Row],[Compressor 2 QTY]],0)</f>
        <v>668.61850000000015</v>
      </c>
      <c r="DF76" s="870">
        <f>40*PPH_Data_Base28[[#This Row],[NO Condenser Fans]]</f>
        <v>240</v>
      </c>
      <c r="DG76" s="870">
        <f>INDEX($B$136:$F$154,MATCH(PPH_Data_Base28[[#This Row],[STD Supply Fan Motor]],$B$136:$B$154,0),5)*PPH_Data_Base28[[#This Row],[Fan QTY]]</f>
        <v>199.14987598870056</v>
      </c>
      <c r="DH76" s="785">
        <v>1048.7288135593221</v>
      </c>
      <c r="DI76" s="785">
        <v>815.67796610169489</v>
      </c>
      <c r="DJ76" s="870">
        <v>0</v>
      </c>
      <c r="DK76" s="870">
        <v>0</v>
      </c>
      <c r="DL76" s="870">
        <v>3457</v>
      </c>
      <c r="DM76" s="870" t="s">
        <v>1208</v>
      </c>
      <c r="DN76" s="870" t="s">
        <v>1208</v>
      </c>
      <c r="DO76" s="870"/>
      <c r="DP76" s="870">
        <v>346.045197740113</v>
      </c>
      <c r="DQ76" s="870">
        <v>346.045197740113</v>
      </c>
      <c r="DR76" s="870">
        <v>346.045197740113</v>
      </c>
      <c r="DS76" s="870"/>
      <c r="DT76" s="870">
        <f>PPH_Data_Base28[[#This Row],[NO Condenser Fans]]*350</f>
        <v>2100</v>
      </c>
      <c r="DU76" s="870" t="s">
        <v>1208</v>
      </c>
      <c r="DV76" s="870">
        <f>150*PPH_Data_Base28[[#This Row],[NO Condenser Fans]]</f>
        <v>900</v>
      </c>
      <c r="DW76" s="781">
        <v>2272.2457627118642</v>
      </c>
      <c r="DX76" s="781">
        <v>250</v>
      </c>
      <c r="DY76" s="870">
        <v>700</v>
      </c>
      <c r="DZ76" s="870">
        <v>100</v>
      </c>
      <c r="EA76" s="870">
        <v>540</v>
      </c>
      <c r="EB76" s="870">
        <v>4.186805084745763</v>
      </c>
      <c r="EC76" s="870">
        <v>34.957627118644069</v>
      </c>
      <c r="ED76" s="870">
        <v>56.080321186440685</v>
      </c>
      <c r="EE76" s="870"/>
      <c r="EF76" s="870"/>
      <c r="EG76" s="870"/>
      <c r="EH76" s="870"/>
      <c r="EI76" s="870"/>
      <c r="EJ76" s="870"/>
      <c r="EK76" s="870"/>
      <c r="EL76" s="870"/>
      <c r="EM76" s="870"/>
      <c r="EN76" s="870"/>
      <c r="EO76" s="870"/>
      <c r="EP76" s="870"/>
      <c r="EQ76" s="870"/>
      <c r="ER76" s="870"/>
      <c r="ES76" s="870"/>
      <c r="ET76" s="870"/>
      <c r="EU76" s="870">
        <v>203</v>
      </c>
      <c r="EV76" s="870">
        <v>250</v>
      </c>
      <c r="EW76" s="847"/>
      <c r="EX76" s="781">
        <v>92.768903954802283</v>
      </c>
      <c r="EY76" s="781">
        <v>666.23951186440684</v>
      </c>
      <c r="EZ76" s="870">
        <v>38.418079096045197</v>
      </c>
      <c r="FA76" s="870">
        <v>40</v>
      </c>
      <c r="FB76" s="870">
        <v>40</v>
      </c>
      <c r="FC76" s="870">
        <v>24</v>
      </c>
      <c r="FD76" s="870">
        <v>24</v>
      </c>
      <c r="FE76" s="870">
        <v>39.548022598870062</v>
      </c>
      <c r="FF76" s="870">
        <v>182.90960451977404</v>
      </c>
      <c r="FG76" s="870">
        <v>1133.3333333333333</v>
      </c>
      <c r="FH76" s="870">
        <v>1161.1450898591472</v>
      </c>
      <c r="FI76" s="870">
        <v>704.93137407507925</v>
      </c>
      <c r="FJ76" s="870">
        <v>26</v>
      </c>
      <c r="FK76" s="870">
        <f>PPH_Data_Base28[[#This Row],[Differential Pressure Switch]]*2</f>
        <v>52</v>
      </c>
      <c r="FL76" s="870">
        <v>42</v>
      </c>
      <c r="FM76" s="872">
        <f>PPH_Data_Base28[[#This Row],[STD PETRA DIAL DIFF.PRESS.GAUGE NOT DWYER]]*2</f>
        <v>84</v>
      </c>
      <c r="FN76" s="872"/>
      <c r="FO76" s="872">
        <f>PPH_Data_Base28[[#This Row],[Replaceble Filter Drier ]]</f>
        <v>891</v>
      </c>
      <c r="FP76" s="872">
        <f>PPH_Data_Base28[[#This Row],[2" Pre-Filter]]*2</f>
        <v>493.81985801313562</v>
      </c>
      <c r="FQ76" s="872">
        <f>PPH_Data_Base28[[#This Row],[Bag Filter EU-8]]</f>
        <v>2004.0928885601484</v>
      </c>
      <c r="FR76" s="872"/>
      <c r="FS76" s="872">
        <v>30</v>
      </c>
      <c r="FT76" s="176"/>
      <c r="FU76" s="176"/>
      <c r="FV76" s="176"/>
      <c r="FW76" s="176"/>
      <c r="GW76" s="176"/>
      <c r="GX76" s="176"/>
      <c r="HC76" s="176"/>
    </row>
    <row r="77" spans="1:211">
      <c r="A77" s="784" t="s">
        <v>505</v>
      </c>
      <c r="B77" s="781" t="s">
        <v>1643</v>
      </c>
      <c r="C77" s="781" t="s">
        <v>545</v>
      </c>
      <c r="D77" s="870" t="s">
        <v>1690</v>
      </c>
      <c r="E77" s="870" t="s">
        <v>1644</v>
      </c>
      <c r="F77" s="870"/>
      <c r="G77" s="851">
        <v>0</v>
      </c>
      <c r="H77" s="870" t="s">
        <v>2249</v>
      </c>
      <c r="I77" s="785" t="s">
        <v>780</v>
      </c>
      <c r="J77" s="785" t="s">
        <v>1624</v>
      </c>
      <c r="K77" s="785">
        <v>2</v>
      </c>
      <c r="L77" s="785" t="s">
        <v>568</v>
      </c>
      <c r="M77" s="790">
        <v>12</v>
      </c>
      <c r="N77" s="300">
        <v>6</v>
      </c>
      <c r="O77" s="790">
        <v>274.44444444444446</v>
      </c>
      <c r="P77" s="790">
        <v>85.8</v>
      </c>
      <c r="Q77" s="785">
        <v>8</v>
      </c>
      <c r="R77" s="781">
        <v>30</v>
      </c>
      <c r="S77" s="781">
        <v>4</v>
      </c>
      <c r="T77" s="781">
        <v>25.8</v>
      </c>
      <c r="U77" s="781">
        <v>4</v>
      </c>
      <c r="V77" s="781">
        <v>5502</v>
      </c>
      <c r="W77" s="781">
        <v>4306</v>
      </c>
      <c r="X77" s="876"/>
      <c r="Y77" s="835">
        <v>0</v>
      </c>
      <c r="Z77" s="786">
        <v>85705.283389916774</v>
      </c>
      <c r="AA77" s="786">
        <v>95385.469948745289</v>
      </c>
      <c r="AB77" s="870">
        <v>64804.444407161129</v>
      </c>
      <c r="AC77" s="834">
        <v>0</v>
      </c>
      <c r="AD77" s="787" t="s">
        <v>1613</v>
      </c>
      <c r="AE77" s="788" t="s">
        <v>1613</v>
      </c>
      <c r="AF77" s="788" t="s">
        <v>1613</v>
      </c>
      <c r="AG77" s="788" t="s">
        <v>1613</v>
      </c>
      <c r="AH77" s="787" t="s">
        <v>1208</v>
      </c>
      <c r="AI77" s="788" t="s">
        <v>1208</v>
      </c>
      <c r="AJ77" s="788" t="s">
        <v>1208</v>
      </c>
      <c r="AK77" s="788" t="s">
        <v>1208</v>
      </c>
      <c r="AL77" s="870">
        <f>PPH_Data_Base28[[#This Row],[PPH Unit Basic Price With Cu Tube]]*0.05</f>
        <v>4769.2734974372643</v>
      </c>
      <c r="AM77" s="787">
        <v>675.6131451977401</v>
      </c>
      <c r="AN77" s="787"/>
      <c r="AO77" s="787"/>
      <c r="AP77" s="787">
        <v>1161</v>
      </c>
      <c r="AQ77" s="787">
        <v>978.75000000000011</v>
      </c>
      <c r="AR77" s="787">
        <f>11*242</f>
        <v>2662</v>
      </c>
      <c r="AS77" s="787">
        <v>3282.2458696663139</v>
      </c>
      <c r="AT77" s="787">
        <v>6696.5086457033904</v>
      </c>
      <c r="AU77" s="787">
        <v>322.66939980978822</v>
      </c>
      <c r="AV77" s="787">
        <v>2515.7921440062291</v>
      </c>
      <c r="AW77" s="870"/>
      <c r="AX77" s="870">
        <v>725</v>
      </c>
      <c r="AY77" s="876">
        <v>11456.378208686443</v>
      </c>
      <c r="AZ77" s="876">
        <v>3807.8948701668437</v>
      </c>
      <c r="BA77" s="876"/>
      <c r="BB77" s="876">
        <f>PPH_Data_Base28[[#This Row],[PPH Unit Basic Price With Cu Tube]]*0.1</f>
        <v>9538.5469948745285</v>
      </c>
      <c r="BC77" s="876">
        <v>900.14409295122198</v>
      </c>
      <c r="BD77" s="876">
        <v>3000.4803098374068</v>
      </c>
      <c r="BE77" s="876">
        <v>1000.1601032791356</v>
      </c>
      <c r="BF77" s="876">
        <v>1000.1601032791356</v>
      </c>
      <c r="BG77" s="876">
        <v>1000.1601032791356</v>
      </c>
      <c r="BH77" s="876">
        <f>PPH_Data_Base28[[#This Row],[PPH Unit Basic Price With Cu Tube]]*0.075</f>
        <v>7153.9102461558969</v>
      </c>
      <c r="BI77" s="876">
        <v>3000.4803098374068</v>
      </c>
      <c r="BJ77" s="876">
        <v>1000.1601032791356</v>
      </c>
      <c r="BK77" s="876">
        <v>1000.1601032791356</v>
      </c>
      <c r="BL77" s="876">
        <v>1000.1601032791356</v>
      </c>
      <c r="BM77" s="781">
        <f>PPH_Data_Base28[[#This Row],[Total Condenser Coil Area]]*Naming!$M$62*4</f>
        <v>24590.222222222223</v>
      </c>
      <c r="BN77" s="781">
        <f>PPH_Data_Base28[[#This Row],[Total Evaporator  Coil Area]]*Naming!$M$62*4</f>
        <v>7687.6799999999994</v>
      </c>
      <c r="BO77" s="781">
        <f>PPH_Data_Base28[[#This Row],[Total Condenser Coil Area]]*Naming!$D$61*4</f>
        <v>373.24444444444447</v>
      </c>
      <c r="BP77" s="781">
        <f>PPH_Data_Base28[[#This Row],[Total Evaporator  Coil Area]]*Naming!$D$61*6</f>
        <v>175.03200000000001</v>
      </c>
      <c r="BQ77" s="781">
        <f>$G$195*PPH_Data_Base28[[#This Row],[Total Evaporator  Coil Area]]</f>
        <v>386.09999999999997</v>
      </c>
      <c r="BR77" s="781">
        <f>$G$199*PPH_Data_Base28[[#This Row],[Total Evaporator  Coil Area]]</f>
        <v>583.43999999999994</v>
      </c>
      <c r="BS77" s="781">
        <f>$E$185*PPH_Data_Base28[[#This Row],[Total Evaporator  Coil Area]]</f>
        <v>1716</v>
      </c>
      <c r="BT77" s="781">
        <f>$E$188*PPH_Data_Base28[[#This Row],[Total Evaporator  Coil Area]]</f>
        <v>2402.4</v>
      </c>
      <c r="BU77" s="781">
        <f>$G$195*PPH_Data_Base28[[#This Row],[Total Condenser Coil Area]]</f>
        <v>1235</v>
      </c>
      <c r="BV77" s="781">
        <f>$G$199*PPH_Data_Base28[[#This Row],[Total Condenser Coil Area]]</f>
        <v>1866.2222222222222</v>
      </c>
      <c r="BW77" s="781">
        <f>$E$185*PPH_Data_Base28[[#This Row],[Total Condenser Coil Area]]</f>
        <v>5488.8888888888887</v>
      </c>
      <c r="BX77" s="781">
        <f>$E$188*PPH_Data_Base28[[#This Row],[Total Condenser Coil Area]]</f>
        <v>7684.4444444444453</v>
      </c>
      <c r="BY77" s="787">
        <v>603.14656143004049</v>
      </c>
      <c r="BZ77" s="876">
        <v>373.38612124932195</v>
      </c>
      <c r="CA77" s="876"/>
      <c r="CB77" s="876"/>
      <c r="CC77" s="876">
        <v>395.48022598870057</v>
      </c>
      <c r="CD77" s="876">
        <f t="shared" si="10"/>
        <v>170.46620618090401</v>
      </c>
      <c r="CE77" s="870">
        <v>20</v>
      </c>
      <c r="CF77" s="832">
        <v>0</v>
      </c>
      <c r="CG77" s="876">
        <f>PPH_Data_Base28[[#This Row],[PPH Unit Basic Price With Cu Tube]]*0.25</f>
        <v>23846.367487186322</v>
      </c>
      <c r="CH77" s="876">
        <f>PPH_Data_Base28[[#This Row],[DSP Unit Basic Price With Cu Tube]]*0.35</f>
        <v>22681.555542506394</v>
      </c>
      <c r="CI77" s="787">
        <v>713.52284915254245</v>
      </c>
      <c r="CJ77" s="787">
        <v>1038.1878305084747</v>
      </c>
      <c r="CK77" s="787">
        <v>148.76991016949154</v>
      </c>
      <c r="CL77" s="787">
        <f>110*1.35*PPH_Data_Base28[[#This Row],[No. of Unit  Compressors]]</f>
        <v>1188</v>
      </c>
      <c r="CM77" s="870">
        <v>406.77966101694921</v>
      </c>
      <c r="CN77" s="787">
        <v>1018.0790960451977</v>
      </c>
      <c r="CO77" s="876">
        <v>0</v>
      </c>
      <c r="CP77" s="787">
        <v>1714.1881807909606</v>
      </c>
      <c r="CQ77" s="876">
        <v>1105.7283395480224</v>
      </c>
      <c r="CR77" s="787">
        <v>430.98562118644065</v>
      </c>
      <c r="CS77" s="876">
        <v>8953.0621460593229</v>
      </c>
      <c r="CT77" s="787">
        <v>3460.4519774011301</v>
      </c>
      <c r="CU77" s="876">
        <v>1088.8978677966102</v>
      </c>
      <c r="CV77" s="876" t="s">
        <v>1208</v>
      </c>
      <c r="CW77" s="787">
        <f>400*1.35*PPH_Data_Base28[[#This Row],[No. of Unit  Compressors]]</f>
        <v>4320</v>
      </c>
      <c r="CX77" s="835"/>
      <c r="CY77" s="787">
        <f>47*PPH_Data_Base28[[#This Row],[No. of Unit  Compressors]]*1.35</f>
        <v>507.6</v>
      </c>
      <c r="CZ77" s="787">
        <f>30*1.35*PPH_Data_Base28[[#This Row],[NO Condenser Fans]]</f>
        <v>243</v>
      </c>
      <c r="DA77" s="787">
        <f>INDEX($B$136:$F$154,MATCH(PPH_Data_Base28[[#This Row],[STD Supply Fan Motor]],$B$136:$B$154,0),5)*PPH_Data_Base28[[#This Row],[Fan QTY]]</f>
        <v>199.14987598870056</v>
      </c>
      <c r="DB77" s="787">
        <f>47*1.35*PPH_Data_Base28[[#This Row],[No. of Unit  Compressors]]</f>
        <v>507.6</v>
      </c>
      <c r="DC77" s="787">
        <f>28*PPH_Data_Base28[[#This Row],[NO Condenser Fans]]</f>
        <v>168</v>
      </c>
      <c r="DD77" s="787">
        <f>INDEX($B$136:$F$154,MATCH(PPH_Data_Base28[[#This Row],[STD Supply Fan Motor]],$B$136:$B$154,0),3)*PPH_Data_Base28[[#This Row],[Fan QTY]]</f>
        <v>196.18043220338984</v>
      </c>
      <c r="DE77" s="876">
        <f>INDEX($B$114:$C$131,MATCH(PPH_Data_Base28[[#This Row],[Compressor 1 HP]],$B$114:$B$131,0),2)*PPH_Data_Base28[[#This Row],[Compressor 1 QTY]]+IFERROR(INDEX($B$114:$C$131,MATCH(PPH_Data_Base28[[#This Row],[Compressor 2 HP]],$B$114:$B$131,0),2)*PPH_Data_Base28[[#This Row],[Compressor 2 QTY]],0)</f>
        <v>891.4913333333335</v>
      </c>
      <c r="DF77" s="876">
        <f>40*PPH_Data_Base28[[#This Row],[NO Condenser Fans]]</f>
        <v>240</v>
      </c>
      <c r="DG77" s="876">
        <f>INDEX($B$136:$F$154,MATCH(PPH_Data_Base28[[#This Row],[STD Supply Fan Motor]],$B$136:$B$154,0),5)*PPH_Data_Base28[[#This Row],[Fan QTY]]</f>
        <v>199.14987598870056</v>
      </c>
      <c r="DH77" s="787">
        <v>1048.7288135593221</v>
      </c>
      <c r="DI77" s="787">
        <v>1398.3050847457628</v>
      </c>
      <c r="DJ77" s="876">
        <v>0</v>
      </c>
      <c r="DK77" s="876">
        <v>18800</v>
      </c>
      <c r="DL77" s="876">
        <v>3457</v>
      </c>
      <c r="DM77" s="876" t="s">
        <v>1208</v>
      </c>
      <c r="DN77" s="876" t="s">
        <v>1208</v>
      </c>
      <c r="DO77" s="876"/>
      <c r="DP77" s="876">
        <v>346.045197740113</v>
      </c>
      <c r="DQ77" s="876">
        <v>346.045197740113</v>
      </c>
      <c r="DR77" s="876">
        <v>346.045197740113</v>
      </c>
      <c r="DS77" s="876"/>
      <c r="DT77" s="876">
        <f>PPH_Data_Base28[[#This Row],[NO Condenser Fans]]*350</f>
        <v>2100</v>
      </c>
      <c r="DU77" s="876" t="s">
        <v>1208</v>
      </c>
      <c r="DV77" s="876">
        <f>150*PPH_Data_Base28[[#This Row],[NO Condenser Fans]]</f>
        <v>900</v>
      </c>
      <c r="DW77" s="787">
        <v>3029.6610169491528</v>
      </c>
      <c r="DX77" s="781">
        <v>250</v>
      </c>
      <c r="DY77" s="870">
        <v>700</v>
      </c>
      <c r="DZ77" s="876">
        <v>100</v>
      </c>
      <c r="EA77" s="876">
        <v>540</v>
      </c>
      <c r="EB77" s="876">
        <v>4.186805084745763</v>
      </c>
      <c r="EC77" s="876">
        <v>34.957627118644069</v>
      </c>
      <c r="ED77" s="876">
        <v>56.080321186440685</v>
      </c>
      <c r="EE77" s="876"/>
      <c r="EF77" s="876"/>
      <c r="EG77" s="876"/>
      <c r="EH77" s="876"/>
      <c r="EI77" s="876"/>
      <c r="EJ77" s="876"/>
      <c r="EK77" s="876"/>
      <c r="EL77" s="876"/>
      <c r="EM77" s="876"/>
      <c r="EN77" s="876"/>
      <c r="EO77" s="876"/>
      <c r="EP77" s="876"/>
      <c r="EQ77" s="876"/>
      <c r="ER77" s="876"/>
      <c r="ES77" s="876"/>
      <c r="ET77" s="876"/>
      <c r="EU77" s="876">
        <v>203</v>
      </c>
      <c r="EV77" s="870">
        <v>250</v>
      </c>
      <c r="EW77" s="847"/>
      <c r="EX77" s="787">
        <v>92.768903954802283</v>
      </c>
      <c r="EY77" s="787">
        <v>666.23951186440684</v>
      </c>
      <c r="EZ77" s="876">
        <v>38.418079096045197</v>
      </c>
      <c r="FA77" s="876">
        <v>40</v>
      </c>
      <c r="FB77" s="876">
        <v>40</v>
      </c>
      <c r="FC77" s="870">
        <v>24</v>
      </c>
      <c r="FD77" s="870">
        <v>24</v>
      </c>
      <c r="FE77" s="876">
        <v>39.548022598870062</v>
      </c>
      <c r="FF77" s="876">
        <v>182.90960451977404</v>
      </c>
      <c r="FG77" s="876">
        <v>1133.3333333333333</v>
      </c>
      <c r="FH77" s="876">
        <v>1508.378626494057</v>
      </c>
      <c r="FI77" s="876">
        <v>915.70734523914189</v>
      </c>
      <c r="FJ77" s="870">
        <v>26</v>
      </c>
      <c r="FK77" s="870">
        <f>PPH_Data_Base28[[#This Row],[Differential Pressure Switch]]*2</f>
        <v>52</v>
      </c>
      <c r="FL77" s="870">
        <v>42</v>
      </c>
      <c r="FM77" s="872">
        <f>PPH_Data_Base28[[#This Row],[STD PETRA DIAL DIFF.PRESS.GAUGE NOT DWYER]]*2</f>
        <v>84</v>
      </c>
      <c r="FN77" s="872"/>
      <c r="FO77" s="872">
        <f>PPH_Data_Base28[[#This Row],[Replaceble Filter Drier ]]</f>
        <v>1188</v>
      </c>
      <c r="FP77" s="872">
        <f>PPH_Data_Base28[[#This Row],[2" Pre-Filter]]*2</f>
        <v>645.33879961957643</v>
      </c>
      <c r="FQ77" s="872">
        <f>PPH_Data_Base28[[#This Row],[Bag Filter EU-8]]</f>
        <v>2515.7921440062291</v>
      </c>
      <c r="FR77" s="872"/>
      <c r="FS77" s="872">
        <v>30</v>
      </c>
      <c r="FT77" s="176"/>
      <c r="FU77" s="176"/>
      <c r="FV77" s="176"/>
      <c r="FW77" s="176"/>
      <c r="GW77" s="176"/>
      <c r="GX77" s="176"/>
      <c r="HC77" s="176"/>
    </row>
    <row r="78" spans="1:211">
      <c r="A78" s="789" t="s">
        <v>506</v>
      </c>
      <c r="B78" s="781" t="s">
        <v>1631</v>
      </c>
      <c r="C78" s="781" t="s">
        <v>541</v>
      </c>
      <c r="D78" s="870" t="s">
        <v>1691</v>
      </c>
      <c r="E78" s="870" t="s">
        <v>1632</v>
      </c>
      <c r="F78" s="870" t="s">
        <v>1632</v>
      </c>
      <c r="G78" s="851">
        <v>0</v>
      </c>
      <c r="H78" s="870" t="s">
        <v>2249</v>
      </c>
      <c r="I78" s="790" t="s">
        <v>774</v>
      </c>
      <c r="J78" s="790" t="s">
        <v>1612</v>
      </c>
      <c r="K78" s="790">
        <v>2</v>
      </c>
      <c r="L78" s="790" t="s">
        <v>567</v>
      </c>
      <c r="M78" s="790">
        <v>12</v>
      </c>
      <c r="N78" s="300">
        <v>2</v>
      </c>
      <c r="O78" s="790">
        <v>180.5</v>
      </c>
      <c r="P78" s="781">
        <v>85.8</v>
      </c>
      <c r="Q78" s="790">
        <v>2</v>
      </c>
      <c r="R78" s="781">
        <v>70</v>
      </c>
      <c r="S78" s="781">
        <v>1</v>
      </c>
      <c r="T78" s="781">
        <v>60</v>
      </c>
      <c r="U78" s="781">
        <v>1</v>
      </c>
      <c r="V78" s="781">
        <v>3220</v>
      </c>
      <c r="W78" s="781">
        <v>3312</v>
      </c>
      <c r="X78" s="870"/>
      <c r="Y78" s="835">
        <v>0</v>
      </c>
      <c r="Z78" s="791">
        <v>51952.700459362233</v>
      </c>
      <c r="AA78" s="791">
        <v>56487.622961286834</v>
      </c>
      <c r="AB78" s="870">
        <v>40112.816832135577</v>
      </c>
      <c r="AC78" s="834">
        <v>0</v>
      </c>
      <c r="AD78" s="790" t="s">
        <v>1613</v>
      </c>
      <c r="AE78" s="870" t="s">
        <v>1613</v>
      </c>
      <c r="AF78" s="870" t="s">
        <v>1613</v>
      </c>
      <c r="AG78" s="870" t="s">
        <v>1613</v>
      </c>
      <c r="AH78" s="790" t="s">
        <v>1208</v>
      </c>
      <c r="AI78" s="783" t="s">
        <v>1208</v>
      </c>
      <c r="AJ78" s="783" t="s">
        <v>1208</v>
      </c>
      <c r="AK78" s="783" t="s">
        <v>1208</v>
      </c>
      <c r="AL78" s="870">
        <f>PPH_Data_Base28[[#This Row],[PPH Unit Basic Price With Cu Tube]]*0.05</f>
        <v>2824.3811480643417</v>
      </c>
      <c r="AM78" s="790">
        <v>624.71364296186437</v>
      </c>
      <c r="AN78" s="790"/>
      <c r="AO78" s="790"/>
      <c r="AP78" s="790">
        <v>1161</v>
      </c>
      <c r="AQ78" s="790">
        <v>978.75000000000011</v>
      </c>
      <c r="AR78" s="790">
        <v>557.55000000000007</v>
      </c>
      <c r="AS78" s="790">
        <v>2388.3152732099857</v>
      </c>
      <c r="AT78" s="790">
        <v>5382.0389004128137</v>
      </c>
      <c r="AU78" s="790">
        <v>254.39204806737291</v>
      </c>
      <c r="AV78" s="790">
        <v>2064.8229760922741</v>
      </c>
      <c r="AW78" s="870"/>
      <c r="AX78" s="870">
        <v>725</v>
      </c>
      <c r="AY78" s="870">
        <v>8374.8274661440701</v>
      </c>
      <c r="AZ78" s="870">
        <v>3031.5747094226699</v>
      </c>
      <c r="BA78" s="870"/>
      <c r="BB78" s="870">
        <f>PPH_Data_Base28[[#This Row],[PPH Unit Basic Price With Cu Tube]]*0.1</f>
        <v>5648.7622961286834</v>
      </c>
      <c r="BC78" s="870">
        <v>1008.5832019361114</v>
      </c>
      <c r="BD78" s="870">
        <v>2017.1664038722229</v>
      </c>
      <c r="BE78" s="870">
        <v>672.38880129074096</v>
      </c>
      <c r="BF78" s="870">
        <v>672.38880129074096</v>
      </c>
      <c r="BG78" s="870">
        <v>672.38880129074096</v>
      </c>
      <c r="BH78" s="870">
        <f>PPH_Data_Base28[[#This Row],[PPH Unit Basic Price With Cu Tube]]*0.075</f>
        <v>4236.5717220965125</v>
      </c>
      <c r="BI78" s="870">
        <v>2017.1664038722229</v>
      </c>
      <c r="BJ78" s="870">
        <v>672.38880129074096</v>
      </c>
      <c r="BK78" s="870">
        <v>672.38880129074096</v>
      </c>
      <c r="BL78" s="870">
        <v>672.38880129074096</v>
      </c>
      <c r="BM78" s="781">
        <f>PPH_Data_Base28[[#This Row],[Total Condenser Coil Area]]*Naming!$M$62*4</f>
        <v>16172.8</v>
      </c>
      <c r="BN78" s="781">
        <f>PPH_Data_Base28[[#This Row],[Total Evaporator  Coil Area]]*Naming!$M$62*4</f>
        <v>7687.6799999999994</v>
      </c>
      <c r="BO78" s="781">
        <f>PPH_Data_Base28[[#This Row],[Total Condenser Coil Area]]*Naming!$D$61*4</f>
        <v>245.48000000000002</v>
      </c>
      <c r="BP78" s="781">
        <f>PPH_Data_Base28[[#This Row],[Total Evaporator  Coil Area]]*Naming!$D$61*6</f>
        <v>175.03200000000001</v>
      </c>
      <c r="BQ78" s="781">
        <f>$G$195*PPH_Data_Base28[[#This Row],[Total Evaporator  Coil Area]]</f>
        <v>386.09999999999997</v>
      </c>
      <c r="BR78" s="781">
        <f>$G$199*PPH_Data_Base28[[#This Row],[Total Evaporator  Coil Area]]</f>
        <v>583.43999999999994</v>
      </c>
      <c r="BS78" s="781">
        <f>$E$185*PPH_Data_Base28[[#This Row],[Total Evaporator  Coil Area]]</f>
        <v>1716</v>
      </c>
      <c r="BT78" s="781">
        <f>$E$188*PPH_Data_Base28[[#This Row],[Total Evaporator  Coil Area]]</f>
        <v>2402.4</v>
      </c>
      <c r="BU78" s="781">
        <f>$G$195*PPH_Data_Base28[[#This Row],[Total Condenser Coil Area]]</f>
        <v>812.25</v>
      </c>
      <c r="BV78" s="781">
        <f>$G$199*PPH_Data_Base28[[#This Row],[Total Condenser Coil Area]]</f>
        <v>1227.3999999999999</v>
      </c>
      <c r="BW78" s="781">
        <f>$E$185*PPH_Data_Base28[[#This Row],[Total Condenser Coil Area]]</f>
        <v>3610</v>
      </c>
      <c r="BX78" s="781">
        <f>$E$188*PPH_Data_Base28[[#This Row],[Total Condenser Coil Area]]</f>
        <v>5054</v>
      </c>
      <c r="BY78" s="790">
        <v>646.12309237688157</v>
      </c>
      <c r="BZ78" s="870">
        <v>427.33008755084757</v>
      </c>
      <c r="CA78" s="870"/>
      <c r="CB78" s="870"/>
      <c r="CC78" s="870">
        <v>310.73446327683615</v>
      </c>
      <c r="CD78" s="870">
        <f>PPH_Data_Base28[[#This Row],[PPH Unit Basic Price With Cu Tube]]*0.03</f>
        <v>1694.6286888386051</v>
      </c>
      <c r="CE78" s="870">
        <v>20</v>
      </c>
      <c r="CF78" s="832">
        <v>0</v>
      </c>
      <c r="CG78" s="1058">
        <f>PPH_Data_Base28[[#This Row],[PPH Unit Basic Price With Cu Tube]]*0.25</f>
        <v>14121.905740321708</v>
      </c>
      <c r="CH78" s="1058">
        <f>PPH_Data_Base28[[#This Row],[DSP Unit Basic Price With Cu Tube]]*0.35</f>
        <v>14039.485891247452</v>
      </c>
      <c r="CI78" s="790">
        <v>555.74815254237308</v>
      </c>
      <c r="CJ78" s="790">
        <v>864.40677966101703</v>
      </c>
      <c r="CK78" s="790">
        <v>115.2542372881356</v>
      </c>
      <c r="CL78" s="781">
        <f>110*1.35*PPH_Data_Base28[[#This Row],[No. of Unit  Compressors]]</f>
        <v>297</v>
      </c>
      <c r="CM78" s="870">
        <v>305.08474576271192</v>
      </c>
      <c r="CN78" s="781">
        <v>533.89830508474574</v>
      </c>
      <c r="CO78" s="870">
        <v>0</v>
      </c>
      <c r="CP78" s="781">
        <v>2534</v>
      </c>
      <c r="CQ78" s="870">
        <v>3088</v>
      </c>
      <c r="CR78" s="781">
        <v>583.34286751412446</v>
      </c>
      <c r="CS78" s="870">
        <v>11346.810616384184</v>
      </c>
      <c r="CT78" s="781" t="s">
        <v>1208</v>
      </c>
      <c r="CU78" s="870">
        <v>866.73311440677992</v>
      </c>
      <c r="CV78" s="870" t="s">
        <v>1208</v>
      </c>
      <c r="CW78" s="781">
        <f>400*1.35*PPH_Data_Base28[[#This Row],[No. of Unit  Compressors]]</f>
        <v>1080</v>
      </c>
      <c r="CX78" s="835"/>
      <c r="CY78" s="790">
        <f>47*PPH_Data_Base28[[#This Row],[No. of Unit  Compressors]]*1.35</f>
        <v>126.9</v>
      </c>
      <c r="CZ78" s="790">
        <f>30*1.35*PPH_Data_Base28[[#This Row],[NO Condenser Fans]]</f>
        <v>81</v>
      </c>
      <c r="DA78" s="781">
        <f>INDEX($B$136:$F$154,MATCH(PPH_Data_Base28[[#This Row],[STD Supply Fan Motor]],$B$136:$B$154,0),5)*PPH_Data_Base28[[#This Row],[Fan QTY]]</f>
        <v>187.95951073446332</v>
      </c>
      <c r="DB78" s="790">
        <f>47*1.35*PPH_Data_Base28[[#This Row],[No. of Unit  Compressors]]</f>
        <v>126.9</v>
      </c>
      <c r="DC78" s="871">
        <f>28*PPH_Data_Base28[[#This Row],[NO Condenser Fans]]</f>
        <v>56</v>
      </c>
      <c r="DD78" s="781">
        <f>INDEX($B$136:$F$154,MATCH(PPH_Data_Base28[[#This Row],[STD Supply Fan Motor]],$B$136:$B$154,0),3)*PPH_Data_Base28[[#This Row],[Fan QTY]]</f>
        <v>91.494187288135592</v>
      </c>
      <c r="DE78" s="870"/>
      <c r="DF78" s="870">
        <f>43*PPH_Data_Base28[[#This Row],[NO Condenser Fans]]</f>
        <v>86</v>
      </c>
      <c r="DG78" s="870">
        <f>INDEX($B$136:$F$154,MATCH(PPH_Data_Base28[[#This Row],[STD Supply Fan Motor]],$B$136:$B$154,0),5)*PPH_Data_Base28[[#This Row],[Fan QTY]]</f>
        <v>187.95951073446332</v>
      </c>
      <c r="DH78" s="790">
        <v>960.45197740112997</v>
      </c>
      <c r="DI78" s="790">
        <v>576.27118644067798</v>
      </c>
      <c r="DJ78" s="870">
        <v>8116</v>
      </c>
      <c r="DK78" s="870">
        <v>15267</v>
      </c>
      <c r="DL78" s="870">
        <v>2840</v>
      </c>
      <c r="DM78" s="870" t="s">
        <v>1208</v>
      </c>
      <c r="DN78" s="870" t="s">
        <v>1692</v>
      </c>
      <c r="DO78" s="870"/>
      <c r="DP78" s="870">
        <v>346.045197740113</v>
      </c>
      <c r="DQ78" s="870">
        <v>346.045197740113</v>
      </c>
      <c r="DR78" s="870">
        <v>346.045197740113</v>
      </c>
      <c r="DS78" s="870"/>
      <c r="DT78" s="870">
        <f>PPH_Data_Base28[[#This Row],[NO Condenser Fans]]*350</f>
        <v>700</v>
      </c>
      <c r="DU78" s="870" t="s">
        <v>1208</v>
      </c>
      <c r="DV78" s="870">
        <f>150*PPH_Data_Base28[[#This Row],[NO Condenser Fans]]</f>
        <v>300</v>
      </c>
      <c r="DW78" s="781">
        <v>2341.101694915254</v>
      </c>
      <c r="DX78" s="781">
        <v>250</v>
      </c>
      <c r="DY78" s="870">
        <v>700</v>
      </c>
      <c r="DZ78" s="870"/>
      <c r="EA78" s="870"/>
      <c r="EB78" s="870"/>
      <c r="EC78" s="870"/>
      <c r="ED78" s="870"/>
      <c r="EE78" s="870"/>
      <c r="EF78" s="870"/>
      <c r="EG78" s="870"/>
      <c r="EH78" s="870"/>
      <c r="EI78" s="870"/>
      <c r="EJ78" s="870"/>
      <c r="EK78" s="870"/>
      <c r="EL78" s="870"/>
      <c r="EM78" s="870"/>
      <c r="EN78" s="870"/>
      <c r="EO78" s="870"/>
      <c r="EP78" s="870"/>
      <c r="EQ78" s="870"/>
      <c r="ER78" s="870"/>
      <c r="ES78" s="870"/>
      <c r="ET78" s="870"/>
      <c r="EU78" s="870"/>
      <c r="EV78" s="870"/>
      <c r="EW78" s="847"/>
      <c r="EX78" s="781">
        <v>82.932070056497167</v>
      </c>
      <c r="EY78" s="781">
        <v>997.34305310734476</v>
      </c>
      <c r="EZ78" s="870">
        <v>50.847457627118651</v>
      </c>
      <c r="FA78" s="870">
        <v>40</v>
      </c>
      <c r="FB78" s="870">
        <v>40</v>
      </c>
      <c r="FC78" s="870">
        <v>24</v>
      </c>
      <c r="FD78" s="870">
        <v>24</v>
      </c>
      <c r="FE78" s="870">
        <v>127.11864406779662</v>
      </c>
      <c r="FF78" s="870">
        <v>209.03954802259889</v>
      </c>
      <c r="FG78" s="870">
        <v>1700</v>
      </c>
      <c r="FH78" s="870"/>
      <c r="FI78" s="870"/>
      <c r="FJ78" s="870"/>
      <c r="FK78" s="870">
        <f>PPH_Data_Base28[[#This Row],[Differential Pressure Switch]]*2</f>
        <v>0</v>
      </c>
      <c r="FL78" s="870"/>
      <c r="FM78" s="872"/>
      <c r="FN78" s="872"/>
      <c r="FO78" s="872">
        <f>PPH_Data_Base28[[#This Row],[Replaceble Filter Drier ]]</f>
        <v>297</v>
      </c>
      <c r="FP78" s="872">
        <f>PPH_Data_Base28[[#This Row],[2" Pre-Filter]]*2</f>
        <v>508.78409613474582</v>
      </c>
      <c r="FQ78" s="872">
        <f>PPH_Data_Base28[[#This Row],[Bag Filter EU-8]]</f>
        <v>2064.8229760922741</v>
      </c>
      <c r="FR78" s="872"/>
      <c r="FS78" s="872">
        <v>30</v>
      </c>
      <c r="FT78" s="176"/>
      <c r="FU78" s="176"/>
      <c r="FV78" s="176"/>
      <c r="FW78" s="176"/>
      <c r="GW78" s="176"/>
      <c r="GX78" s="176"/>
      <c r="HC78" s="176"/>
    </row>
    <row r="79" spans="1:211">
      <c r="A79" s="789" t="s">
        <v>507</v>
      </c>
      <c r="B79" s="781" t="s">
        <v>1634</v>
      </c>
      <c r="C79" s="781" t="s">
        <v>542</v>
      </c>
      <c r="D79" s="870" t="s">
        <v>1693</v>
      </c>
      <c r="E79" s="870" t="s">
        <v>1635</v>
      </c>
      <c r="F79" s="870" t="s">
        <v>1635</v>
      </c>
      <c r="G79" s="851">
        <v>0</v>
      </c>
      <c r="H79" s="870" t="s">
        <v>2249</v>
      </c>
      <c r="I79" s="790" t="s">
        <v>868</v>
      </c>
      <c r="J79" s="790" t="s">
        <v>1612</v>
      </c>
      <c r="K79" s="790">
        <v>2</v>
      </c>
      <c r="L79" s="790" t="s">
        <v>567</v>
      </c>
      <c r="M79" s="790">
        <v>12</v>
      </c>
      <c r="N79" s="300">
        <v>2</v>
      </c>
      <c r="O79" s="790">
        <v>197.38888888888889</v>
      </c>
      <c r="P79" s="781">
        <v>85.8</v>
      </c>
      <c r="Q79" s="790">
        <v>2</v>
      </c>
      <c r="R79" s="781">
        <v>70</v>
      </c>
      <c r="S79" s="781">
        <v>2</v>
      </c>
      <c r="T79" s="781"/>
      <c r="U79" s="781"/>
      <c r="V79" s="781">
        <v>4226</v>
      </c>
      <c r="W79" s="781">
        <v>3312</v>
      </c>
      <c r="X79" s="870"/>
      <c r="Y79" s="835">
        <v>0</v>
      </c>
      <c r="Z79" s="791">
        <v>55137.495747621353</v>
      </c>
      <c r="AA79" s="791">
        <v>60816.099426819841</v>
      </c>
      <c r="AB79" s="870">
        <v>42274.489200247663</v>
      </c>
      <c r="AC79" s="834">
        <v>0</v>
      </c>
      <c r="AD79" s="790" t="s">
        <v>1613</v>
      </c>
      <c r="AE79" s="870" t="s">
        <v>1613</v>
      </c>
      <c r="AF79" s="870" t="s">
        <v>1613</v>
      </c>
      <c r="AG79" s="870" t="s">
        <v>1613</v>
      </c>
      <c r="AH79" s="790" t="s">
        <v>1208</v>
      </c>
      <c r="AI79" s="783" t="s">
        <v>1208</v>
      </c>
      <c r="AJ79" s="783" t="s">
        <v>1208</v>
      </c>
      <c r="AK79" s="783" t="s">
        <v>1208</v>
      </c>
      <c r="AL79" s="870">
        <f>PPH_Data_Base28[[#This Row],[PPH Unit Basic Price With Cu Tube]]*0.05</f>
        <v>3040.8049713409923</v>
      </c>
      <c r="AM79" s="790">
        <v>624.71364296186437</v>
      </c>
      <c r="AN79" s="790"/>
      <c r="AO79" s="790"/>
      <c r="AP79" s="790">
        <v>1161</v>
      </c>
      <c r="AQ79" s="790">
        <v>978.75000000000011</v>
      </c>
      <c r="AR79" s="790">
        <v>557.55000000000007</v>
      </c>
      <c r="AS79" s="790">
        <v>2388.3152732099857</v>
      </c>
      <c r="AT79" s="790">
        <v>5382.0389004128137</v>
      </c>
      <c r="AU79" s="790">
        <v>254.39204806737291</v>
      </c>
      <c r="AV79" s="790">
        <v>2064.8229760922741</v>
      </c>
      <c r="AW79" s="870"/>
      <c r="AX79" s="870">
        <v>725</v>
      </c>
      <c r="AY79" s="870">
        <v>8374.8274661440701</v>
      </c>
      <c r="AZ79" s="870">
        <v>3031.5747094226699</v>
      </c>
      <c r="BA79" s="870"/>
      <c r="BB79" s="870">
        <f>PPH_Data_Base28[[#This Row],[PPH Unit Basic Price With Cu Tube]]*0.1</f>
        <v>6081.6099426819846</v>
      </c>
      <c r="BC79" s="870">
        <v>1068.9128377712598</v>
      </c>
      <c r="BD79" s="870">
        <v>2137.8256755425195</v>
      </c>
      <c r="BE79" s="870">
        <v>712.60855851417318</v>
      </c>
      <c r="BF79" s="870">
        <v>712.60855851417318</v>
      </c>
      <c r="BG79" s="870">
        <v>712.60855851417318</v>
      </c>
      <c r="BH79" s="870">
        <f>PPH_Data_Base28[[#This Row],[PPH Unit Basic Price With Cu Tube]]*0.075</f>
        <v>4561.2074570114883</v>
      </c>
      <c r="BI79" s="870">
        <v>2137.8256755425195</v>
      </c>
      <c r="BJ79" s="870">
        <v>712.60855851417318</v>
      </c>
      <c r="BK79" s="870">
        <v>712.60855851417318</v>
      </c>
      <c r="BL79" s="870">
        <v>712.60855851417318</v>
      </c>
      <c r="BM79" s="781">
        <f>PPH_Data_Base28[[#This Row],[Total Condenser Coil Area]]*Naming!$M$62*4</f>
        <v>17686.044444444444</v>
      </c>
      <c r="BN79" s="781">
        <f>PPH_Data_Base28[[#This Row],[Total Evaporator  Coil Area]]*Naming!$M$62*4</f>
        <v>7687.6799999999994</v>
      </c>
      <c r="BO79" s="781">
        <f>PPH_Data_Base28[[#This Row],[Total Condenser Coil Area]]*Naming!$D$61*4</f>
        <v>268.44888888888892</v>
      </c>
      <c r="BP79" s="781">
        <f>PPH_Data_Base28[[#This Row],[Total Evaporator  Coil Area]]*Naming!$D$61*6</f>
        <v>175.03200000000001</v>
      </c>
      <c r="BQ79" s="781">
        <f>$G$195*PPH_Data_Base28[[#This Row],[Total Evaporator  Coil Area]]</f>
        <v>386.09999999999997</v>
      </c>
      <c r="BR79" s="781">
        <f>$G$199*PPH_Data_Base28[[#This Row],[Total Evaporator  Coil Area]]</f>
        <v>583.43999999999994</v>
      </c>
      <c r="BS79" s="781">
        <f>$E$185*PPH_Data_Base28[[#This Row],[Total Evaporator  Coil Area]]</f>
        <v>1716</v>
      </c>
      <c r="BT79" s="781">
        <f>$E$188*PPH_Data_Base28[[#This Row],[Total Evaporator  Coil Area]]</f>
        <v>2402.4</v>
      </c>
      <c r="BU79" s="781">
        <f>$G$195*PPH_Data_Base28[[#This Row],[Total Condenser Coil Area]]</f>
        <v>888.25</v>
      </c>
      <c r="BV79" s="781">
        <f>$G$199*PPH_Data_Base28[[#This Row],[Total Condenser Coil Area]]</f>
        <v>1342.2444444444443</v>
      </c>
      <c r="BW79" s="781">
        <f>$E$185*PPH_Data_Base28[[#This Row],[Total Condenser Coil Area]]</f>
        <v>3947.7777777777778</v>
      </c>
      <c r="BX79" s="781">
        <f>$E$188*PPH_Data_Base28[[#This Row],[Total Condenser Coil Area]]</f>
        <v>5526.8888888888887</v>
      </c>
      <c r="BY79" s="790">
        <v>646.12309237688157</v>
      </c>
      <c r="BZ79" s="870">
        <v>427.33008755084757</v>
      </c>
      <c r="CA79" s="870"/>
      <c r="CB79" s="870"/>
      <c r="CC79" s="870">
        <v>310.73446327683615</v>
      </c>
      <c r="CD79" s="870">
        <f>PPH_Data_Base28[[#This Row],[PPH Unit Basic Price With Cu Tube]]*0.03</f>
        <v>1824.4829828045952</v>
      </c>
      <c r="CE79" s="870">
        <v>20</v>
      </c>
      <c r="CF79" s="832">
        <v>0</v>
      </c>
      <c r="CG79" s="1058">
        <f>PPH_Data_Base28[[#This Row],[PPH Unit Basic Price With Cu Tube]]*0.25</f>
        <v>15204.02485670496</v>
      </c>
      <c r="CH79" s="1058">
        <f>PPH_Data_Base28[[#This Row],[DSP Unit Basic Price With Cu Tube]]*0.35</f>
        <v>14796.07122008668</v>
      </c>
      <c r="CI79" s="790">
        <v>555.74815254237308</v>
      </c>
      <c r="CJ79" s="790">
        <v>864.40677966101703</v>
      </c>
      <c r="CK79" s="790">
        <v>115.2542372881356</v>
      </c>
      <c r="CL79" s="781">
        <f>110*1.35*PPH_Data_Base28[[#This Row],[No. of Unit  Compressors]]</f>
        <v>297</v>
      </c>
      <c r="CM79" s="870">
        <v>305.08474576271192</v>
      </c>
      <c r="CN79" s="781">
        <v>533.89830508474574</v>
      </c>
      <c r="CO79" s="870">
        <v>0</v>
      </c>
      <c r="CP79" s="781">
        <v>2534</v>
      </c>
      <c r="CQ79" s="870">
        <v>3905</v>
      </c>
      <c r="CR79" s="781">
        <v>583.34286751412446</v>
      </c>
      <c r="CS79" s="870">
        <v>12739.91195225989</v>
      </c>
      <c r="CT79" s="781" t="s">
        <v>1208</v>
      </c>
      <c r="CU79" s="870">
        <v>866.73311440677992</v>
      </c>
      <c r="CV79" s="870" t="s">
        <v>1208</v>
      </c>
      <c r="CW79" s="781">
        <f>400*1.35*PPH_Data_Base28[[#This Row],[No. of Unit  Compressors]]</f>
        <v>1080</v>
      </c>
      <c r="CX79" s="835"/>
      <c r="CY79" s="790">
        <f>47*PPH_Data_Base28[[#This Row],[No. of Unit  Compressors]]*1.35</f>
        <v>126.9</v>
      </c>
      <c r="CZ79" s="790">
        <f>30*1.35*PPH_Data_Base28[[#This Row],[NO Condenser Fans]]</f>
        <v>81</v>
      </c>
      <c r="DA79" s="781">
        <f>INDEX($B$136:$F$154,MATCH(PPH_Data_Base28[[#This Row],[STD Supply Fan Motor]],$B$136:$B$154,0),5)*PPH_Data_Base28[[#This Row],[Fan QTY]]</f>
        <v>187.95951073446332</v>
      </c>
      <c r="DB79" s="790">
        <f>47*1.35*PPH_Data_Base28[[#This Row],[No. of Unit  Compressors]]</f>
        <v>126.9</v>
      </c>
      <c r="DC79" s="871">
        <f>28*PPH_Data_Base28[[#This Row],[NO Condenser Fans]]</f>
        <v>56</v>
      </c>
      <c r="DD79" s="781">
        <f>INDEX($B$136:$F$154,MATCH(PPH_Data_Base28[[#This Row],[STD Supply Fan Motor]],$B$136:$B$154,0),3)*PPH_Data_Base28[[#This Row],[Fan QTY]]</f>
        <v>91.494187288135592</v>
      </c>
      <c r="DE79" s="870"/>
      <c r="DF79" s="870">
        <f>43*PPH_Data_Base28[[#This Row],[NO Condenser Fans]]</f>
        <v>86</v>
      </c>
      <c r="DG79" s="870">
        <f>INDEX($B$136:$F$154,MATCH(PPH_Data_Base28[[#This Row],[STD Supply Fan Motor]],$B$136:$B$154,0),5)*PPH_Data_Base28[[#This Row],[Fan QTY]]</f>
        <v>187.95951073446332</v>
      </c>
      <c r="DH79" s="790">
        <v>960.45197740112997</v>
      </c>
      <c r="DI79" s="790">
        <v>576.27118644067798</v>
      </c>
      <c r="DJ79" s="870">
        <v>8116</v>
      </c>
      <c r="DK79" s="870">
        <v>16232</v>
      </c>
      <c r="DL79" s="870">
        <v>2840</v>
      </c>
      <c r="DM79" s="870" t="s">
        <v>1208</v>
      </c>
      <c r="DN79" s="870" t="s">
        <v>1692</v>
      </c>
      <c r="DO79" s="870"/>
      <c r="DP79" s="870">
        <v>346.045197740113</v>
      </c>
      <c r="DQ79" s="870">
        <v>346.045197740113</v>
      </c>
      <c r="DR79" s="870">
        <v>346.045197740113</v>
      </c>
      <c r="DS79" s="870"/>
      <c r="DT79" s="870">
        <f>PPH_Data_Base28[[#This Row],[NO Condenser Fans]]*350</f>
        <v>700</v>
      </c>
      <c r="DU79" s="870" t="s">
        <v>1208</v>
      </c>
      <c r="DV79" s="870">
        <f>150*PPH_Data_Base28[[#This Row],[NO Condenser Fans]]</f>
        <v>300</v>
      </c>
      <c r="DW79" s="781">
        <v>2341.101694915254</v>
      </c>
      <c r="DX79" s="781">
        <v>250</v>
      </c>
      <c r="DY79" s="870">
        <v>700</v>
      </c>
      <c r="DZ79" s="870"/>
      <c r="EA79" s="870"/>
      <c r="EB79" s="870"/>
      <c r="EC79" s="870"/>
      <c r="ED79" s="870"/>
      <c r="EE79" s="870"/>
      <c r="EF79" s="870"/>
      <c r="EG79" s="870"/>
      <c r="EH79" s="870"/>
      <c r="EI79" s="870"/>
      <c r="EJ79" s="870"/>
      <c r="EK79" s="870"/>
      <c r="EL79" s="870"/>
      <c r="EM79" s="870"/>
      <c r="EN79" s="870"/>
      <c r="EO79" s="870"/>
      <c r="EP79" s="870"/>
      <c r="EQ79" s="870"/>
      <c r="ER79" s="870"/>
      <c r="ES79" s="870"/>
      <c r="ET79" s="870"/>
      <c r="EU79" s="870"/>
      <c r="EV79" s="870"/>
      <c r="EW79" s="847"/>
      <c r="EX79" s="781">
        <v>82.932070056497167</v>
      </c>
      <c r="EY79" s="781">
        <v>997.34305310734476</v>
      </c>
      <c r="EZ79" s="870">
        <v>50.847457627118651</v>
      </c>
      <c r="FA79" s="870">
        <v>40</v>
      </c>
      <c r="FB79" s="870">
        <v>40</v>
      </c>
      <c r="FC79" s="870">
        <v>24</v>
      </c>
      <c r="FD79" s="870">
        <v>24</v>
      </c>
      <c r="FE79" s="870">
        <v>127.11864406779662</v>
      </c>
      <c r="FF79" s="870">
        <v>209.03954802259889</v>
      </c>
      <c r="FG79" s="870">
        <v>1700</v>
      </c>
      <c r="FH79" s="870"/>
      <c r="FI79" s="870"/>
      <c r="FJ79" s="870"/>
      <c r="FK79" s="870">
        <f>PPH_Data_Base28[[#This Row],[Differential Pressure Switch]]*2</f>
        <v>0</v>
      </c>
      <c r="FL79" s="870"/>
      <c r="FM79" s="872"/>
      <c r="FN79" s="872"/>
      <c r="FO79" s="872">
        <f>PPH_Data_Base28[[#This Row],[Replaceble Filter Drier ]]</f>
        <v>297</v>
      </c>
      <c r="FP79" s="872">
        <f>PPH_Data_Base28[[#This Row],[2" Pre-Filter]]*2</f>
        <v>508.78409613474582</v>
      </c>
      <c r="FQ79" s="872">
        <f>PPH_Data_Base28[[#This Row],[Bag Filter EU-8]]</f>
        <v>2064.8229760922741</v>
      </c>
      <c r="FR79" s="872"/>
      <c r="FS79" s="872">
        <v>30</v>
      </c>
      <c r="FT79" s="176"/>
      <c r="FU79" s="176"/>
      <c r="FV79" s="176"/>
      <c r="FW79" s="176"/>
      <c r="GW79" s="176"/>
      <c r="GX79" s="176"/>
      <c r="HC79" s="176"/>
    </row>
    <row r="80" spans="1:211">
      <c r="A80" s="789" t="s">
        <v>508</v>
      </c>
      <c r="B80" s="781" t="s">
        <v>1637</v>
      </c>
      <c r="C80" s="781" t="s">
        <v>543</v>
      </c>
      <c r="D80" s="870" t="s">
        <v>1694</v>
      </c>
      <c r="E80" s="870" t="s">
        <v>1638</v>
      </c>
      <c r="F80" s="870" t="s">
        <v>1638</v>
      </c>
      <c r="G80" s="851">
        <v>0</v>
      </c>
      <c r="H80" s="870" t="s">
        <v>2249</v>
      </c>
      <c r="I80" s="790" t="s">
        <v>868</v>
      </c>
      <c r="J80" s="790" t="s">
        <v>1624</v>
      </c>
      <c r="K80" s="790">
        <v>2</v>
      </c>
      <c r="L80" s="790" t="s">
        <v>567</v>
      </c>
      <c r="M80" s="790">
        <v>12</v>
      </c>
      <c r="N80" s="300">
        <v>2</v>
      </c>
      <c r="O80" s="790">
        <v>205.83333333333334</v>
      </c>
      <c r="P80" s="781">
        <v>85.8</v>
      </c>
      <c r="Q80" s="790">
        <v>3</v>
      </c>
      <c r="R80" s="781">
        <v>55</v>
      </c>
      <c r="S80" s="781">
        <v>3</v>
      </c>
      <c r="T80" s="781"/>
      <c r="U80" s="781"/>
      <c r="V80" s="781">
        <v>4226</v>
      </c>
      <c r="W80" s="781">
        <v>4306</v>
      </c>
      <c r="X80" s="870"/>
      <c r="Y80" s="835">
        <v>0</v>
      </c>
      <c r="Z80" s="791">
        <v>66631.878581010882</v>
      </c>
      <c r="AA80" s="791">
        <v>72210.543317934265</v>
      </c>
      <c r="AB80" s="870">
        <v>50040.302767390494</v>
      </c>
      <c r="AC80" s="834">
        <v>0</v>
      </c>
      <c r="AD80" s="790" t="s">
        <v>1613</v>
      </c>
      <c r="AE80" s="870" t="s">
        <v>1613</v>
      </c>
      <c r="AF80" s="870" t="s">
        <v>1613</v>
      </c>
      <c r="AG80" s="870" t="s">
        <v>1613</v>
      </c>
      <c r="AH80" s="790" t="s">
        <v>1208</v>
      </c>
      <c r="AI80" s="783" t="s">
        <v>1208</v>
      </c>
      <c r="AJ80" s="783" t="s">
        <v>1208</v>
      </c>
      <c r="AK80" s="783" t="s">
        <v>1208</v>
      </c>
      <c r="AL80" s="870">
        <f>PPH_Data_Base28[[#This Row],[PPH Unit Basic Price With Cu Tube]]*0.05</f>
        <v>3610.5271658967135</v>
      </c>
      <c r="AM80" s="790">
        <v>624.71364296186437</v>
      </c>
      <c r="AN80" s="790"/>
      <c r="AO80" s="790"/>
      <c r="AP80" s="790">
        <v>1161</v>
      </c>
      <c r="AQ80" s="790">
        <v>978.75000000000011</v>
      </c>
      <c r="AR80" s="790">
        <v>557.55000000000007</v>
      </c>
      <c r="AS80" s="790">
        <v>2341.5214091389903</v>
      </c>
      <c r="AT80" s="790">
        <v>5307.1687178992197</v>
      </c>
      <c r="AU80" s="790">
        <v>254.39204806737291</v>
      </c>
      <c r="AV80" s="790">
        <v>2064.8229760922741</v>
      </c>
      <c r="AW80" s="870"/>
      <c r="AX80" s="870">
        <v>725</v>
      </c>
      <c r="AY80" s="870">
        <v>8374.8274661440701</v>
      </c>
      <c r="AZ80" s="870">
        <v>3031.5747094226699</v>
      </c>
      <c r="BA80" s="870"/>
      <c r="BB80" s="870">
        <f>PPH_Data_Base28[[#This Row],[PPH Unit Basic Price With Cu Tube]]*0.1</f>
        <v>7221.0543317934271</v>
      </c>
      <c r="BC80" s="870">
        <v>1128.5472530459419</v>
      </c>
      <c r="BD80" s="870">
        <v>2257.0945060918839</v>
      </c>
      <c r="BE80" s="870">
        <v>752.36483536396133</v>
      </c>
      <c r="BF80" s="870">
        <v>752.36483536396133</v>
      </c>
      <c r="BG80" s="870">
        <v>752.36483536396133</v>
      </c>
      <c r="BH80" s="870">
        <f>PPH_Data_Base28[[#This Row],[PPH Unit Basic Price With Cu Tube]]*0.075</f>
        <v>5415.7907488450701</v>
      </c>
      <c r="BI80" s="870">
        <v>2257.0945060918839</v>
      </c>
      <c r="BJ80" s="870">
        <v>752.36483536396133</v>
      </c>
      <c r="BK80" s="870">
        <v>752.36483536396133</v>
      </c>
      <c r="BL80" s="870">
        <v>752.36483536396133</v>
      </c>
      <c r="BM80" s="781">
        <f>PPH_Data_Base28[[#This Row],[Total Condenser Coil Area]]*Naming!$M$62*4</f>
        <v>18442.666666666668</v>
      </c>
      <c r="BN80" s="781">
        <f>PPH_Data_Base28[[#This Row],[Total Evaporator  Coil Area]]*Naming!$M$62*4</f>
        <v>7687.6799999999994</v>
      </c>
      <c r="BO80" s="781">
        <f>PPH_Data_Base28[[#This Row],[Total Condenser Coil Area]]*Naming!$D$61*4</f>
        <v>279.93333333333339</v>
      </c>
      <c r="BP80" s="781">
        <f>PPH_Data_Base28[[#This Row],[Total Evaporator  Coil Area]]*Naming!$D$61*6</f>
        <v>175.03200000000001</v>
      </c>
      <c r="BQ80" s="781">
        <f>$G$195*PPH_Data_Base28[[#This Row],[Total Evaporator  Coil Area]]</f>
        <v>386.09999999999997</v>
      </c>
      <c r="BR80" s="781">
        <f>$G$199*PPH_Data_Base28[[#This Row],[Total Evaporator  Coil Area]]</f>
        <v>583.43999999999994</v>
      </c>
      <c r="BS80" s="781">
        <f>$E$185*PPH_Data_Base28[[#This Row],[Total Evaporator  Coil Area]]</f>
        <v>1716</v>
      </c>
      <c r="BT80" s="781">
        <f>$E$188*PPH_Data_Base28[[#This Row],[Total Evaporator  Coil Area]]</f>
        <v>2402.4</v>
      </c>
      <c r="BU80" s="781">
        <f>$G$195*PPH_Data_Base28[[#This Row],[Total Condenser Coil Area]]</f>
        <v>926.25</v>
      </c>
      <c r="BV80" s="781">
        <f>$G$199*PPH_Data_Base28[[#This Row],[Total Condenser Coil Area]]</f>
        <v>1399.6666666666667</v>
      </c>
      <c r="BW80" s="781">
        <f>$E$185*PPH_Data_Base28[[#This Row],[Total Condenser Coil Area]]</f>
        <v>4116.666666666667</v>
      </c>
      <c r="BX80" s="781">
        <f>$E$188*PPH_Data_Base28[[#This Row],[Total Condenser Coil Area]]</f>
        <v>5763.3333333333339</v>
      </c>
      <c r="BY80" s="790">
        <v>646.12309237688157</v>
      </c>
      <c r="BZ80" s="870">
        <v>427.33008755084757</v>
      </c>
      <c r="CA80" s="870"/>
      <c r="CB80" s="870"/>
      <c r="CC80" s="870">
        <v>310.73446327683615</v>
      </c>
      <c r="CD80" s="870">
        <f>PPH_Data_Base28[[#This Row],[PPH Unit Basic Price With Cu Tube]]*0.03</f>
        <v>2166.316299538028</v>
      </c>
      <c r="CE80" s="870">
        <v>20</v>
      </c>
      <c r="CF80" s="832">
        <v>0</v>
      </c>
      <c r="CG80" s="1058">
        <f>PPH_Data_Base28[[#This Row],[PPH Unit Basic Price With Cu Tube]]*0.25</f>
        <v>18052.635829483566</v>
      </c>
      <c r="CH80" s="1058">
        <f>PPH_Data_Base28[[#This Row],[DSP Unit Basic Price With Cu Tube]]*0.35</f>
        <v>17514.105968586671</v>
      </c>
      <c r="CI80" s="790">
        <v>555.74815254237308</v>
      </c>
      <c r="CJ80" s="790">
        <v>864.40677966101703</v>
      </c>
      <c r="CK80" s="790">
        <v>115.2542372881356</v>
      </c>
      <c r="CL80" s="781">
        <f>110*1.35*PPH_Data_Base28[[#This Row],[No. of Unit  Compressors]]</f>
        <v>445.5</v>
      </c>
      <c r="CM80" s="870">
        <v>305.08474576271192</v>
      </c>
      <c r="CN80" s="781">
        <v>533.89830508474574</v>
      </c>
      <c r="CO80" s="870">
        <v>0</v>
      </c>
      <c r="CP80" s="781">
        <v>2534</v>
      </c>
      <c r="CQ80" s="870">
        <v>4721</v>
      </c>
      <c r="CR80" s="781">
        <v>583.34286751412446</v>
      </c>
      <c r="CS80" s="870">
        <v>14276.822369209041</v>
      </c>
      <c r="CT80" s="781" t="s">
        <v>1208</v>
      </c>
      <c r="CU80" s="870">
        <v>866.73311440677992</v>
      </c>
      <c r="CV80" s="870" t="s">
        <v>1208</v>
      </c>
      <c r="CW80" s="781">
        <f>400*1.35*PPH_Data_Base28[[#This Row],[No. of Unit  Compressors]]</f>
        <v>1620</v>
      </c>
      <c r="CX80" s="835"/>
      <c r="CY80" s="790">
        <f>47*PPH_Data_Base28[[#This Row],[No. of Unit  Compressors]]*1.35</f>
        <v>190.35000000000002</v>
      </c>
      <c r="CZ80" s="790">
        <f>30*1.35*PPH_Data_Base28[[#This Row],[NO Condenser Fans]]</f>
        <v>81</v>
      </c>
      <c r="DA80" s="781">
        <f>INDEX($B$136:$F$154,MATCH(PPH_Data_Base28[[#This Row],[STD Supply Fan Motor]],$B$136:$B$154,0),5)*PPH_Data_Base28[[#This Row],[Fan QTY]]</f>
        <v>199.14987598870056</v>
      </c>
      <c r="DB80" s="790">
        <f>47*1.35*PPH_Data_Base28[[#This Row],[No. of Unit  Compressors]]</f>
        <v>190.35000000000002</v>
      </c>
      <c r="DC80" s="871">
        <f>28*PPH_Data_Base28[[#This Row],[NO Condenser Fans]]</f>
        <v>56</v>
      </c>
      <c r="DD80" s="781">
        <f>INDEX($B$136:$F$154,MATCH(PPH_Data_Base28[[#This Row],[STD Supply Fan Motor]],$B$136:$B$154,0),3)*PPH_Data_Base28[[#This Row],[Fan QTY]]</f>
        <v>196.18043220338984</v>
      </c>
      <c r="DE80" s="870"/>
      <c r="DF80" s="870">
        <f>43*PPH_Data_Base28[[#This Row],[NO Condenser Fans]]</f>
        <v>86</v>
      </c>
      <c r="DG80" s="870">
        <f>INDEX($B$136:$F$154,MATCH(PPH_Data_Base28[[#This Row],[STD Supply Fan Motor]],$B$136:$B$154,0),5)*PPH_Data_Base28[[#This Row],[Fan QTY]]</f>
        <v>199.14987598870056</v>
      </c>
      <c r="DH80" s="790">
        <v>960.45197740112997</v>
      </c>
      <c r="DI80" s="790">
        <v>576.27118644067798</v>
      </c>
      <c r="DJ80" s="870">
        <v>7151</v>
      </c>
      <c r="DK80" s="870">
        <v>21453</v>
      </c>
      <c r="DL80" s="870">
        <v>3457</v>
      </c>
      <c r="DM80" s="870" t="s">
        <v>1208</v>
      </c>
      <c r="DN80" s="870" t="s">
        <v>1692</v>
      </c>
      <c r="DO80" s="870"/>
      <c r="DP80" s="870">
        <v>346.045197740113</v>
      </c>
      <c r="DQ80" s="870">
        <v>346.045197740113</v>
      </c>
      <c r="DR80" s="870">
        <v>346.045197740113</v>
      </c>
      <c r="DS80" s="870"/>
      <c r="DT80" s="870">
        <f>PPH_Data_Base28[[#This Row],[NO Condenser Fans]]*350</f>
        <v>700</v>
      </c>
      <c r="DU80" s="870" t="s">
        <v>1208</v>
      </c>
      <c r="DV80" s="870">
        <f>150*PPH_Data_Base28[[#This Row],[NO Condenser Fans]]</f>
        <v>300</v>
      </c>
      <c r="DW80" s="781">
        <v>2341.101694915254</v>
      </c>
      <c r="DX80" s="781">
        <v>250</v>
      </c>
      <c r="DY80" s="870">
        <v>700</v>
      </c>
      <c r="DZ80" s="870"/>
      <c r="EA80" s="870"/>
      <c r="EB80" s="870"/>
      <c r="EC80" s="870"/>
      <c r="ED80" s="870"/>
      <c r="EE80" s="870"/>
      <c r="EF80" s="870"/>
      <c r="EG80" s="870"/>
      <c r="EH80" s="870"/>
      <c r="EI80" s="870"/>
      <c r="EJ80" s="870"/>
      <c r="EK80" s="870"/>
      <c r="EL80" s="870"/>
      <c r="EM80" s="870"/>
      <c r="EN80" s="870"/>
      <c r="EO80" s="870"/>
      <c r="EP80" s="870"/>
      <c r="EQ80" s="870"/>
      <c r="ER80" s="870"/>
      <c r="ES80" s="870"/>
      <c r="ET80" s="870"/>
      <c r="EU80" s="870"/>
      <c r="EV80" s="870"/>
      <c r="EW80" s="847"/>
      <c r="EX80" s="781">
        <v>82.932070056497167</v>
      </c>
      <c r="EY80" s="781">
        <v>997.34305310734476</v>
      </c>
      <c r="EZ80" s="870">
        <v>50.847457627118651</v>
      </c>
      <c r="FA80" s="870">
        <v>40</v>
      </c>
      <c r="FB80" s="870">
        <v>40</v>
      </c>
      <c r="FC80" s="870">
        <v>24</v>
      </c>
      <c r="FD80" s="870">
        <v>24</v>
      </c>
      <c r="FE80" s="870">
        <v>127.11864406779662</v>
      </c>
      <c r="FF80" s="870">
        <v>209.03954802259889</v>
      </c>
      <c r="FG80" s="870">
        <v>1700</v>
      </c>
      <c r="FH80" s="870"/>
      <c r="FI80" s="870"/>
      <c r="FJ80" s="870"/>
      <c r="FK80" s="870">
        <f>PPH_Data_Base28[[#This Row],[Differential Pressure Switch]]*2</f>
        <v>0</v>
      </c>
      <c r="FL80" s="870"/>
      <c r="FM80" s="872"/>
      <c r="FN80" s="872"/>
      <c r="FO80" s="872">
        <f>PPH_Data_Base28[[#This Row],[Replaceble Filter Drier ]]</f>
        <v>445.5</v>
      </c>
      <c r="FP80" s="872">
        <f>PPH_Data_Base28[[#This Row],[2" Pre-Filter]]*2</f>
        <v>508.78409613474582</v>
      </c>
      <c r="FQ80" s="872">
        <f>PPH_Data_Base28[[#This Row],[Bag Filter EU-8]]</f>
        <v>2064.8229760922741</v>
      </c>
      <c r="FR80" s="872"/>
      <c r="FS80" s="872">
        <v>30</v>
      </c>
      <c r="FT80" s="176"/>
      <c r="FU80" s="176"/>
      <c r="FV80" s="176"/>
      <c r="FW80" s="176"/>
      <c r="GW80" s="176"/>
      <c r="GX80" s="176"/>
      <c r="HC80" s="176"/>
    </row>
    <row r="81" spans="1:211">
      <c r="A81" s="789" t="s">
        <v>509</v>
      </c>
      <c r="B81" s="781" t="s">
        <v>1640</v>
      </c>
      <c r="C81" s="781" t="s">
        <v>544</v>
      </c>
      <c r="D81" s="870" t="s">
        <v>1695</v>
      </c>
      <c r="E81" s="870" t="s">
        <v>1641</v>
      </c>
      <c r="F81" s="870" t="s">
        <v>1641</v>
      </c>
      <c r="G81" s="851">
        <v>0</v>
      </c>
      <c r="H81" s="870" t="s">
        <v>2249</v>
      </c>
      <c r="I81" s="790" t="s">
        <v>868</v>
      </c>
      <c r="J81" s="790" t="s">
        <v>1624</v>
      </c>
      <c r="K81" s="790">
        <v>2</v>
      </c>
      <c r="L81" s="790" t="s">
        <v>567</v>
      </c>
      <c r="M81" s="790">
        <v>12</v>
      </c>
      <c r="N81" s="300">
        <v>2</v>
      </c>
      <c r="O81" s="790">
        <v>205.83333333333334</v>
      </c>
      <c r="P81" s="790">
        <v>85.8</v>
      </c>
      <c r="Q81" s="790">
        <v>3</v>
      </c>
      <c r="R81" s="781">
        <v>60</v>
      </c>
      <c r="S81" s="781">
        <v>3</v>
      </c>
      <c r="T81" s="781"/>
      <c r="U81" s="781"/>
      <c r="V81" s="781">
        <v>4226</v>
      </c>
      <c r="W81" s="781">
        <v>4306</v>
      </c>
      <c r="X81" s="870"/>
      <c r="Y81" s="835">
        <v>0</v>
      </c>
      <c r="Z81" s="791">
        <v>67631.833939155578</v>
      </c>
      <c r="AA81" s="791">
        <v>73208.096222100241</v>
      </c>
      <c r="AB81" s="870">
        <v>51023.459338175322</v>
      </c>
      <c r="AC81" s="834">
        <v>0</v>
      </c>
      <c r="AD81" s="790" t="s">
        <v>1613</v>
      </c>
      <c r="AE81" s="870" t="s">
        <v>1613</v>
      </c>
      <c r="AF81" s="870" t="s">
        <v>1613</v>
      </c>
      <c r="AG81" s="870" t="s">
        <v>1613</v>
      </c>
      <c r="AH81" s="790" t="s">
        <v>1208</v>
      </c>
      <c r="AI81" s="783" t="s">
        <v>1208</v>
      </c>
      <c r="AJ81" s="783" t="s">
        <v>1208</v>
      </c>
      <c r="AK81" s="783" t="s">
        <v>1208</v>
      </c>
      <c r="AL81" s="870">
        <f>PPH_Data_Base28[[#This Row],[PPH Unit Basic Price With Cu Tube]]*0.05</f>
        <v>3660.4048111050124</v>
      </c>
      <c r="AM81" s="790">
        <v>624.71364296186437</v>
      </c>
      <c r="AN81" s="790"/>
      <c r="AO81" s="790"/>
      <c r="AP81" s="790">
        <v>1161</v>
      </c>
      <c r="AQ81" s="790">
        <v>978.75000000000011</v>
      </c>
      <c r="AR81" s="790">
        <v>557.55000000000007</v>
      </c>
      <c r="AS81" s="790">
        <v>2341.5214091389903</v>
      </c>
      <c r="AT81" s="790">
        <v>5307.1687178992197</v>
      </c>
      <c r="AU81" s="790">
        <v>254.39204806737291</v>
      </c>
      <c r="AV81" s="790">
        <v>2064.8229760922741</v>
      </c>
      <c r="AW81" s="870"/>
      <c r="AX81" s="870">
        <v>725</v>
      </c>
      <c r="AY81" s="870">
        <v>8374.8274661440701</v>
      </c>
      <c r="AZ81" s="870">
        <v>3031.5747094226699</v>
      </c>
      <c r="BA81" s="870"/>
      <c r="BB81" s="870">
        <f>PPH_Data_Base28[[#This Row],[PPH Unit Basic Price With Cu Tube]]*0.1</f>
        <v>7320.8096222100248</v>
      </c>
      <c r="BC81" s="870">
        <v>1157.2921740417578</v>
      </c>
      <c r="BD81" s="870">
        <v>2314.5843480835156</v>
      </c>
      <c r="BE81" s="870">
        <v>771.52811602783856</v>
      </c>
      <c r="BF81" s="870">
        <v>771.52811602783856</v>
      </c>
      <c r="BG81" s="870">
        <v>771.52811602783856</v>
      </c>
      <c r="BH81" s="870">
        <f>PPH_Data_Base28[[#This Row],[PPH Unit Basic Price With Cu Tube]]*0.075</f>
        <v>5490.6072166575177</v>
      </c>
      <c r="BI81" s="870">
        <v>2314.5843480835156</v>
      </c>
      <c r="BJ81" s="870">
        <v>771.52811602783856</v>
      </c>
      <c r="BK81" s="870">
        <v>771.52811602783856</v>
      </c>
      <c r="BL81" s="870">
        <v>771.52811602783856</v>
      </c>
      <c r="BM81" s="781">
        <f>PPH_Data_Base28[[#This Row],[Total Condenser Coil Area]]*Naming!$M$62*4</f>
        <v>18442.666666666668</v>
      </c>
      <c r="BN81" s="781">
        <f>PPH_Data_Base28[[#This Row],[Total Evaporator  Coil Area]]*Naming!$M$62*4</f>
        <v>7687.6799999999994</v>
      </c>
      <c r="BO81" s="781">
        <f>PPH_Data_Base28[[#This Row],[Total Condenser Coil Area]]*Naming!$D$61*4</f>
        <v>279.93333333333339</v>
      </c>
      <c r="BP81" s="781">
        <f>PPH_Data_Base28[[#This Row],[Total Evaporator  Coil Area]]*Naming!$D$61*6</f>
        <v>175.03200000000001</v>
      </c>
      <c r="BQ81" s="781">
        <f>$G$195*PPH_Data_Base28[[#This Row],[Total Evaporator  Coil Area]]</f>
        <v>386.09999999999997</v>
      </c>
      <c r="BR81" s="781">
        <f>$G$199*PPH_Data_Base28[[#This Row],[Total Evaporator  Coil Area]]</f>
        <v>583.43999999999994</v>
      </c>
      <c r="BS81" s="781">
        <f>$E$185*PPH_Data_Base28[[#This Row],[Total Evaporator  Coil Area]]</f>
        <v>1716</v>
      </c>
      <c r="BT81" s="781">
        <f>$E$188*PPH_Data_Base28[[#This Row],[Total Evaporator  Coil Area]]</f>
        <v>2402.4</v>
      </c>
      <c r="BU81" s="781">
        <f>$G$195*PPH_Data_Base28[[#This Row],[Total Condenser Coil Area]]</f>
        <v>926.25</v>
      </c>
      <c r="BV81" s="781">
        <f>$G$199*PPH_Data_Base28[[#This Row],[Total Condenser Coil Area]]</f>
        <v>1399.6666666666667</v>
      </c>
      <c r="BW81" s="781">
        <f>$E$185*PPH_Data_Base28[[#This Row],[Total Condenser Coil Area]]</f>
        <v>4116.666666666667</v>
      </c>
      <c r="BX81" s="781">
        <f>$E$188*PPH_Data_Base28[[#This Row],[Total Condenser Coil Area]]</f>
        <v>5763.3333333333339</v>
      </c>
      <c r="BY81" s="790">
        <v>646.12309237688157</v>
      </c>
      <c r="BZ81" s="870">
        <v>427.33008755084757</v>
      </c>
      <c r="CA81" s="870"/>
      <c r="CB81" s="870"/>
      <c r="CC81" s="870">
        <v>310.73446327683615</v>
      </c>
      <c r="CD81" s="870">
        <f>PPH_Data_Base28[[#This Row],[PPH Unit Basic Price With Cu Tube]]*0.03</f>
        <v>2196.2428866630071</v>
      </c>
      <c r="CE81" s="870">
        <v>20</v>
      </c>
      <c r="CF81" s="832">
        <v>0</v>
      </c>
      <c r="CG81" s="1058">
        <f>PPH_Data_Base28[[#This Row],[PPH Unit Basic Price With Cu Tube]]*0.25</f>
        <v>18302.02405552506</v>
      </c>
      <c r="CH81" s="1058">
        <f>PPH_Data_Base28[[#This Row],[DSP Unit Basic Price With Cu Tube]]*0.35</f>
        <v>17858.210768361361</v>
      </c>
      <c r="CI81" s="790">
        <v>555.74815254237308</v>
      </c>
      <c r="CJ81" s="790">
        <v>864.40677966101703</v>
      </c>
      <c r="CK81" s="790">
        <v>115.2542372881356</v>
      </c>
      <c r="CL81" s="781">
        <f>110*1.35*PPH_Data_Base28[[#This Row],[No. of Unit  Compressors]]</f>
        <v>445.5</v>
      </c>
      <c r="CM81" s="870">
        <v>305.08474576271192</v>
      </c>
      <c r="CN81" s="781">
        <v>533.89830508474574</v>
      </c>
      <c r="CO81" s="870">
        <v>0</v>
      </c>
      <c r="CP81" s="781">
        <v>2534</v>
      </c>
      <c r="CQ81" s="870">
        <v>4721</v>
      </c>
      <c r="CR81" s="781">
        <v>583.34286751412446</v>
      </c>
      <c r="CS81" s="870">
        <v>14564.440531355935</v>
      </c>
      <c r="CT81" s="781" t="s">
        <v>1208</v>
      </c>
      <c r="CU81" s="870">
        <v>866.73311440677992</v>
      </c>
      <c r="CV81" s="870" t="s">
        <v>1208</v>
      </c>
      <c r="CW81" s="781">
        <f>400*1.35*PPH_Data_Base28[[#This Row],[No. of Unit  Compressors]]</f>
        <v>1620</v>
      </c>
      <c r="CX81" s="835"/>
      <c r="CY81" s="790">
        <f>47*PPH_Data_Base28[[#This Row],[No. of Unit  Compressors]]*1.35</f>
        <v>190.35000000000002</v>
      </c>
      <c r="CZ81" s="790">
        <f>30*1.35*PPH_Data_Base28[[#This Row],[NO Condenser Fans]]</f>
        <v>81</v>
      </c>
      <c r="DA81" s="781">
        <f>INDEX($B$136:$F$154,MATCH(PPH_Data_Base28[[#This Row],[STD Supply Fan Motor]],$B$136:$B$154,0),5)*PPH_Data_Base28[[#This Row],[Fan QTY]]</f>
        <v>199.14987598870056</v>
      </c>
      <c r="DB81" s="790">
        <f>47*1.35*PPH_Data_Base28[[#This Row],[No. of Unit  Compressors]]</f>
        <v>190.35000000000002</v>
      </c>
      <c r="DC81" s="871">
        <f>28*PPH_Data_Base28[[#This Row],[NO Condenser Fans]]</f>
        <v>56</v>
      </c>
      <c r="DD81" s="781">
        <f>INDEX($B$136:$F$154,MATCH(PPH_Data_Base28[[#This Row],[STD Supply Fan Motor]],$B$136:$B$154,0),3)*PPH_Data_Base28[[#This Row],[Fan QTY]]</f>
        <v>196.18043220338984</v>
      </c>
      <c r="DE81" s="870"/>
      <c r="DF81" s="870">
        <f>43*PPH_Data_Base28[[#This Row],[NO Condenser Fans]]</f>
        <v>86</v>
      </c>
      <c r="DG81" s="870">
        <f>INDEX($B$136:$F$154,MATCH(PPH_Data_Base28[[#This Row],[STD Supply Fan Motor]],$B$136:$B$154,0),5)*PPH_Data_Base28[[#This Row],[Fan QTY]]</f>
        <v>199.14987598870056</v>
      </c>
      <c r="DH81" s="790">
        <v>1080.5084745762713</v>
      </c>
      <c r="DI81" s="790">
        <v>840.39548022598865</v>
      </c>
      <c r="DJ81" s="870">
        <v>7151</v>
      </c>
      <c r="DK81" s="870">
        <v>21453</v>
      </c>
      <c r="DL81" s="870">
        <v>3457</v>
      </c>
      <c r="DM81" s="870" t="s">
        <v>1208</v>
      </c>
      <c r="DN81" s="870" t="s">
        <v>1692</v>
      </c>
      <c r="DO81" s="870"/>
      <c r="DP81" s="870">
        <v>346.045197740113</v>
      </c>
      <c r="DQ81" s="870">
        <v>346.045197740113</v>
      </c>
      <c r="DR81" s="870">
        <v>346.045197740113</v>
      </c>
      <c r="DS81" s="870"/>
      <c r="DT81" s="870">
        <f>PPH_Data_Base28[[#This Row],[NO Condenser Fans]]*350</f>
        <v>700</v>
      </c>
      <c r="DU81" s="870" t="s">
        <v>1208</v>
      </c>
      <c r="DV81" s="870">
        <f>150*PPH_Data_Base28[[#This Row],[NO Condenser Fans]]</f>
        <v>300</v>
      </c>
      <c r="DW81" s="781">
        <v>2341.101694915254</v>
      </c>
      <c r="DX81" s="781">
        <v>250</v>
      </c>
      <c r="DY81" s="870">
        <v>700</v>
      </c>
      <c r="DZ81" s="870"/>
      <c r="EA81" s="870"/>
      <c r="EB81" s="870"/>
      <c r="EC81" s="870"/>
      <c r="ED81" s="870"/>
      <c r="EE81" s="870"/>
      <c r="EF81" s="870"/>
      <c r="EG81" s="870"/>
      <c r="EH81" s="870"/>
      <c r="EI81" s="870"/>
      <c r="EJ81" s="870"/>
      <c r="EK81" s="870"/>
      <c r="EL81" s="870"/>
      <c r="EM81" s="870"/>
      <c r="EN81" s="870"/>
      <c r="EO81" s="870"/>
      <c r="EP81" s="870"/>
      <c r="EQ81" s="870"/>
      <c r="ER81" s="870"/>
      <c r="ES81" s="870"/>
      <c r="ET81" s="870"/>
      <c r="EU81" s="870"/>
      <c r="EV81" s="870"/>
      <c r="EW81" s="847"/>
      <c r="EX81" s="781">
        <v>82.932070056497167</v>
      </c>
      <c r="EY81" s="781">
        <v>997.34305310734476</v>
      </c>
      <c r="EZ81" s="870">
        <v>50.847457627118651</v>
      </c>
      <c r="FA81" s="870">
        <v>40</v>
      </c>
      <c r="FB81" s="870">
        <v>40</v>
      </c>
      <c r="FC81" s="870">
        <v>24</v>
      </c>
      <c r="FD81" s="870">
        <v>24</v>
      </c>
      <c r="FE81" s="870">
        <v>127.11864406779662</v>
      </c>
      <c r="FF81" s="870">
        <v>209.03954802259889</v>
      </c>
      <c r="FG81" s="870">
        <v>1700</v>
      </c>
      <c r="FH81" s="870"/>
      <c r="FI81" s="870"/>
      <c r="FJ81" s="870"/>
      <c r="FK81" s="870">
        <f>PPH_Data_Base28[[#This Row],[Differential Pressure Switch]]*2</f>
        <v>0</v>
      </c>
      <c r="FL81" s="870"/>
      <c r="FM81" s="872"/>
      <c r="FN81" s="872"/>
      <c r="FO81" s="872">
        <f>PPH_Data_Base28[[#This Row],[Replaceble Filter Drier ]]</f>
        <v>445.5</v>
      </c>
      <c r="FP81" s="872">
        <f>PPH_Data_Base28[[#This Row],[2" Pre-Filter]]*2</f>
        <v>508.78409613474582</v>
      </c>
      <c r="FQ81" s="872">
        <f>PPH_Data_Base28[[#This Row],[Bag Filter EU-8]]</f>
        <v>2064.8229760922741</v>
      </c>
      <c r="FR81" s="872"/>
      <c r="FS81" s="872">
        <v>30</v>
      </c>
      <c r="FT81" s="176"/>
      <c r="FU81" s="176"/>
      <c r="FV81" s="176"/>
      <c r="FW81" s="176"/>
      <c r="GW81" s="176"/>
      <c r="GX81" s="176"/>
      <c r="HC81" s="176"/>
    </row>
    <row r="82" spans="1:211">
      <c r="A82" s="789" t="s">
        <v>510</v>
      </c>
      <c r="B82" s="781" t="s">
        <v>1643</v>
      </c>
      <c r="C82" s="781" t="s">
        <v>545</v>
      </c>
      <c r="D82" s="870" t="s">
        <v>1696</v>
      </c>
      <c r="E82" s="870" t="s">
        <v>1644</v>
      </c>
      <c r="F82" s="870"/>
      <c r="G82" s="851">
        <v>0</v>
      </c>
      <c r="H82" s="870" t="s">
        <v>2249</v>
      </c>
      <c r="I82" s="790" t="s">
        <v>780</v>
      </c>
      <c r="J82" s="790" t="s">
        <v>1624</v>
      </c>
      <c r="K82" s="790">
        <v>2</v>
      </c>
      <c r="L82" s="790" t="s">
        <v>567</v>
      </c>
      <c r="M82" s="790">
        <v>12</v>
      </c>
      <c r="N82" s="300">
        <v>2</v>
      </c>
      <c r="O82" s="790">
        <v>274.44444444444446</v>
      </c>
      <c r="P82" s="790">
        <v>85.8</v>
      </c>
      <c r="Q82" s="790">
        <v>4</v>
      </c>
      <c r="R82" s="781">
        <v>55</v>
      </c>
      <c r="S82" s="781">
        <v>4</v>
      </c>
      <c r="T82" s="781"/>
      <c r="U82" s="781"/>
      <c r="V82" s="781">
        <v>5502</v>
      </c>
      <c r="W82" s="781">
        <v>4306</v>
      </c>
      <c r="X82" s="870"/>
      <c r="Y82" s="835">
        <v>0</v>
      </c>
      <c r="Z82" s="791">
        <v>86351.872276401817</v>
      </c>
      <c r="AA82" s="791">
        <v>93752.098392602929</v>
      </c>
      <c r="AB82" s="870">
        <v>66622.949719618409</v>
      </c>
      <c r="AC82" s="834">
        <v>0</v>
      </c>
      <c r="AD82" s="790" t="s">
        <v>1613</v>
      </c>
      <c r="AE82" s="870" t="s">
        <v>1613</v>
      </c>
      <c r="AF82" s="870" t="s">
        <v>1613</v>
      </c>
      <c r="AG82" s="870" t="s">
        <v>1613</v>
      </c>
      <c r="AH82" s="790" t="s">
        <v>1208</v>
      </c>
      <c r="AI82" s="783" t="s">
        <v>1208</v>
      </c>
      <c r="AJ82" s="783" t="s">
        <v>1208</v>
      </c>
      <c r="AK82" s="783" t="s">
        <v>1208</v>
      </c>
      <c r="AL82" s="870">
        <f>PPH_Data_Base28[[#This Row],[PPH Unit Basic Price With Cu Tube]]*0.05</f>
        <v>4687.6049196301465</v>
      </c>
      <c r="AM82" s="790">
        <v>708.80697986440691</v>
      </c>
      <c r="AN82" s="790"/>
      <c r="AO82" s="790"/>
      <c r="AP82" s="790">
        <v>1161</v>
      </c>
      <c r="AQ82" s="790">
        <v>978.75000000000011</v>
      </c>
      <c r="AR82" s="790">
        <v>557.55000000000007</v>
      </c>
      <c r="AS82" s="790">
        <v>3381.7078657168081</v>
      </c>
      <c r="AT82" s="790">
        <v>6971.4670484237304</v>
      </c>
      <c r="AU82" s="790">
        <v>332.44726041008482</v>
      </c>
      <c r="AV82" s="790">
        <v>2592.0282695821752</v>
      </c>
      <c r="AW82" s="870"/>
      <c r="AX82" s="870">
        <v>725</v>
      </c>
      <c r="AY82" s="870">
        <v>11456.378208686443</v>
      </c>
      <c r="AZ82" s="870">
        <v>3923.2856238082636</v>
      </c>
      <c r="BA82" s="870"/>
      <c r="BB82" s="870">
        <f>PPH_Data_Base28[[#This Row],[PPH Unit Basic Price With Cu Tube]]*0.1</f>
        <v>9375.2098392602929</v>
      </c>
      <c r="BC82" s="870">
        <v>1500.2401549187034</v>
      </c>
      <c r="BD82" s="870">
        <v>3000.4803098374068</v>
      </c>
      <c r="BE82" s="870">
        <v>1000.1601032791356</v>
      </c>
      <c r="BF82" s="870">
        <v>1000.1601032791356</v>
      </c>
      <c r="BG82" s="870">
        <v>1000.1601032791356</v>
      </c>
      <c r="BH82" s="870">
        <f>PPH_Data_Base28[[#This Row],[PPH Unit Basic Price With Cu Tube]]*0.075</f>
        <v>7031.4073794452197</v>
      </c>
      <c r="BI82" s="870">
        <v>3000.4803098374068</v>
      </c>
      <c r="BJ82" s="870">
        <v>1000.1601032791356</v>
      </c>
      <c r="BK82" s="870">
        <v>1000.1601032791356</v>
      </c>
      <c r="BL82" s="870">
        <v>1000.1601032791356</v>
      </c>
      <c r="BM82" s="781">
        <f>PPH_Data_Base28[[#This Row],[Total Condenser Coil Area]]*Naming!$M$62*4</f>
        <v>24590.222222222223</v>
      </c>
      <c r="BN82" s="781">
        <f>PPH_Data_Base28[[#This Row],[Total Evaporator  Coil Area]]*Naming!$M$62*4</f>
        <v>7687.6799999999994</v>
      </c>
      <c r="BO82" s="781">
        <f>PPH_Data_Base28[[#This Row],[Total Condenser Coil Area]]*Naming!$D$61*4</f>
        <v>373.24444444444447</v>
      </c>
      <c r="BP82" s="781">
        <f>PPH_Data_Base28[[#This Row],[Total Evaporator  Coil Area]]*Naming!$D$61*6</f>
        <v>175.03200000000001</v>
      </c>
      <c r="BQ82" s="781">
        <f>$G$195*PPH_Data_Base28[[#This Row],[Total Evaporator  Coil Area]]</f>
        <v>386.09999999999997</v>
      </c>
      <c r="BR82" s="781">
        <f>$G$199*PPH_Data_Base28[[#This Row],[Total Evaporator  Coil Area]]</f>
        <v>583.43999999999994</v>
      </c>
      <c r="BS82" s="781">
        <f>$E$185*PPH_Data_Base28[[#This Row],[Total Evaporator  Coil Area]]</f>
        <v>1716</v>
      </c>
      <c r="BT82" s="781">
        <f>$E$188*PPH_Data_Base28[[#This Row],[Total Evaporator  Coil Area]]</f>
        <v>2402.4</v>
      </c>
      <c r="BU82" s="781">
        <f>$G$195*PPH_Data_Base28[[#This Row],[Total Condenser Coil Area]]</f>
        <v>1235</v>
      </c>
      <c r="BV82" s="781">
        <f>$G$199*PPH_Data_Base28[[#This Row],[Total Condenser Coil Area]]</f>
        <v>1866.2222222222222</v>
      </c>
      <c r="BW82" s="781">
        <f>$E$185*PPH_Data_Base28[[#This Row],[Total Condenser Coil Area]]</f>
        <v>5488.8888888888887</v>
      </c>
      <c r="BX82" s="781">
        <f>$E$188*PPH_Data_Base28[[#This Row],[Total Condenser Coil Area]]</f>
        <v>7684.4444444444453</v>
      </c>
      <c r="BY82" s="790">
        <v>870.28824687498309</v>
      </c>
      <c r="BZ82" s="870">
        <v>575.5874648644068</v>
      </c>
      <c r="CA82" s="870"/>
      <c r="CB82" s="870"/>
      <c r="CC82" s="870">
        <v>451.97740112994353</v>
      </c>
      <c r="CD82" s="870">
        <f>PPH_Data_Base28[[#This Row],[PPH Unit Basic Price With Cu Tube]]*0.03</f>
        <v>2812.5629517780876</v>
      </c>
      <c r="CE82" s="870">
        <v>20</v>
      </c>
      <c r="CF82" s="832">
        <v>0</v>
      </c>
      <c r="CG82" s="1058">
        <f>PPH_Data_Base28[[#This Row],[PPH Unit Basic Price With Cu Tube]]*0.25</f>
        <v>23438.024598150732</v>
      </c>
      <c r="CH82" s="1058">
        <f>PPH_Data_Base28[[#This Row],[DSP Unit Basic Price With Cu Tube]]*0.35</f>
        <v>23318.032401866443</v>
      </c>
      <c r="CI82" s="790">
        <v>740.99753672316399</v>
      </c>
      <c r="CJ82" s="790">
        <v>1152.542372881356</v>
      </c>
      <c r="CK82" s="790">
        <v>153.67231638418079</v>
      </c>
      <c r="CL82" s="781">
        <f>110*1.35*PPH_Data_Base28[[#This Row],[No. of Unit  Compressors]]</f>
        <v>594</v>
      </c>
      <c r="CM82" s="870">
        <v>406.77966101694921</v>
      </c>
      <c r="CN82" s="781">
        <v>711.86440677966107</v>
      </c>
      <c r="CO82" s="870">
        <v>0</v>
      </c>
      <c r="CP82" s="781">
        <v>3378</v>
      </c>
      <c r="CQ82" s="870">
        <v>6295</v>
      </c>
      <c r="CR82" s="781">
        <v>583.34286751412446</v>
      </c>
      <c r="CS82" s="870">
        <v>19131.635879661022</v>
      </c>
      <c r="CT82" s="781" t="s">
        <v>1208</v>
      </c>
      <c r="CU82" s="870">
        <v>1155.6441525423734</v>
      </c>
      <c r="CV82" s="870" t="s">
        <v>1208</v>
      </c>
      <c r="CW82" s="781">
        <f>400*1.35*PPH_Data_Base28[[#This Row],[No. of Unit  Compressors]]</f>
        <v>2160</v>
      </c>
      <c r="CX82" s="835"/>
      <c r="CY82" s="790">
        <f>47*PPH_Data_Base28[[#This Row],[No. of Unit  Compressors]]*1.35</f>
        <v>253.8</v>
      </c>
      <c r="CZ82" s="790">
        <f>30*1.35*PPH_Data_Base28[[#This Row],[NO Condenser Fans]]</f>
        <v>81</v>
      </c>
      <c r="DA82" s="781">
        <f>INDEX($B$136:$F$154,MATCH(PPH_Data_Base28[[#This Row],[STD Supply Fan Motor]],$B$136:$B$154,0),5)*PPH_Data_Base28[[#This Row],[Fan QTY]]</f>
        <v>199.14987598870056</v>
      </c>
      <c r="DB82" s="790">
        <f>47*1.35*PPH_Data_Base28[[#This Row],[No. of Unit  Compressors]]</f>
        <v>253.8</v>
      </c>
      <c r="DC82" s="871">
        <f>28*PPH_Data_Base28[[#This Row],[NO Condenser Fans]]</f>
        <v>56</v>
      </c>
      <c r="DD82" s="781">
        <f>INDEX($B$136:$F$154,MATCH(PPH_Data_Base28[[#This Row],[STD Supply Fan Motor]],$B$136:$B$154,0),3)*PPH_Data_Base28[[#This Row],[Fan QTY]]</f>
        <v>196.18043220338984</v>
      </c>
      <c r="DE82" s="870"/>
      <c r="DF82" s="870">
        <f>43*PPH_Data_Base28[[#This Row],[NO Condenser Fans]]</f>
        <v>86</v>
      </c>
      <c r="DG82" s="870">
        <f>INDEX($B$136:$F$154,MATCH(PPH_Data_Base28[[#This Row],[STD Supply Fan Motor]],$B$136:$B$154,0),5)*PPH_Data_Base28[[#This Row],[Fan QTY]]</f>
        <v>199.14987598870056</v>
      </c>
      <c r="DH82" s="790">
        <v>1080.5084745762713</v>
      </c>
      <c r="DI82" s="790">
        <v>1440.6779661016951</v>
      </c>
      <c r="DJ82" s="870">
        <v>7151</v>
      </c>
      <c r="DK82" s="870">
        <v>28604</v>
      </c>
      <c r="DL82" s="870">
        <v>3457</v>
      </c>
      <c r="DM82" s="870" t="s">
        <v>1208</v>
      </c>
      <c r="DN82" s="870" t="s">
        <v>1692</v>
      </c>
      <c r="DO82" s="870"/>
      <c r="DP82" s="870">
        <v>346.045197740113</v>
      </c>
      <c r="DQ82" s="870">
        <v>346.045197740113</v>
      </c>
      <c r="DR82" s="870">
        <v>346.045197740113</v>
      </c>
      <c r="DS82" s="870"/>
      <c r="DT82" s="870">
        <f>PPH_Data_Base28[[#This Row],[NO Condenser Fans]]*350</f>
        <v>700</v>
      </c>
      <c r="DU82" s="870" t="s">
        <v>1208</v>
      </c>
      <c r="DV82" s="870">
        <f>150*PPH_Data_Base28[[#This Row],[NO Condenser Fans]]</f>
        <v>300</v>
      </c>
      <c r="DW82" s="781">
        <v>3121.4689265536726</v>
      </c>
      <c r="DX82" s="781">
        <v>250</v>
      </c>
      <c r="DY82" s="870">
        <v>700</v>
      </c>
      <c r="DZ82" s="870"/>
      <c r="EA82" s="870"/>
      <c r="EB82" s="870"/>
      <c r="EC82" s="870"/>
      <c r="ED82" s="870"/>
      <c r="EE82" s="870"/>
      <c r="EF82" s="870"/>
      <c r="EG82" s="870"/>
      <c r="EH82" s="870"/>
      <c r="EI82" s="870"/>
      <c r="EJ82" s="870"/>
      <c r="EK82" s="870"/>
      <c r="EL82" s="870"/>
      <c r="EM82" s="870"/>
      <c r="EN82" s="870"/>
      <c r="EO82" s="870"/>
      <c r="EP82" s="870"/>
      <c r="EQ82" s="870"/>
      <c r="ER82" s="870"/>
      <c r="ES82" s="870"/>
      <c r="ET82" s="870"/>
      <c r="EU82" s="870"/>
      <c r="EV82" s="870"/>
      <c r="EW82" s="847"/>
      <c r="EX82" s="781">
        <v>82.932070056497167</v>
      </c>
      <c r="EY82" s="781">
        <v>997.34305310734476</v>
      </c>
      <c r="EZ82" s="870">
        <v>50.847457627118651</v>
      </c>
      <c r="FA82" s="870">
        <v>40</v>
      </c>
      <c r="FB82" s="870">
        <v>40</v>
      </c>
      <c r="FC82" s="870">
        <v>24</v>
      </c>
      <c r="FD82" s="870">
        <v>24</v>
      </c>
      <c r="FE82" s="870">
        <v>127.11864406779662</v>
      </c>
      <c r="FF82" s="870">
        <v>209.03954802259889</v>
      </c>
      <c r="FG82" s="870">
        <v>1700</v>
      </c>
      <c r="FH82" s="870"/>
      <c r="FI82" s="870"/>
      <c r="FJ82" s="870"/>
      <c r="FK82" s="870">
        <f>PPH_Data_Base28[[#This Row],[Differential Pressure Switch]]*2</f>
        <v>0</v>
      </c>
      <c r="FL82" s="870"/>
      <c r="FM82" s="872"/>
      <c r="FN82" s="872"/>
      <c r="FO82" s="872">
        <f>PPH_Data_Base28[[#This Row],[Replaceble Filter Drier ]]</f>
        <v>594</v>
      </c>
      <c r="FP82" s="872">
        <f>PPH_Data_Base28[[#This Row],[2" Pre-Filter]]*2</f>
        <v>664.89452082016965</v>
      </c>
      <c r="FQ82" s="872">
        <f>PPH_Data_Base28[[#This Row],[Bag Filter EU-8]]</f>
        <v>2592.0282695821752</v>
      </c>
      <c r="FR82" s="872"/>
      <c r="FS82" s="872">
        <v>30</v>
      </c>
      <c r="FT82" s="176"/>
      <c r="FU82" s="176"/>
      <c r="FV82" s="176"/>
      <c r="FW82" s="176"/>
      <c r="GW82" s="176"/>
      <c r="GX82" s="176"/>
      <c r="HC82" s="176"/>
    </row>
    <row r="83" spans="1:211">
      <c r="A83" s="857"/>
      <c r="B83" s="858"/>
      <c r="C83" s="858"/>
      <c r="D83" s="877"/>
      <c r="E83" s="877"/>
      <c r="F83" s="877"/>
      <c r="G83" s="851">
        <v>0</v>
      </c>
      <c r="H83" s="877"/>
      <c r="I83" s="858"/>
      <c r="J83" s="858"/>
      <c r="K83" s="858"/>
      <c r="L83" s="858"/>
      <c r="M83" s="858"/>
      <c r="N83" s="878"/>
      <c r="O83" s="858"/>
      <c r="P83" s="858"/>
      <c r="Q83" s="858"/>
      <c r="R83" s="858"/>
      <c r="S83" s="858"/>
      <c r="T83" s="858"/>
      <c r="U83" s="858"/>
      <c r="V83" s="858"/>
      <c r="W83" s="858"/>
      <c r="X83" s="877"/>
      <c r="Y83" s="835"/>
      <c r="Z83" s="859"/>
      <c r="AA83" s="859"/>
      <c r="AB83" s="877"/>
      <c r="AC83" s="834"/>
      <c r="AD83" s="858"/>
      <c r="AE83" s="877"/>
      <c r="AF83" s="877"/>
      <c r="AG83" s="877"/>
      <c r="AH83" s="858"/>
      <c r="AI83" s="879"/>
      <c r="AJ83" s="879"/>
      <c r="AK83" s="879"/>
      <c r="AL83" s="877">
        <f>PPH_Data_Base28[[#This Row],[PPH Unit Basic Price With Cu Tube]]*0.05</f>
        <v>0</v>
      </c>
      <c r="AM83" s="858"/>
      <c r="AN83" s="858"/>
      <c r="AO83" s="858"/>
      <c r="AP83" s="858"/>
      <c r="AQ83" s="858"/>
      <c r="AR83" s="858"/>
      <c r="AS83" s="858"/>
      <c r="AT83" s="858"/>
      <c r="AU83" s="858"/>
      <c r="AV83" s="858"/>
      <c r="AW83" s="877"/>
      <c r="AX83" s="877"/>
      <c r="AY83" s="877"/>
      <c r="AZ83" s="877"/>
      <c r="BA83" s="877"/>
      <c r="BB83" s="877">
        <f>PPH_Data_Base28[[#This Row],[PPH Unit Basic Price With Cu Tube]]*0.1</f>
        <v>0</v>
      </c>
      <c r="BC83" s="877"/>
      <c r="BD83" s="877"/>
      <c r="BE83" s="877"/>
      <c r="BF83" s="877"/>
      <c r="BG83" s="877"/>
      <c r="BH83" s="877">
        <f>PPH_Data_Base28[[#This Row],[PPH Unit Basic Price With Cu Tube]]*0.075</f>
        <v>0</v>
      </c>
      <c r="BI83" s="877"/>
      <c r="BJ83" s="877"/>
      <c r="BK83" s="877"/>
      <c r="BL83" s="877"/>
      <c r="BM83" s="858">
        <f>PPH_Data_Base28[[#This Row],[Total Condenser Coil Area]]*Naming!$M$62*4</f>
        <v>0</v>
      </c>
      <c r="BN83" s="858">
        <f>PPH_Data_Base28[[#This Row],[Total Evaporator  Coil Area]]*Naming!$M$62*4</f>
        <v>0</v>
      </c>
      <c r="BO83" s="858">
        <f>PPH_Data_Base28[[#This Row],[Total Condenser Coil Area]]*Naming!$D$61*4</f>
        <v>0</v>
      </c>
      <c r="BP83" s="858">
        <f>PPH_Data_Base28[[#This Row],[Total Evaporator  Coil Area]]*Naming!$D$61*6</f>
        <v>0</v>
      </c>
      <c r="BQ83" s="858">
        <f>$G$195*PPH_Data_Base28[[#This Row],[Total Evaporator  Coil Area]]</f>
        <v>0</v>
      </c>
      <c r="BR83" s="858">
        <f>$G$199*PPH_Data_Base28[[#This Row],[Total Evaporator  Coil Area]]</f>
        <v>0</v>
      </c>
      <c r="BS83" s="858">
        <f>$E$185*PPH_Data_Base28[[#This Row],[Total Evaporator  Coil Area]]</f>
        <v>0</v>
      </c>
      <c r="BT83" s="858">
        <f>$E$188*PPH_Data_Base28[[#This Row],[Total Evaporator  Coil Area]]</f>
        <v>0</v>
      </c>
      <c r="BU83" s="858">
        <f>$G$195*PPH_Data_Base28[[#This Row],[Total Condenser Coil Area]]</f>
        <v>0</v>
      </c>
      <c r="BV83" s="858">
        <f>$G$199*PPH_Data_Base28[[#This Row],[Total Condenser Coil Area]]</f>
        <v>0</v>
      </c>
      <c r="BW83" s="858">
        <f>$E$185*PPH_Data_Base28[[#This Row],[Total Condenser Coil Area]]</f>
        <v>0</v>
      </c>
      <c r="BX83" s="858">
        <f>$E$188*PPH_Data_Base28[[#This Row],[Total Condenser Coil Area]]</f>
        <v>0</v>
      </c>
      <c r="BY83" s="858"/>
      <c r="BZ83" s="877"/>
      <c r="CA83" s="877"/>
      <c r="CB83" s="877"/>
      <c r="CC83" s="877">
        <f>PPH_Data_Base28[[#This Row],[PPH Unit Basic Price With Cu Tube]]*0.05</f>
        <v>0</v>
      </c>
      <c r="CD83" s="877">
        <f>PPH_Data_Base28[[#This Row],[PPH Unit Basic Price With Cu Tube]]*0.03</f>
        <v>0</v>
      </c>
      <c r="CE83" s="877">
        <f>PPH_Data_Base28[[#This Row],[PPH Unit Basic Price With Cu Tube]]*0.02</f>
        <v>0</v>
      </c>
      <c r="CF83" s="832">
        <v>0</v>
      </c>
      <c r="CG83" s="877">
        <f>PPH_Data_Base28[[#This Row],[PPH Unit Basic Price With Cu Tube]]*0.25</f>
        <v>0</v>
      </c>
      <c r="CH83" s="877">
        <f>PPH_Data_Base28[[#This Row],[DSP Unit Basic Price With Cu Tube]]*0.35</f>
        <v>0</v>
      </c>
      <c r="CI83" s="858">
        <f t="shared" ref="CI83:CI103" si="11">99*Q83*1.35</f>
        <v>0</v>
      </c>
      <c r="CJ83" s="858">
        <f t="shared" ref="CJ83:CJ103" si="12">93*Q83*1.35</f>
        <v>0</v>
      </c>
      <c r="CK83" s="858">
        <f t="shared" ref="CK83:CK103" si="13">Q83*28*1.35</f>
        <v>0</v>
      </c>
      <c r="CL83" s="858">
        <f>110*1.35*PPH_Data_Base28[[#This Row],[No. of Unit  Compressors]]</f>
        <v>0</v>
      </c>
      <c r="CM83" s="877">
        <f>140*1.35*PPH_Data_Base28[[#This Row],[No. of Unit  Compressors]]</f>
        <v>0</v>
      </c>
      <c r="CN83" s="858">
        <f>180*1.35*PPH_Data_Base28[[#This Row],[No. of Unit  Compressors]]</f>
        <v>0</v>
      </c>
      <c r="CO83" s="877"/>
      <c r="CP83" s="858">
        <f>160*1.35*PPH_Data_Base28[[#This Row],[No. of Unit  Compressors]]</f>
        <v>0</v>
      </c>
      <c r="CQ83" s="877"/>
      <c r="CR83" s="858"/>
      <c r="CS83" s="877">
        <f>PPH_Data_Base28[[#This Row],[PPH Unit Basic Price With Cu Tube]]*0.35</f>
        <v>0</v>
      </c>
      <c r="CT83" s="858">
        <f>$L$252*1.35*PPH_Data_Base28[[#This Row],[No. of Unit  Compressors]]</f>
        <v>0</v>
      </c>
      <c r="CU83" s="877"/>
      <c r="CV83" s="877"/>
      <c r="CW83" s="858">
        <f>400*1.35*PPH_Data_Base28[[#This Row],[No. of Unit  Compressors]]</f>
        <v>0</v>
      </c>
      <c r="CX83" s="835"/>
      <c r="CY83" s="858">
        <f>47*PPH_Data_Base28[[#This Row],[No. of Unit  Compressors]]*1.35</f>
        <v>0</v>
      </c>
      <c r="CZ83" s="858">
        <f>30*1.35*PPH_Data_Base28[[#This Row],[NO Condenser Fans]]</f>
        <v>0</v>
      </c>
      <c r="DA83" s="858" t="e">
        <f>INDEX($B$136:$F$154,MATCH(PPH_Data_Base28[[#This Row],[STD Supply Fan Motor]],$B$136:$B$154,0),5)*PPH_Data_Base28[[#This Row],[Fan QTY]]</f>
        <v>#N/A</v>
      </c>
      <c r="DB83" s="858">
        <f>47*1.35*PPH_Data_Base28[[#This Row],[No. of Unit  Compressors]]</f>
        <v>0</v>
      </c>
      <c r="DC83" s="858">
        <f>28*PPH_Data_Base28[[#This Row],[NO Condenser Fans]]</f>
        <v>0</v>
      </c>
      <c r="DD83" s="858" t="e">
        <f>INDEX($B$136:$F$154,MATCH(PPH_Data_Base28[[#This Row],[STD Supply Fan Motor]],$B$136:$B$154,0),3)*PPH_Data_Base28[[#This Row],[Fan QTY]]</f>
        <v>#N/A</v>
      </c>
      <c r="DE83" s="877"/>
      <c r="DF83" s="877">
        <f>58*PPH_Data_Base28[[#This Row],[NO Condenser Fans]]</f>
        <v>0</v>
      </c>
      <c r="DG83" s="877"/>
      <c r="DH83" s="858"/>
      <c r="DI83" s="858"/>
      <c r="DJ83" s="877"/>
      <c r="DK83" s="877"/>
      <c r="DL83" s="877"/>
      <c r="DM83" s="877"/>
      <c r="DN83" s="877"/>
      <c r="DO83" s="877"/>
      <c r="DP83" s="858"/>
      <c r="DQ83" s="858">
        <f>PPH_Data_Base28[[#This Row],[NEMA 4X For Electrical Panel]]</f>
        <v>0</v>
      </c>
      <c r="DR83" s="877"/>
      <c r="DS83" s="877"/>
      <c r="DT83" s="877">
        <f>PPH_Data_Base28[[#This Row],[NO Condenser Fans]]*350</f>
        <v>0</v>
      </c>
      <c r="DU83" s="877"/>
      <c r="DV83" s="877">
        <f>150*PPH_Data_Base28[[#This Row],[NO Condenser Fans]]</f>
        <v>0</v>
      </c>
      <c r="DW83" s="858">
        <f>720*1.35*PPH_Data_Base28[[#This Row],[NO Condenser Fans]]</f>
        <v>0</v>
      </c>
      <c r="DX83" s="858"/>
      <c r="DY83" s="877"/>
      <c r="DZ83" s="877"/>
      <c r="EA83" s="877"/>
      <c r="EB83" s="877"/>
      <c r="EC83" s="877"/>
      <c r="ED83" s="877"/>
      <c r="EE83" s="877"/>
      <c r="EF83" s="877"/>
      <c r="EG83" s="877"/>
      <c r="EH83" s="877"/>
      <c r="EI83" s="877"/>
      <c r="EJ83" s="877"/>
      <c r="EK83" s="877"/>
      <c r="EL83" s="877"/>
      <c r="EM83" s="877"/>
      <c r="EN83" s="877"/>
      <c r="EO83" s="877"/>
      <c r="EP83" s="877"/>
      <c r="EQ83" s="877"/>
      <c r="ER83" s="877"/>
      <c r="ES83" s="877"/>
      <c r="ET83" s="877"/>
      <c r="EU83" s="877"/>
      <c r="EV83" s="877"/>
      <c r="EW83" s="847"/>
      <c r="EX83" s="858">
        <f>4*50*1.35*PPH_Data_Base28[[#This Row],[Fan QTY]]</f>
        <v>0</v>
      </c>
      <c r="EY83" s="858">
        <f>4*100*1.35*PPH_Data_Base28[[#This Row],[Fan QTY]]</f>
        <v>0</v>
      </c>
      <c r="EZ83" s="877"/>
      <c r="FA83" s="877"/>
      <c r="FB83" s="877"/>
      <c r="FC83" s="877"/>
      <c r="FD83" s="877"/>
      <c r="FE83" s="877"/>
      <c r="FF83" s="877"/>
      <c r="FG83" s="877"/>
      <c r="FH83" s="877"/>
      <c r="FI83" s="877"/>
      <c r="FJ83" s="877"/>
      <c r="FK83" s="877">
        <f>PPH_Data_Base28[[#This Row],[Differential Pressure Switch]]*2</f>
        <v>0</v>
      </c>
      <c r="FL83" s="877"/>
      <c r="FM83" s="880"/>
      <c r="FN83" s="880"/>
      <c r="FO83" s="880">
        <f>PPH_Data_Base28[[#This Row],[Replaceble Filter Drier ]]</f>
        <v>0</v>
      </c>
      <c r="FP83" s="880">
        <f>PPH_Data_Base28[[#This Row],[2" Pre-Filter]]*2</f>
        <v>0</v>
      </c>
      <c r="FQ83" s="880">
        <f>PPH_Data_Base28[[#This Row],[Bag Filter EU-8]]</f>
        <v>0</v>
      </c>
      <c r="FR83" s="880"/>
      <c r="FS83" s="880"/>
      <c r="FT83" s="176"/>
      <c r="FU83" s="176"/>
      <c r="FV83" s="176"/>
      <c r="FW83" s="176"/>
      <c r="GW83" s="176"/>
      <c r="GX83" s="176"/>
      <c r="HC83" s="176"/>
    </row>
    <row r="84" spans="1:211">
      <c r="A84" s="780" t="s">
        <v>1697</v>
      </c>
      <c r="B84" s="781" t="s">
        <v>1524</v>
      </c>
      <c r="C84" s="781" t="s">
        <v>1524</v>
      </c>
      <c r="D84" s="870"/>
      <c r="E84" s="870"/>
      <c r="F84" s="870"/>
      <c r="G84" s="851">
        <v>0</v>
      </c>
      <c r="H84" s="870" t="s">
        <v>2250</v>
      </c>
      <c r="I84" s="781" t="s">
        <v>744</v>
      </c>
      <c r="J84" s="781" t="s">
        <v>1523</v>
      </c>
      <c r="K84" s="781">
        <v>1</v>
      </c>
      <c r="L84" s="781" t="s">
        <v>568</v>
      </c>
      <c r="M84" s="781">
        <v>1</v>
      </c>
      <c r="N84" s="300">
        <v>2</v>
      </c>
      <c r="O84" s="781">
        <v>10.5</v>
      </c>
      <c r="P84" s="781">
        <v>4.5999999999999996</v>
      </c>
      <c r="Q84" s="781">
        <v>1</v>
      </c>
      <c r="R84" s="781">
        <v>5.0999999999999996</v>
      </c>
      <c r="S84" s="781">
        <v>1</v>
      </c>
      <c r="T84" s="781"/>
      <c r="U84" s="781"/>
      <c r="V84" s="781">
        <v>117</v>
      </c>
      <c r="W84" s="781">
        <v>210</v>
      </c>
      <c r="X84" s="870"/>
      <c r="Y84" s="835">
        <v>0</v>
      </c>
      <c r="Z84" s="782" t="s">
        <v>1433</v>
      </c>
      <c r="AA84" s="782">
        <v>2353</v>
      </c>
      <c r="AB84" s="870"/>
      <c r="AC84" s="834">
        <v>0</v>
      </c>
      <c r="AD84" s="781">
        <v>95</v>
      </c>
      <c r="AE84" s="870"/>
      <c r="AF84" s="870"/>
      <c r="AG84" s="870"/>
      <c r="AH84" s="781">
        <v>143</v>
      </c>
      <c r="AI84" s="870"/>
      <c r="AJ84" s="870"/>
      <c r="AK84" s="870"/>
      <c r="AL84" s="870">
        <f>PPH_Data_Base28[[#This Row],[PPH Unit Basic Price With Cu Tube]]*0.05</f>
        <v>117.65</v>
      </c>
      <c r="AM84" s="781">
        <v>280</v>
      </c>
      <c r="AN84" s="781"/>
      <c r="AO84" s="781"/>
      <c r="AP84" s="781">
        <v>120</v>
      </c>
      <c r="AQ84" s="781">
        <v>126</v>
      </c>
      <c r="AR84" s="781">
        <v>58</v>
      </c>
      <c r="AS84" s="781">
        <v>192</v>
      </c>
      <c r="AT84" s="781">
        <v>288</v>
      </c>
      <c r="AU84" s="781">
        <v>26</v>
      </c>
      <c r="AV84" s="781">
        <v>231</v>
      </c>
      <c r="AW84" s="870">
        <v>1203</v>
      </c>
      <c r="AX84" s="870">
        <v>266</v>
      </c>
      <c r="AY84" s="870"/>
      <c r="AZ84" s="870"/>
      <c r="BA84" s="870"/>
      <c r="BB84" s="870">
        <f>PPH_Data_Base28[[#This Row],[PPH Unit Basic Price With Cu Tube]]*0.1</f>
        <v>235.3</v>
      </c>
      <c r="BC84" s="870"/>
      <c r="BD84" s="870"/>
      <c r="BE84" s="870"/>
      <c r="BF84" s="870"/>
      <c r="BG84" s="870"/>
      <c r="BH84" s="870">
        <f>PPH_Data_Base28[[#This Row],[PPH Unit Basic Price With Cu Tube]]*0.075</f>
        <v>176.47499999999999</v>
      </c>
      <c r="BI84" s="870"/>
      <c r="BJ84" s="870"/>
      <c r="BK84" s="870"/>
      <c r="BL84" s="870"/>
      <c r="BM84" s="781">
        <f>PPH_Data_Base28[[#This Row],[Total Condenser Coil Area]]*Naming!$M$62*4</f>
        <v>940.8</v>
      </c>
      <c r="BN84" s="781">
        <f>PPH_Data_Base28[[#This Row],[Total Evaporator  Coil Area]]*Naming!$M$62*4</f>
        <v>412.15999999999997</v>
      </c>
      <c r="BO84" s="781">
        <f>PPH_Data_Base28[[#This Row],[Total Condenser Coil Area]]*Naming!$D$61*4</f>
        <v>14.280000000000001</v>
      </c>
      <c r="BP84" s="781">
        <f>PPH_Data_Base28[[#This Row],[Total Evaporator  Coil Area]]*Naming!$D$61*6</f>
        <v>9.3840000000000003</v>
      </c>
      <c r="BQ84" s="781">
        <f>$G$195*PPH_Data_Base28[[#This Row],[Total Evaporator  Coil Area]]</f>
        <v>20.7</v>
      </c>
      <c r="BR84" s="781">
        <f>$G$199*PPH_Data_Base28[[#This Row],[Total Evaporator  Coil Area]]</f>
        <v>31.279999999999998</v>
      </c>
      <c r="BS84" s="781">
        <f>$E$185*PPH_Data_Base28[[#This Row],[Total Evaporator  Coil Area]]</f>
        <v>92</v>
      </c>
      <c r="BT84" s="781">
        <f>$E$188*PPH_Data_Base28[[#This Row],[Total Evaporator  Coil Area]]</f>
        <v>128.79999999999998</v>
      </c>
      <c r="BU84" s="781">
        <f>$G$195*PPH_Data_Base28[[#This Row],[Total Condenser Coil Area]]</f>
        <v>47.25</v>
      </c>
      <c r="BV84" s="781">
        <f>$G$199*PPH_Data_Base28[[#This Row],[Total Condenser Coil Area]]</f>
        <v>71.399999999999991</v>
      </c>
      <c r="BW84" s="781">
        <f>$E$185*PPH_Data_Base28[[#This Row],[Total Condenser Coil Area]]</f>
        <v>210</v>
      </c>
      <c r="BX84" s="781">
        <f>$E$188*PPH_Data_Base28[[#This Row],[Total Condenser Coil Area]]</f>
        <v>294</v>
      </c>
      <c r="BY84" s="781">
        <v>52</v>
      </c>
      <c r="BZ84" s="870"/>
      <c r="CA84" s="870"/>
      <c r="CB84" s="870"/>
      <c r="CC84" s="870">
        <f>PPH_Data_Base28[[#This Row],[PPH Unit Basic Price With Cu Tube]]*0.05</f>
        <v>117.65</v>
      </c>
      <c r="CD84" s="870">
        <f>PPH_Data_Base28[[#This Row],[PPH Unit Basic Price With Cu Tube]]*0.03</f>
        <v>70.59</v>
      </c>
      <c r="CE84" s="870">
        <v>20</v>
      </c>
      <c r="CF84" s="832">
        <v>0</v>
      </c>
      <c r="CG84" s="870">
        <f>PPH_Data_Base28[[#This Row],[PPH Unit Basic Price With Cu Tube]]*0.25</f>
        <v>588.25</v>
      </c>
      <c r="CH84" s="870">
        <f>PPH_Data_Base28[[#This Row],[DSP Unit Basic Price With Cu Tube]]*0.35</f>
        <v>0</v>
      </c>
      <c r="CI84" s="781">
        <f t="shared" si="11"/>
        <v>133.65</v>
      </c>
      <c r="CJ84" s="781">
        <f t="shared" si="12"/>
        <v>125.55000000000001</v>
      </c>
      <c r="CK84" s="781">
        <f t="shared" si="13"/>
        <v>37.800000000000004</v>
      </c>
      <c r="CL84" s="781">
        <f>110*1.35*PPH_Data_Base28[[#This Row],[No. of Unit  Compressors]]</f>
        <v>148.5</v>
      </c>
      <c r="CM84" s="870">
        <f>140*1.35*PPH_Data_Base28[[#This Row],[No. of Unit  Compressors]]</f>
        <v>189</v>
      </c>
      <c r="CN84" s="781">
        <f>180*1.35*PPH_Data_Base28[[#This Row],[No. of Unit  Compressors]]</f>
        <v>243.00000000000003</v>
      </c>
      <c r="CO84" s="870">
        <v>0</v>
      </c>
      <c r="CP84" s="781">
        <f>160*1.35*PPH_Data_Base28[[#This Row],[No. of Unit  Compressors]]</f>
        <v>216</v>
      </c>
      <c r="CQ84" s="870"/>
      <c r="CR84" s="781">
        <v>800</v>
      </c>
      <c r="CS84" s="870">
        <f>PPH_Data_Base28[[#This Row],[PPH Unit Basic Price With Cu Tube]]*0.35</f>
        <v>823.55</v>
      </c>
      <c r="CT84" s="781">
        <f>$L$252*1.35*PPH_Data_Base28[[#This Row],[No. of Unit  Compressors]]</f>
        <v>0</v>
      </c>
      <c r="CU84" s="870"/>
      <c r="CV84" s="870"/>
      <c r="CW84" s="781">
        <f>400*1.35*PPH_Data_Base28[[#This Row],[No. of Unit  Compressors]]</f>
        <v>540</v>
      </c>
      <c r="CX84" s="835"/>
      <c r="CY84" s="871">
        <f>47*PPH_Data_Base28[[#This Row],[No. of Unit  Compressors]]*1.35</f>
        <v>63.45</v>
      </c>
      <c r="CZ84" s="871">
        <f>30*1.35*PPH_Data_Base28[[#This Row],[NO Condenser Fans]]</f>
        <v>81</v>
      </c>
      <c r="DA84" s="781">
        <f>INDEX($B$136:$F$154,MATCH(PPH_Data_Base28[[#This Row],[STD Supply Fan Motor]],$B$136:$B$154,0),5)*PPH_Data_Base28[[#This Row],[Fan QTY]]</f>
        <v>38.073067937853111</v>
      </c>
      <c r="DB84" s="871">
        <f>47*1.35*PPH_Data_Base28[[#This Row],[No. of Unit  Compressors]]</f>
        <v>63.45</v>
      </c>
      <c r="DC84" s="871">
        <f>28*PPH_Data_Base28[[#This Row],[NO Condenser Fans]]</f>
        <v>56</v>
      </c>
      <c r="DD84" s="781">
        <f>INDEX($B$136:$F$154,MATCH(PPH_Data_Base28[[#This Row],[STD Supply Fan Motor]],$B$136:$B$154,0),3)*PPH_Data_Base28[[#This Row],[Fan QTY]]</f>
        <v>24.627741525423726</v>
      </c>
      <c r="DE84" s="870"/>
      <c r="DF84" s="870"/>
      <c r="DG84" s="870"/>
      <c r="DH84" s="781">
        <v>60</v>
      </c>
      <c r="DI84" s="781">
        <v>120</v>
      </c>
      <c r="DJ84" s="870">
        <v>2600</v>
      </c>
      <c r="DK84" s="870">
        <v>2600</v>
      </c>
      <c r="DL84" s="870">
        <v>887</v>
      </c>
      <c r="DM84" s="870"/>
      <c r="DN84" s="870"/>
      <c r="DO84" s="870"/>
      <c r="DP84" s="781">
        <v>350</v>
      </c>
      <c r="DQ84" s="781">
        <f>PPH_Data_Base28[[#This Row],[NEMA 4X For Electrical Panel]]</f>
        <v>350</v>
      </c>
      <c r="DR84" s="870"/>
      <c r="DS84" s="870"/>
      <c r="DT84" s="870">
        <f>PPH_Data_Base28[[#This Row],[NO Condenser Fans]]*350</f>
        <v>700</v>
      </c>
      <c r="DU84" s="870"/>
      <c r="DV84" s="870">
        <f>150*PPH_Data_Base28[[#This Row],[NO Condenser Fans]]</f>
        <v>300</v>
      </c>
      <c r="DW84" s="781">
        <f>720*1.35*PPH_Data_Base28[[#This Row],[NO Condenser Fans]]</f>
        <v>1944.0000000000002</v>
      </c>
      <c r="DX84" s="781">
        <v>250</v>
      </c>
      <c r="DY84" s="870">
        <v>700</v>
      </c>
      <c r="DZ84" s="870"/>
      <c r="EA84" s="870"/>
      <c r="EB84" s="870"/>
      <c r="EC84" s="870"/>
      <c r="ED84" s="870"/>
      <c r="EE84" s="870"/>
      <c r="EF84" s="870"/>
      <c r="EG84" s="870"/>
      <c r="EH84" s="870"/>
      <c r="EI84" s="870"/>
      <c r="EJ84" s="870"/>
      <c r="EK84" s="870"/>
      <c r="EL84" s="870"/>
      <c r="EM84" s="870"/>
      <c r="EN84" s="870"/>
      <c r="EO84" s="870"/>
      <c r="EP84" s="870"/>
      <c r="EQ84" s="870"/>
      <c r="ER84" s="870"/>
      <c r="ES84" s="870"/>
      <c r="ET84" s="870"/>
      <c r="EU84" s="870"/>
      <c r="EV84" s="870"/>
      <c r="EW84" s="847"/>
      <c r="EX84" s="781">
        <f>4*50*1.35*PPH_Data_Base28[[#This Row],[Fan QTY]]</f>
        <v>270</v>
      </c>
      <c r="EY84" s="781">
        <f>4*100*1.35*PPH_Data_Base28[[#This Row],[Fan QTY]]</f>
        <v>540</v>
      </c>
      <c r="EZ84" s="870"/>
      <c r="FA84" s="870">
        <v>40</v>
      </c>
      <c r="FB84" s="870">
        <v>40</v>
      </c>
      <c r="FC84" s="870">
        <v>24</v>
      </c>
      <c r="FD84" s="870">
        <v>24</v>
      </c>
      <c r="FE84" s="870"/>
      <c r="FF84" s="870"/>
      <c r="FG84" s="870"/>
      <c r="FH84" s="870"/>
      <c r="FI84" s="870"/>
      <c r="FJ84" s="870"/>
      <c r="FK84" s="870">
        <f>PPH_Data_Base28[[#This Row],[Differential Pressure Switch]]*2</f>
        <v>0</v>
      </c>
      <c r="FL84" s="870"/>
      <c r="FM84" s="872"/>
      <c r="FN84" s="872"/>
      <c r="FO84" s="872">
        <f>PPH_Data_Base28[[#This Row],[Replaceble Filter Drier ]]</f>
        <v>148.5</v>
      </c>
      <c r="FP84" s="872">
        <f>PPH_Data_Base28[[#This Row],[2" Pre-Filter]]*2</f>
        <v>52</v>
      </c>
      <c r="FQ84" s="872">
        <f>PPH_Data_Base28[[#This Row],[Bag Filter EU-8]]</f>
        <v>231</v>
      </c>
      <c r="FR84" s="872"/>
      <c r="FS84" s="872">
        <v>30</v>
      </c>
      <c r="FT84" s="176"/>
      <c r="FU84" s="176"/>
      <c r="FV84" s="176"/>
      <c r="FW84" s="176"/>
      <c r="GW84" s="176"/>
      <c r="GX84" s="176"/>
      <c r="HC84" s="176"/>
    </row>
    <row r="85" spans="1:211">
      <c r="A85" s="780" t="s">
        <v>1698</v>
      </c>
      <c r="B85" s="781" t="s">
        <v>1526</v>
      </c>
      <c r="C85" s="781" t="s">
        <v>1526</v>
      </c>
      <c r="D85" s="870"/>
      <c r="E85" s="870"/>
      <c r="F85" s="870"/>
      <c r="G85" s="851">
        <v>0</v>
      </c>
      <c r="H85" s="870" t="s">
        <v>2250</v>
      </c>
      <c r="I85" s="781" t="s">
        <v>744</v>
      </c>
      <c r="J85" s="781" t="s">
        <v>1523</v>
      </c>
      <c r="K85" s="781">
        <v>1</v>
      </c>
      <c r="L85" s="781" t="s">
        <v>568</v>
      </c>
      <c r="M85" s="781">
        <v>1</v>
      </c>
      <c r="N85" s="300">
        <v>2</v>
      </c>
      <c r="O85" s="781">
        <v>10.5</v>
      </c>
      <c r="P85" s="781">
        <v>4.5999999999999996</v>
      </c>
      <c r="Q85" s="781">
        <v>1</v>
      </c>
      <c r="R85" s="781">
        <v>6.8</v>
      </c>
      <c r="S85" s="781">
        <v>1</v>
      </c>
      <c r="T85" s="781"/>
      <c r="U85" s="781"/>
      <c r="V85" s="781">
        <v>117</v>
      </c>
      <c r="W85" s="781">
        <v>210</v>
      </c>
      <c r="X85" s="870"/>
      <c r="Y85" s="835">
        <v>0</v>
      </c>
      <c r="Z85" s="782" t="s">
        <v>1433</v>
      </c>
      <c r="AA85" s="782">
        <v>2548</v>
      </c>
      <c r="AB85" s="870"/>
      <c r="AC85" s="834">
        <v>0</v>
      </c>
      <c r="AD85" s="781">
        <v>95</v>
      </c>
      <c r="AE85" s="870"/>
      <c r="AF85" s="870"/>
      <c r="AG85" s="870"/>
      <c r="AH85" s="781">
        <v>143</v>
      </c>
      <c r="AI85" s="870"/>
      <c r="AJ85" s="870"/>
      <c r="AK85" s="870"/>
      <c r="AL85" s="870">
        <f>PPH_Data_Base28[[#This Row],[PPH Unit Basic Price With Cu Tube]]*0.05</f>
        <v>127.4</v>
      </c>
      <c r="AM85" s="781">
        <v>280</v>
      </c>
      <c r="AN85" s="781"/>
      <c r="AO85" s="781"/>
      <c r="AP85" s="781">
        <v>120</v>
      </c>
      <c r="AQ85" s="781">
        <v>126</v>
      </c>
      <c r="AR85" s="781">
        <v>58</v>
      </c>
      <c r="AS85" s="781">
        <v>192</v>
      </c>
      <c r="AT85" s="781">
        <v>288</v>
      </c>
      <c r="AU85" s="781">
        <v>26</v>
      </c>
      <c r="AV85" s="781">
        <v>231</v>
      </c>
      <c r="AW85" s="870">
        <v>1203</v>
      </c>
      <c r="AX85" s="870">
        <v>266</v>
      </c>
      <c r="AY85" s="870"/>
      <c r="AZ85" s="870"/>
      <c r="BA85" s="870"/>
      <c r="BB85" s="870">
        <f>PPH_Data_Base28[[#This Row],[PPH Unit Basic Price With Cu Tube]]*0.1</f>
        <v>254.8</v>
      </c>
      <c r="BC85" s="870"/>
      <c r="BD85" s="870"/>
      <c r="BE85" s="870"/>
      <c r="BF85" s="870"/>
      <c r="BG85" s="870"/>
      <c r="BH85" s="870">
        <f>PPH_Data_Base28[[#This Row],[PPH Unit Basic Price With Cu Tube]]*0.075</f>
        <v>191.1</v>
      </c>
      <c r="BI85" s="870"/>
      <c r="BJ85" s="870"/>
      <c r="BK85" s="870"/>
      <c r="BL85" s="870"/>
      <c r="BM85" s="781">
        <f>PPH_Data_Base28[[#This Row],[Total Condenser Coil Area]]*Naming!$M$62*4</f>
        <v>940.8</v>
      </c>
      <c r="BN85" s="781">
        <f>PPH_Data_Base28[[#This Row],[Total Evaporator  Coil Area]]*Naming!$M$62*4</f>
        <v>412.15999999999997</v>
      </c>
      <c r="BO85" s="781">
        <f>PPH_Data_Base28[[#This Row],[Total Condenser Coil Area]]*Naming!$D$61*4</f>
        <v>14.280000000000001</v>
      </c>
      <c r="BP85" s="781">
        <f>PPH_Data_Base28[[#This Row],[Total Evaporator  Coil Area]]*Naming!$D$61*6</f>
        <v>9.3840000000000003</v>
      </c>
      <c r="BQ85" s="781">
        <f>$G$195*PPH_Data_Base28[[#This Row],[Total Evaporator  Coil Area]]</f>
        <v>20.7</v>
      </c>
      <c r="BR85" s="781">
        <f>$G$199*PPH_Data_Base28[[#This Row],[Total Evaporator  Coil Area]]</f>
        <v>31.279999999999998</v>
      </c>
      <c r="BS85" s="781">
        <f>$E$185*PPH_Data_Base28[[#This Row],[Total Evaporator  Coil Area]]</f>
        <v>92</v>
      </c>
      <c r="BT85" s="781">
        <f>$E$188*PPH_Data_Base28[[#This Row],[Total Evaporator  Coil Area]]</f>
        <v>128.79999999999998</v>
      </c>
      <c r="BU85" s="781">
        <f>$G$195*PPH_Data_Base28[[#This Row],[Total Condenser Coil Area]]</f>
        <v>47.25</v>
      </c>
      <c r="BV85" s="781">
        <f>$G$199*PPH_Data_Base28[[#This Row],[Total Condenser Coil Area]]</f>
        <v>71.399999999999991</v>
      </c>
      <c r="BW85" s="781">
        <f>$E$185*PPH_Data_Base28[[#This Row],[Total Condenser Coil Area]]</f>
        <v>210</v>
      </c>
      <c r="BX85" s="781">
        <f>$E$188*PPH_Data_Base28[[#This Row],[Total Condenser Coil Area]]</f>
        <v>294</v>
      </c>
      <c r="BY85" s="781">
        <v>52</v>
      </c>
      <c r="BZ85" s="870"/>
      <c r="CA85" s="870"/>
      <c r="CB85" s="870"/>
      <c r="CC85" s="870">
        <f>PPH_Data_Base28[[#This Row],[PPH Unit Basic Price With Cu Tube]]*0.05</f>
        <v>127.4</v>
      </c>
      <c r="CD85" s="870">
        <f>PPH_Data_Base28[[#This Row],[PPH Unit Basic Price With Cu Tube]]*0.03</f>
        <v>76.44</v>
      </c>
      <c r="CE85" s="870">
        <v>20</v>
      </c>
      <c r="CF85" s="832">
        <v>0</v>
      </c>
      <c r="CG85" s="870">
        <f>PPH_Data_Base28[[#This Row],[PPH Unit Basic Price With Cu Tube]]*0.25</f>
        <v>637</v>
      </c>
      <c r="CH85" s="870">
        <f>PPH_Data_Base28[[#This Row],[DSP Unit Basic Price With Cu Tube]]*0.35</f>
        <v>0</v>
      </c>
      <c r="CI85" s="781">
        <f t="shared" si="11"/>
        <v>133.65</v>
      </c>
      <c r="CJ85" s="781">
        <f t="shared" si="12"/>
        <v>125.55000000000001</v>
      </c>
      <c r="CK85" s="781">
        <f t="shared" si="13"/>
        <v>37.800000000000004</v>
      </c>
      <c r="CL85" s="781">
        <f>110*1.35*PPH_Data_Base28[[#This Row],[No. of Unit  Compressors]]</f>
        <v>148.5</v>
      </c>
      <c r="CM85" s="870">
        <f>140*1.35*PPH_Data_Base28[[#This Row],[No. of Unit  Compressors]]</f>
        <v>189</v>
      </c>
      <c r="CN85" s="781">
        <f>180*1.35*PPH_Data_Base28[[#This Row],[No. of Unit  Compressors]]</f>
        <v>243.00000000000003</v>
      </c>
      <c r="CO85" s="870">
        <v>0</v>
      </c>
      <c r="CP85" s="781">
        <f>160*1.35*PPH_Data_Base28[[#This Row],[No. of Unit  Compressors]]</f>
        <v>216</v>
      </c>
      <c r="CQ85" s="870"/>
      <c r="CR85" s="781">
        <v>800</v>
      </c>
      <c r="CS85" s="870">
        <f>PPH_Data_Base28[[#This Row],[PPH Unit Basic Price With Cu Tube]]*0.35</f>
        <v>891.8</v>
      </c>
      <c r="CT85" s="781">
        <f>$L$252*1.35*PPH_Data_Base28[[#This Row],[No. of Unit  Compressors]]</f>
        <v>0</v>
      </c>
      <c r="CU85" s="870"/>
      <c r="CV85" s="870"/>
      <c r="CW85" s="781">
        <f>400*1.35*PPH_Data_Base28[[#This Row],[No. of Unit  Compressors]]</f>
        <v>540</v>
      </c>
      <c r="CX85" s="835"/>
      <c r="CY85" s="871">
        <f>47*PPH_Data_Base28[[#This Row],[No. of Unit  Compressors]]*1.35</f>
        <v>63.45</v>
      </c>
      <c r="CZ85" s="871">
        <f>30*1.35*PPH_Data_Base28[[#This Row],[NO Condenser Fans]]</f>
        <v>81</v>
      </c>
      <c r="DA85" s="781">
        <f>INDEX($B$136:$F$154,MATCH(PPH_Data_Base28[[#This Row],[STD Supply Fan Motor]],$B$136:$B$154,0),5)*PPH_Data_Base28[[#This Row],[Fan QTY]]</f>
        <v>38.073067937853111</v>
      </c>
      <c r="DB85" s="871">
        <f>47*1.35*PPH_Data_Base28[[#This Row],[No. of Unit  Compressors]]</f>
        <v>63.45</v>
      </c>
      <c r="DC85" s="871">
        <f>28*PPH_Data_Base28[[#This Row],[NO Condenser Fans]]</f>
        <v>56</v>
      </c>
      <c r="DD85" s="781">
        <f>INDEX($B$136:$F$154,MATCH(PPH_Data_Base28[[#This Row],[STD Supply Fan Motor]],$B$136:$B$154,0),3)*PPH_Data_Base28[[#This Row],[Fan QTY]]</f>
        <v>24.627741525423726</v>
      </c>
      <c r="DE85" s="870"/>
      <c r="DF85" s="870"/>
      <c r="DG85" s="870"/>
      <c r="DH85" s="781">
        <v>60</v>
      </c>
      <c r="DI85" s="781">
        <v>120</v>
      </c>
      <c r="DJ85" s="870">
        <v>2600</v>
      </c>
      <c r="DK85" s="870">
        <v>2600</v>
      </c>
      <c r="DL85" s="870">
        <v>887</v>
      </c>
      <c r="DM85" s="870"/>
      <c r="DN85" s="870"/>
      <c r="DO85" s="870"/>
      <c r="DP85" s="781">
        <v>350</v>
      </c>
      <c r="DQ85" s="781">
        <f>PPH_Data_Base28[[#This Row],[NEMA 4X For Electrical Panel]]</f>
        <v>350</v>
      </c>
      <c r="DR85" s="870"/>
      <c r="DS85" s="870"/>
      <c r="DT85" s="870">
        <f>PPH_Data_Base28[[#This Row],[NO Condenser Fans]]*350</f>
        <v>700</v>
      </c>
      <c r="DU85" s="870"/>
      <c r="DV85" s="870">
        <f>150*PPH_Data_Base28[[#This Row],[NO Condenser Fans]]</f>
        <v>300</v>
      </c>
      <c r="DW85" s="781">
        <f>720*1.35*PPH_Data_Base28[[#This Row],[NO Condenser Fans]]</f>
        <v>1944.0000000000002</v>
      </c>
      <c r="DX85" s="781">
        <v>250</v>
      </c>
      <c r="DY85" s="870">
        <v>700</v>
      </c>
      <c r="DZ85" s="870"/>
      <c r="EA85" s="870"/>
      <c r="EB85" s="870"/>
      <c r="EC85" s="870"/>
      <c r="ED85" s="870"/>
      <c r="EE85" s="870"/>
      <c r="EF85" s="870"/>
      <c r="EG85" s="870"/>
      <c r="EH85" s="870"/>
      <c r="EI85" s="870"/>
      <c r="EJ85" s="870"/>
      <c r="EK85" s="870"/>
      <c r="EL85" s="870"/>
      <c r="EM85" s="870"/>
      <c r="EN85" s="870"/>
      <c r="EO85" s="870"/>
      <c r="EP85" s="870"/>
      <c r="EQ85" s="870"/>
      <c r="ER85" s="870"/>
      <c r="ES85" s="870"/>
      <c r="ET85" s="870"/>
      <c r="EU85" s="870"/>
      <c r="EV85" s="870"/>
      <c r="EW85" s="847"/>
      <c r="EX85" s="781">
        <f>4*50*1.35*PPH_Data_Base28[[#This Row],[Fan QTY]]</f>
        <v>270</v>
      </c>
      <c r="EY85" s="781">
        <f>4*100*1.35*PPH_Data_Base28[[#This Row],[Fan QTY]]</f>
        <v>540</v>
      </c>
      <c r="EZ85" s="870"/>
      <c r="FA85" s="870">
        <v>40</v>
      </c>
      <c r="FB85" s="870">
        <v>40</v>
      </c>
      <c r="FC85" s="870">
        <v>24</v>
      </c>
      <c r="FD85" s="870">
        <v>24</v>
      </c>
      <c r="FE85" s="870"/>
      <c r="FF85" s="870"/>
      <c r="FG85" s="870"/>
      <c r="FH85" s="870"/>
      <c r="FI85" s="870"/>
      <c r="FJ85" s="870"/>
      <c r="FK85" s="870">
        <f>PPH_Data_Base28[[#This Row],[Differential Pressure Switch]]*2</f>
        <v>0</v>
      </c>
      <c r="FL85" s="870"/>
      <c r="FM85" s="872"/>
      <c r="FN85" s="872"/>
      <c r="FO85" s="872">
        <f>PPH_Data_Base28[[#This Row],[Replaceble Filter Drier ]]</f>
        <v>148.5</v>
      </c>
      <c r="FP85" s="872">
        <f>PPH_Data_Base28[[#This Row],[2" Pre-Filter]]*2</f>
        <v>52</v>
      </c>
      <c r="FQ85" s="872">
        <f>PPH_Data_Base28[[#This Row],[Bag Filter EU-8]]</f>
        <v>231</v>
      </c>
      <c r="FR85" s="872"/>
      <c r="FS85" s="872">
        <v>30</v>
      </c>
      <c r="FT85" s="176"/>
      <c r="FU85" s="176"/>
      <c r="FV85" s="176"/>
      <c r="FW85" s="176"/>
      <c r="GW85" s="176"/>
      <c r="GX85" s="176"/>
      <c r="HC85" s="176"/>
    </row>
    <row r="86" spans="1:211">
      <c r="A86" s="780" t="s">
        <v>1699</v>
      </c>
      <c r="B86" s="781" t="s">
        <v>1527</v>
      </c>
      <c r="C86" s="781" t="s">
        <v>1527</v>
      </c>
      <c r="D86" s="870"/>
      <c r="E86" s="870"/>
      <c r="F86" s="870"/>
      <c r="G86" s="851">
        <v>0</v>
      </c>
      <c r="H86" s="870" t="s">
        <v>2250</v>
      </c>
      <c r="I86" s="781" t="s">
        <v>744</v>
      </c>
      <c r="J86" s="781" t="s">
        <v>1523</v>
      </c>
      <c r="K86" s="781">
        <v>1</v>
      </c>
      <c r="L86" s="781" t="s">
        <v>568</v>
      </c>
      <c r="M86" s="781">
        <v>2</v>
      </c>
      <c r="N86" s="300">
        <v>2</v>
      </c>
      <c r="O86" s="781">
        <v>13.5</v>
      </c>
      <c r="P86" s="781">
        <v>4.5999999999999996</v>
      </c>
      <c r="Q86" s="781">
        <v>1</v>
      </c>
      <c r="R86" s="781">
        <v>8</v>
      </c>
      <c r="S86" s="781">
        <v>1</v>
      </c>
      <c r="T86" s="781"/>
      <c r="U86" s="781"/>
      <c r="V86" s="781">
        <v>117</v>
      </c>
      <c r="W86" s="781">
        <v>210</v>
      </c>
      <c r="X86" s="870"/>
      <c r="Y86" s="835">
        <v>0</v>
      </c>
      <c r="Z86" s="782" t="s">
        <v>1433</v>
      </c>
      <c r="AA86" s="782">
        <v>2769</v>
      </c>
      <c r="AB86" s="870"/>
      <c r="AC86" s="834">
        <v>0</v>
      </c>
      <c r="AD86" s="781">
        <v>95</v>
      </c>
      <c r="AE86" s="870"/>
      <c r="AF86" s="870"/>
      <c r="AG86" s="870"/>
      <c r="AH86" s="781">
        <v>143</v>
      </c>
      <c r="AI86" s="870"/>
      <c r="AJ86" s="870"/>
      <c r="AK86" s="870"/>
      <c r="AL86" s="870">
        <f>PPH_Data_Base28[[#This Row],[PPH Unit Basic Price With Cu Tube]]*0.05</f>
        <v>138.45000000000002</v>
      </c>
      <c r="AM86" s="781">
        <v>280</v>
      </c>
      <c r="AN86" s="781"/>
      <c r="AO86" s="781"/>
      <c r="AP86" s="781">
        <v>120</v>
      </c>
      <c r="AQ86" s="781">
        <v>126</v>
      </c>
      <c r="AR86" s="781">
        <v>58</v>
      </c>
      <c r="AS86" s="781">
        <v>192</v>
      </c>
      <c r="AT86" s="781">
        <v>288</v>
      </c>
      <c r="AU86" s="781">
        <v>26</v>
      </c>
      <c r="AV86" s="781">
        <v>231</v>
      </c>
      <c r="AW86" s="870">
        <v>1203</v>
      </c>
      <c r="AX86" s="870">
        <v>266</v>
      </c>
      <c r="AY86" s="870"/>
      <c r="AZ86" s="870"/>
      <c r="BA86" s="870"/>
      <c r="BB86" s="870">
        <f>PPH_Data_Base28[[#This Row],[PPH Unit Basic Price With Cu Tube]]*0.1</f>
        <v>276.90000000000003</v>
      </c>
      <c r="BC86" s="870"/>
      <c r="BD86" s="870"/>
      <c r="BE86" s="870"/>
      <c r="BF86" s="870"/>
      <c r="BG86" s="870"/>
      <c r="BH86" s="870">
        <f>PPH_Data_Base28[[#This Row],[PPH Unit Basic Price With Cu Tube]]*0.075</f>
        <v>207.67499999999998</v>
      </c>
      <c r="BI86" s="870"/>
      <c r="BJ86" s="870"/>
      <c r="BK86" s="870"/>
      <c r="BL86" s="870"/>
      <c r="BM86" s="781">
        <f>PPH_Data_Base28[[#This Row],[Total Condenser Coil Area]]*Naming!$M$62*4</f>
        <v>1209.5999999999999</v>
      </c>
      <c r="BN86" s="781">
        <f>PPH_Data_Base28[[#This Row],[Total Evaporator  Coil Area]]*Naming!$M$62*4</f>
        <v>412.15999999999997</v>
      </c>
      <c r="BO86" s="781">
        <f>PPH_Data_Base28[[#This Row],[Total Condenser Coil Area]]*Naming!$D$61*4</f>
        <v>18.360000000000003</v>
      </c>
      <c r="BP86" s="781">
        <f>PPH_Data_Base28[[#This Row],[Total Evaporator  Coil Area]]*Naming!$D$61*6</f>
        <v>9.3840000000000003</v>
      </c>
      <c r="BQ86" s="781">
        <f>$G$195*PPH_Data_Base28[[#This Row],[Total Evaporator  Coil Area]]</f>
        <v>20.7</v>
      </c>
      <c r="BR86" s="781">
        <f>$G$199*PPH_Data_Base28[[#This Row],[Total Evaporator  Coil Area]]</f>
        <v>31.279999999999998</v>
      </c>
      <c r="BS86" s="781">
        <f>$E$185*PPH_Data_Base28[[#This Row],[Total Evaporator  Coil Area]]</f>
        <v>92</v>
      </c>
      <c r="BT86" s="781">
        <f>$E$188*PPH_Data_Base28[[#This Row],[Total Evaporator  Coil Area]]</f>
        <v>128.79999999999998</v>
      </c>
      <c r="BU86" s="781">
        <f>$G$195*PPH_Data_Base28[[#This Row],[Total Condenser Coil Area]]</f>
        <v>60.75</v>
      </c>
      <c r="BV86" s="781">
        <f>$G$199*PPH_Data_Base28[[#This Row],[Total Condenser Coil Area]]</f>
        <v>91.8</v>
      </c>
      <c r="BW86" s="781">
        <f>$E$185*PPH_Data_Base28[[#This Row],[Total Condenser Coil Area]]</f>
        <v>270</v>
      </c>
      <c r="BX86" s="781">
        <f>$E$188*PPH_Data_Base28[[#This Row],[Total Condenser Coil Area]]</f>
        <v>378</v>
      </c>
      <c r="BY86" s="781">
        <v>52</v>
      </c>
      <c r="BZ86" s="870"/>
      <c r="CA86" s="870"/>
      <c r="CB86" s="870"/>
      <c r="CC86" s="870">
        <f>PPH_Data_Base28[[#This Row],[PPH Unit Basic Price With Cu Tube]]*0.05</f>
        <v>138.45000000000002</v>
      </c>
      <c r="CD86" s="870">
        <f>PPH_Data_Base28[[#This Row],[PPH Unit Basic Price With Cu Tube]]*0.03</f>
        <v>83.07</v>
      </c>
      <c r="CE86" s="870">
        <v>20</v>
      </c>
      <c r="CF86" s="832">
        <v>0</v>
      </c>
      <c r="CG86" s="870">
        <f>PPH_Data_Base28[[#This Row],[PPH Unit Basic Price With Cu Tube]]*0.25</f>
        <v>692.25</v>
      </c>
      <c r="CH86" s="870">
        <f>PPH_Data_Base28[[#This Row],[DSP Unit Basic Price With Cu Tube]]*0.35</f>
        <v>0</v>
      </c>
      <c r="CI86" s="781">
        <f t="shared" si="11"/>
        <v>133.65</v>
      </c>
      <c r="CJ86" s="781">
        <f t="shared" si="12"/>
        <v>125.55000000000001</v>
      </c>
      <c r="CK86" s="781">
        <f t="shared" si="13"/>
        <v>37.800000000000004</v>
      </c>
      <c r="CL86" s="781">
        <f>110*1.35*PPH_Data_Base28[[#This Row],[No. of Unit  Compressors]]</f>
        <v>148.5</v>
      </c>
      <c r="CM86" s="870">
        <f>140*1.35*PPH_Data_Base28[[#This Row],[No. of Unit  Compressors]]</f>
        <v>189</v>
      </c>
      <c r="CN86" s="781">
        <f>180*1.35*PPH_Data_Base28[[#This Row],[No. of Unit  Compressors]]</f>
        <v>243.00000000000003</v>
      </c>
      <c r="CO86" s="870">
        <v>0</v>
      </c>
      <c r="CP86" s="781">
        <f>160*1.35*PPH_Data_Base28[[#This Row],[No. of Unit  Compressors]]</f>
        <v>216</v>
      </c>
      <c r="CQ86" s="870"/>
      <c r="CR86" s="781">
        <v>800</v>
      </c>
      <c r="CS86" s="870">
        <f>PPH_Data_Base28[[#This Row],[PPH Unit Basic Price With Cu Tube]]*0.35</f>
        <v>969.15</v>
      </c>
      <c r="CT86" s="781">
        <f>$L$252*1.35*PPH_Data_Base28[[#This Row],[No. of Unit  Compressors]]</f>
        <v>0</v>
      </c>
      <c r="CU86" s="870"/>
      <c r="CV86" s="870"/>
      <c r="CW86" s="781">
        <f>400*1.35*PPH_Data_Base28[[#This Row],[No. of Unit  Compressors]]</f>
        <v>540</v>
      </c>
      <c r="CX86" s="835"/>
      <c r="CY86" s="871">
        <f>47*PPH_Data_Base28[[#This Row],[No. of Unit  Compressors]]*1.35</f>
        <v>63.45</v>
      </c>
      <c r="CZ86" s="871">
        <f>30*1.35*PPH_Data_Base28[[#This Row],[NO Condenser Fans]]</f>
        <v>81</v>
      </c>
      <c r="DA86" s="781">
        <f>INDEX($B$136:$F$154,MATCH(PPH_Data_Base28[[#This Row],[STD Supply Fan Motor]],$B$136:$B$154,0),5)*PPH_Data_Base28[[#This Row],[Fan QTY]]</f>
        <v>38.073067937853111</v>
      </c>
      <c r="DB86" s="871">
        <f>47*1.35*PPH_Data_Base28[[#This Row],[No. of Unit  Compressors]]</f>
        <v>63.45</v>
      </c>
      <c r="DC86" s="871">
        <f>28*PPH_Data_Base28[[#This Row],[NO Condenser Fans]]</f>
        <v>56</v>
      </c>
      <c r="DD86" s="781">
        <f>INDEX($B$136:$F$154,MATCH(PPH_Data_Base28[[#This Row],[STD Supply Fan Motor]],$B$136:$B$154,0),3)*PPH_Data_Base28[[#This Row],[Fan QTY]]</f>
        <v>24.627741525423726</v>
      </c>
      <c r="DE86" s="870"/>
      <c r="DF86" s="870"/>
      <c r="DG86" s="870"/>
      <c r="DH86" s="781">
        <v>60</v>
      </c>
      <c r="DI86" s="781">
        <v>120</v>
      </c>
      <c r="DJ86" s="870">
        <v>2700</v>
      </c>
      <c r="DK86" s="870">
        <v>2700</v>
      </c>
      <c r="DL86" s="870">
        <v>887</v>
      </c>
      <c r="DM86" s="870"/>
      <c r="DN86" s="870"/>
      <c r="DO86" s="870"/>
      <c r="DP86" s="781">
        <v>350</v>
      </c>
      <c r="DQ86" s="781">
        <f>PPH_Data_Base28[[#This Row],[NEMA 4X For Electrical Panel]]</f>
        <v>350</v>
      </c>
      <c r="DR86" s="870"/>
      <c r="DS86" s="870"/>
      <c r="DT86" s="870">
        <f>PPH_Data_Base28[[#This Row],[NO Condenser Fans]]*350</f>
        <v>700</v>
      </c>
      <c r="DU86" s="870"/>
      <c r="DV86" s="870">
        <f>150*PPH_Data_Base28[[#This Row],[NO Condenser Fans]]</f>
        <v>300</v>
      </c>
      <c r="DW86" s="781">
        <f>720*1.35*PPH_Data_Base28[[#This Row],[NO Condenser Fans]]</f>
        <v>1944.0000000000002</v>
      </c>
      <c r="DX86" s="781">
        <v>250</v>
      </c>
      <c r="DY86" s="870">
        <v>700</v>
      </c>
      <c r="DZ86" s="870"/>
      <c r="EA86" s="870"/>
      <c r="EB86" s="870"/>
      <c r="EC86" s="870"/>
      <c r="ED86" s="870"/>
      <c r="EE86" s="870"/>
      <c r="EF86" s="870"/>
      <c r="EG86" s="870"/>
      <c r="EH86" s="870"/>
      <c r="EI86" s="870"/>
      <c r="EJ86" s="870"/>
      <c r="EK86" s="870"/>
      <c r="EL86" s="870"/>
      <c r="EM86" s="870"/>
      <c r="EN86" s="870"/>
      <c r="EO86" s="870"/>
      <c r="EP86" s="870"/>
      <c r="EQ86" s="870"/>
      <c r="ER86" s="870"/>
      <c r="ES86" s="870"/>
      <c r="ET86" s="870"/>
      <c r="EU86" s="870"/>
      <c r="EV86" s="870"/>
      <c r="EW86" s="847"/>
      <c r="EX86" s="781">
        <f>4*50*1.35*PPH_Data_Base28[[#This Row],[Fan QTY]]</f>
        <v>270</v>
      </c>
      <c r="EY86" s="781">
        <f>4*100*1.35*PPH_Data_Base28[[#This Row],[Fan QTY]]</f>
        <v>540</v>
      </c>
      <c r="EZ86" s="870"/>
      <c r="FA86" s="870">
        <v>40</v>
      </c>
      <c r="FB86" s="870">
        <v>40</v>
      </c>
      <c r="FC86" s="870">
        <v>24</v>
      </c>
      <c r="FD86" s="870">
        <v>24</v>
      </c>
      <c r="FE86" s="870"/>
      <c r="FF86" s="870"/>
      <c r="FG86" s="870"/>
      <c r="FH86" s="870"/>
      <c r="FI86" s="870"/>
      <c r="FJ86" s="870"/>
      <c r="FK86" s="870">
        <f>PPH_Data_Base28[[#This Row],[Differential Pressure Switch]]*2</f>
        <v>0</v>
      </c>
      <c r="FL86" s="870"/>
      <c r="FM86" s="872"/>
      <c r="FN86" s="872"/>
      <c r="FO86" s="872">
        <f>PPH_Data_Base28[[#This Row],[Replaceble Filter Drier ]]</f>
        <v>148.5</v>
      </c>
      <c r="FP86" s="872">
        <f>PPH_Data_Base28[[#This Row],[2" Pre-Filter]]*2</f>
        <v>52</v>
      </c>
      <c r="FQ86" s="872">
        <f>PPH_Data_Base28[[#This Row],[Bag Filter EU-8]]</f>
        <v>231</v>
      </c>
      <c r="FR86" s="872"/>
      <c r="FS86" s="872">
        <v>30</v>
      </c>
      <c r="FT86" s="176"/>
      <c r="FU86" s="176"/>
      <c r="FV86" s="176"/>
      <c r="FW86" s="176"/>
      <c r="GW86" s="176"/>
      <c r="GX86" s="176"/>
      <c r="HC86" s="176"/>
    </row>
    <row r="87" spans="1:211">
      <c r="A87" s="780" t="s">
        <v>1700</v>
      </c>
      <c r="B87" s="781" t="s">
        <v>1533</v>
      </c>
      <c r="C87" s="781" t="s">
        <v>1533</v>
      </c>
      <c r="D87" s="870"/>
      <c r="E87" s="870"/>
      <c r="F87" s="870"/>
      <c r="G87" s="851">
        <v>0</v>
      </c>
      <c r="H87" s="870" t="s">
        <v>2250</v>
      </c>
      <c r="I87" s="781" t="s">
        <v>1528</v>
      </c>
      <c r="J87" s="781" t="s">
        <v>1523</v>
      </c>
      <c r="K87" s="781">
        <v>1</v>
      </c>
      <c r="L87" s="781" t="s">
        <v>568</v>
      </c>
      <c r="M87" s="781">
        <v>2</v>
      </c>
      <c r="N87" s="300">
        <v>2</v>
      </c>
      <c r="O87" s="781">
        <v>13.5</v>
      </c>
      <c r="P87" s="781">
        <v>9</v>
      </c>
      <c r="Q87" s="781">
        <v>2</v>
      </c>
      <c r="R87" s="781">
        <v>10.5</v>
      </c>
      <c r="S87" s="781">
        <v>1</v>
      </c>
      <c r="T87" s="781"/>
      <c r="U87" s="781"/>
      <c r="V87" s="781">
        <v>117</v>
      </c>
      <c r="W87" s="781">
        <v>210</v>
      </c>
      <c r="X87" s="870"/>
      <c r="Y87" s="835">
        <v>0</v>
      </c>
      <c r="Z87" s="782" t="s">
        <v>1433</v>
      </c>
      <c r="AA87" s="782">
        <v>3387</v>
      </c>
      <c r="AB87" s="870"/>
      <c r="AC87" s="834">
        <v>0</v>
      </c>
      <c r="AD87" s="781">
        <v>95</v>
      </c>
      <c r="AE87" s="870"/>
      <c r="AF87" s="870"/>
      <c r="AG87" s="870"/>
      <c r="AH87" s="781">
        <v>143</v>
      </c>
      <c r="AI87" s="870"/>
      <c r="AJ87" s="870"/>
      <c r="AK87" s="870"/>
      <c r="AL87" s="870">
        <f>PPH_Data_Base28[[#This Row],[PPH Unit Basic Price With Cu Tube]]*0.05</f>
        <v>169.35000000000002</v>
      </c>
      <c r="AM87" s="781">
        <v>280</v>
      </c>
      <c r="AN87" s="781"/>
      <c r="AO87" s="781"/>
      <c r="AP87" s="781">
        <v>150</v>
      </c>
      <c r="AQ87" s="781">
        <v>126</v>
      </c>
      <c r="AR87" s="781">
        <v>68</v>
      </c>
      <c r="AS87" s="781">
        <v>228</v>
      </c>
      <c r="AT87" s="781">
        <v>342</v>
      </c>
      <c r="AU87" s="781">
        <v>26</v>
      </c>
      <c r="AV87" s="781">
        <v>247</v>
      </c>
      <c r="AW87" s="870">
        <v>1203</v>
      </c>
      <c r="AX87" s="870">
        <v>266</v>
      </c>
      <c r="AY87" s="870"/>
      <c r="AZ87" s="870"/>
      <c r="BA87" s="870"/>
      <c r="BB87" s="870">
        <f>PPH_Data_Base28[[#This Row],[PPH Unit Basic Price With Cu Tube]]*0.1</f>
        <v>338.70000000000005</v>
      </c>
      <c r="BC87" s="870"/>
      <c r="BD87" s="870"/>
      <c r="BE87" s="870"/>
      <c r="BF87" s="870"/>
      <c r="BG87" s="870"/>
      <c r="BH87" s="870">
        <f>PPH_Data_Base28[[#This Row],[PPH Unit Basic Price With Cu Tube]]*0.075</f>
        <v>254.02499999999998</v>
      </c>
      <c r="BI87" s="870"/>
      <c r="BJ87" s="870"/>
      <c r="BK87" s="870"/>
      <c r="BL87" s="870"/>
      <c r="BM87" s="781">
        <f>PPH_Data_Base28[[#This Row],[Total Condenser Coil Area]]*Naming!$M$62*4</f>
        <v>1209.5999999999999</v>
      </c>
      <c r="BN87" s="781">
        <f>PPH_Data_Base28[[#This Row],[Total Evaporator  Coil Area]]*Naming!$M$62*4</f>
        <v>806.4</v>
      </c>
      <c r="BO87" s="781">
        <f>PPH_Data_Base28[[#This Row],[Total Condenser Coil Area]]*Naming!$D$61*4</f>
        <v>18.360000000000003</v>
      </c>
      <c r="BP87" s="781">
        <f>PPH_Data_Base28[[#This Row],[Total Evaporator  Coil Area]]*Naming!$D$61*6</f>
        <v>18.36</v>
      </c>
      <c r="BQ87" s="781">
        <f>$G$195*PPH_Data_Base28[[#This Row],[Total Evaporator  Coil Area]]</f>
        <v>40.5</v>
      </c>
      <c r="BR87" s="781">
        <f>$G$199*PPH_Data_Base28[[#This Row],[Total Evaporator  Coil Area]]</f>
        <v>61.199999999999996</v>
      </c>
      <c r="BS87" s="781">
        <f>$E$185*PPH_Data_Base28[[#This Row],[Total Evaporator  Coil Area]]</f>
        <v>180</v>
      </c>
      <c r="BT87" s="781">
        <f>$E$188*PPH_Data_Base28[[#This Row],[Total Evaporator  Coil Area]]</f>
        <v>252</v>
      </c>
      <c r="BU87" s="781">
        <f>$G$195*PPH_Data_Base28[[#This Row],[Total Condenser Coil Area]]</f>
        <v>60.75</v>
      </c>
      <c r="BV87" s="781">
        <f>$G$199*PPH_Data_Base28[[#This Row],[Total Condenser Coil Area]]</f>
        <v>91.8</v>
      </c>
      <c r="BW87" s="781">
        <f>$E$185*PPH_Data_Base28[[#This Row],[Total Condenser Coil Area]]</f>
        <v>270</v>
      </c>
      <c r="BX87" s="781">
        <f>$E$188*PPH_Data_Base28[[#This Row],[Total Condenser Coil Area]]</f>
        <v>378</v>
      </c>
      <c r="BY87" s="781">
        <v>52</v>
      </c>
      <c r="BZ87" s="870"/>
      <c r="CA87" s="870"/>
      <c r="CB87" s="870"/>
      <c r="CC87" s="870">
        <f>PPH_Data_Base28[[#This Row],[PPH Unit Basic Price With Cu Tube]]*0.05</f>
        <v>169.35000000000002</v>
      </c>
      <c r="CD87" s="870">
        <f>PPH_Data_Base28[[#This Row],[PPH Unit Basic Price With Cu Tube]]*0.03</f>
        <v>101.61</v>
      </c>
      <c r="CE87" s="870">
        <v>20</v>
      </c>
      <c r="CF87" s="832">
        <v>0</v>
      </c>
      <c r="CG87" s="870">
        <f>PPH_Data_Base28[[#This Row],[PPH Unit Basic Price With Cu Tube]]*0.25</f>
        <v>846.75</v>
      </c>
      <c r="CH87" s="870">
        <f>PPH_Data_Base28[[#This Row],[DSP Unit Basic Price With Cu Tube]]*0.35</f>
        <v>0</v>
      </c>
      <c r="CI87" s="781">
        <f t="shared" si="11"/>
        <v>267.3</v>
      </c>
      <c r="CJ87" s="781">
        <f t="shared" si="12"/>
        <v>251.10000000000002</v>
      </c>
      <c r="CK87" s="781">
        <f t="shared" si="13"/>
        <v>75.600000000000009</v>
      </c>
      <c r="CL87" s="781">
        <f>110*1.35*PPH_Data_Base28[[#This Row],[No. of Unit  Compressors]]</f>
        <v>297</v>
      </c>
      <c r="CM87" s="870">
        <f>140*1.35*PPH_Data_Base28[[#This Row],[No. of Unit  Compressors]]</f>
        <v>378</v>
      </c>
      <c r="CN87" s="781">
        <f>180*1.35*PPH_Data_Base28[[#This Row],[No. of Unit  Compressors]]</f>
        <v>486.00000000000006</v>
      </c>
      <c r="CO87" s="870">
        <v>0</v>
      </c>
      <c r="CP87" s="781">
        <f>160*1.35*PPH_Data_Base28[[#This Row],[No. of Unit  Compressors]]</f>
        <v>432</v>
      </c>
      <c r="CQ87" s="870"/>
      <c r="CR87" s="781">
        <v>800</v>
      </c>
      <c r="CS87" s="870">
        <f>PPH_Data_Base28[[#This Row],[PPH Unit Basic Price With Cu Tube]]*0.35</f>
        <v>1185.4499999999998</v>
      </c>
      <c r="CT87" s="781">
        <f>$L$252*1.35*PPH_Data_Base28[[#This Row],[No. of Unit  Compressors]]</f>
        <v>0</v>
      </c>
      <c r="CU87" s="870"/>
      <c r="CV87" s="870"/>
      <c r="CW87" s="781">
        <f>400*1.35*PPH_Data_Base28[[#This Row],[No. of Unit  Compressors]]</f>
        <v>1080</v>
      </c>
      <c r="CX87" s="835"/>
      <c r="CY87" s="871">
        <f>47*PPH_Data_Base28[[#This Row],[No. of Unit  Compressors]]*1.35</f>
        <v>126.9</v>
      </c>
      <c r="CZ87" s="871">
        <f>30*1.35*PPH_Data_Base28[[#This Row],[NO Condenser Fans]]</f>
        <v>81</v>
      </c>
      <c r="DA87" s="781">
        <f>INDEX($B$136:$F$154,MATCH(PPH_Data_Base28[[#This Row],[STD Supply Fan Motor]],$B$136:$B$154,0),5)*PPH_Data_Base28[[#This Row],[Fan QTY]]</f>
        <v>38.073067937853111</v>
      </c>
      <c r="DB87" s="871">
        <f>47*1.35*PPH_Data_Base28[[#This Row],[No. of Unit  Compressors]]</f>
        <v>126.9</v>
      </c>
      <c r="DC87" s="871">
        <f>28*PPH_Data_Base28[[#This Row],[NO Condenser Fans]]</f>
        <v>56</v>
      </c>
      <c r="DD87" s="781">
        <f>INDEX($B$136:$F$154,MATCH(PPH_Data_Base28[[#This Row],[STD Supply Fan Motor]],$B$136:$B$154,0),3)*PPH_Data_Base28[[#This Row],[Fan QTY]]</f>
        <v>24.627741525423726</v>
      </c>
      <c r="DE87" s="870"/>
      <c r="DF87" s="870"/>
      <c r="DG87" s="870"/>
      <c r="DH87" s="781">
        <v>60</v>
      </c>
      <c r="DI87" s="781">
        <v>120</v>
      </c>
      <c r="DJ87" s="870">
        <v>3000</v>
      </c>
      <c r="DK87" s="870">
        <v>3000</v>
      </c>
      <c r="DL87" s="870">
        <v>887</v>
      </c>
      <c r="DM87" s="870"/>
      <c r="DN87" s="870"/>
      <c r="DO87" s="870"/>
      <c r="DP87" s="781">
        <v>350</v>
      </c>
      <c r="DQ87" s="781">
        <f>PPH_Data_Base28[[#This Row],[NEMA 4X For Electrical Panel]]</f>
        <v>350</v>
      </c>
      <c r="DR87" s="870"/>
      <c r="DS87" s="870"/>
      <c r="DT87" s="870">
        <f>PPH_Data_Base28[[#This Row],[NO Condenser Fans]]*350</f>
        <v>700</v>
      </c>
      <c r="DU87" s="870"/>
      <c r="DV87" s="870">
        <f>150*PPH_Data_Base28[[#This Row],[NO Condenser Fans]]</f>
        <v>300</v>
      </c>
      <c r="DW87" s="781">
        <f>720*1.35*PPH_Data_Base28[[#This Row],[NO Condenser Fans]]</f>
        <v>1944.0000000000002</v>
      </c>
      <c r="DX87" s="781">
        <v>250</v>
      </c>
      <c r="DY87" s="870">
        <v>700</v>
      </c>
      <c r="DZ87" s="870"/>
      <c r="EA87" s="870"/>
      <c r="EB87" s="870"/>
      <c r="EC87" s="870"/>
      <c r="ED87" s="870"/>
      <c r="EE87" s="870"/>
      <c r="EF87" s="870"/>
      <c r="EG87" s="870"/>
      <c r="EH87" s="870"/>
      <c r="EI87" s="870"/>
      <c r="EJ87" s="870"/>
      <c r="EK87" s="870"/>
      <c r="EL87" s="870"/>
      <c r="EM87" s="870"/>
      <c r="EN87" s="870"/>
      <c r="EO87" s="870"/>
      <c r="EP87" s="870"/>
      <c r="EQ87" s="870"/>
      <c r="ER87" s="870"/>
      <c r="ES87" s="870"/>
      <c r="ET87" s="870"/>
      <c r="EU87" s="870"/>
      <c r="EV87" s="870"/>
      <c r="EW87" s="847"/>
      <c r="EX87" s="781">
        <f>4*50*1.35*PPH_Data_Base28[[#This Row],[Fan QTY]]</f>
        <v>270</v>
      </c>
      <c r="EY87" s="781">
        <f>4*100*1.35*PPH_Data_Base28[[#This Row],[Fan QTY]]</f>
        <v>540</v>
      </c>
      <c r="EZ87" s="870"/>
      <c r="FA87" s="870">
        <v>40</v>
      </c>
      <c r="FB87" s="870">
        <v>40</v>
      </c>
      <c r="FC87" s="870">
        <v>24</v>
      </c>
      <c r="FD87" s="870">
        <v>24</v>
      </c>
      <c r="FE87" s="870"/>
      <c r="FF87" s="870"/>
      <c r="FG87" s="870"/>
      <c r="FH87" s="870"/>
      <c r="FI87" s="870"/>
      <c r="FJ87" s="870"/>
      <c r="FK87" s="870">
        <f>PPH_Data_Base28[[#This Row],[Differential Pressure Switch]]*2</f>
        <v>0</v>
      </c>
      <c r="FL87" s="870"/>
      <c r="FM87" s="872"/>
      <c r="FN87" s="872"/>
      <c r="FO87" s="872">
        <f>PPH_Data_Base28[[#This Row],[Replaceble Filter Drier ]]</f>
        <v>297</v>
      </c>
      <c r="FP87" s="872">
        <f>PPH_Data_Base28[[#This Row],[2" Pre-Filter]]*2</f>
        <v>52</v>
      </c>
      <c r="FQ87" s="872">
        <f>PPH_Data_Base28[[#This Row],[Bag Filter EU-8]]</f>
        <v>247</v>
      </c>
      <c r="FR87" s="872"/>
      <c r="FS87" s="872">
        <v>30</v>
      </c>
      <c r="FT87" s="176"/>
      <c r="FU87" s="176"/>
      <c r="FV87" s="176"/>
      <c r="FW87" s="176"/>
      <c r="GW87" s="176"/>
      <c r="GX87" s="176"/>
      <c r="HC87" s="176"/>
    </row>
    <row r="88" spans="1:211">
      <c r="A88" s="780" t="s">
        <v>1701</v>
      </c>
      <c r="B88" s="781" t="s">
        <v>1543</v>
      </c>
      <c r="C88" s="781" t="s">
        <v>1543</v>
      </c>
      <c r="D88" s="870"/>
      <c r="E88" s="870"/>
      <c r="F88" s="870"/>
      <c r="G88" s="851">
        <v>0</v>
      </c>
      <c r="H88" s="870" t="s">
        <v>2250</v>
      </c>
      <c r="I88" s="781" t="s">
        <v>1537</v>
      </c>
      <c r="J88" s="781" t="s">
        <v>1538</v>
      </c>
      <c r="K88" s="781">
        <v>1</v>
      </c>
      <c r="L88" s="781" t="s">
        <v>568</v>
      </c>
      <c r="M88" s="781">
        <v>2</v>
      </c>
      <c r="N88" s="300">
        <v>2</v>
      </c>
      <c r="O88" s="781">
        <v>18</v>
      </c>
      <c r="P88" s="781">
        <v>9</v>
      </c>
      <c r="Q88" s="781">
        <v>1</v>
      </c>
      <c r="R88" s="781">
        <v>12</v>
      </c>
      <c r="S88" s="781">
        <v>1</v>
      </c>
      <c r="T88" s="781"/>
      <c r="U88" s="781"/>
      <c r="V88" s="781">
        <v>128</v>
      </c>
      <c r="W88" s="781">
        <v>259</v>
      </c>
      <c r="X88" s="870"/>
      <c r="Y88" s="835">
        <v>0</v>
      </c>
      <c r="Z88" s="782" t="s">
        <v>1433</v>
      </c>
      <c r="AA88" s="782">
        <v>3933</v>
      </c>
      <c r="AB88" s="870"/>
      <c r="AC88" s="834">
        <v>0</v>
      </c>
      <c r="AD88" s="781">
        <v>65</v>
      </c>
      <c r="AE88" s="870"/>
      <c r="AF88" s="870"/>
      <c r="AG88" s="870"/>
      <c r="AH88" s="781">
        <v>98</v>
      </c>
      <c r="AI88" s="870"/>
      <c r="AJ88" s="870"/>
      <c r="AK88" s="870"/>
      <c r="AL88" s="870">
        <f>PPH_Data_Base28[[#This Row],[PPH Unit Basic Price With Cu Tube]]*0.05</f>
        <v>196.65</v>
      </c>
      <c r="AM88" s="781">
        <v>280</v>
      </c>
      <c r="AN88" s="781"/>
      <c r="AO88" s="781"/>
      <c r="AP88" s="781">
        <v>150</v>
      </c>
      <c r="AQ88" s="781">
        <v>126</v>
      </c>
      <c r="AR88" s="781">
        <v>68</v>
      </c>
      <c r="AS88" s="781">
        <v>228</v>
      </c>
      <c r="AT88" s="781">
        <v>342</v>
      </c>
      <c r="AU88" s="781">
        <v>36</v>
      </c>
      <c r="AV88" s="781">
        <v>250</v>
      </c>
      <c r="AW88" s="870">
        <v>1682</v>
      </c>
      <c r="AX88" s="870">
        <v>266</v>
      </c>
      <c r="AY88" s="870"/>
      <c r="AZ88" s="870"/>
      <c r="BA88" s="870"/>
      <c r="BB88" s="870">
        <f>PPH_Data_Base28[[#This Row],[PPH Unit Basic Price With Cu Tube]]*0.1</f>
        <v>393.3</v>
      </c>
      <c r="BC88" s="870"/>
      <c r="BD88" s="870"/>
      <c r="BE88" s="870"/>
      <c r="BF88" s="870"/>
      <c r="BG88" s="870"/>
      <c r="BH88" s="870">
        <f>PPH_Data_Base28[[#This Row],[PPH Unit Basic Price With Cu Tube]]*0.075</f>
        <v>294.97499999999997</v>
      </c>
      <c r="BI88" s="870"/>
      <c r="BJ88" s="870"/>
      <c r="BK88" s="870"/>
      <c r="BL88" s="870"/>
      <c r="BM88" s="781">
        <f>PPH_Data_Base28[[#This Row],[Total Condenser Coil Area]]*Naming!$M$62*4</f>
        <v>1612.8</v>
      </c>
      <c r="BN88" s="781">
        <f>PPH_Data_Base28[[#This Row],[Total Evaporator  Coil Area]]*Naming!$M$62*4</f>
        <v>806.4</v>
      </c>
      <c r="BO88" s="781">
        <f>PPH_Data_Base28[[#This Row],[Total Condenser Coil Area]]*Naming!$D$61*4</f>
        <v>24.48</v>
      </c>
      <c r="BP88" s="781">
        <f>PPH_Data_Base28[[#This Row],[Total Evaporator  Coil Area]]*Naming!$D$61*6</f>
        <v>18.36</v>
      </c>
      <c r="BQ88" s="781">
        <f>$G$195*PPH_Data_Base28[[#This Row],[Total Evaporator  Coil Area]]</f>
        <v>40.5</v>
      </c>
      <c r="BR88" s="781">
        <f>$G$199*PPH_Data_Base28[[#This Row],[Total Evaporator  Coil Area]]</f>
        <v>61.199999999999996</v>
      </c>
      <c r="BS88" s="781">
        <f>$E$185*PPH_Data_Base28[[#This Row],[Total Evaporator  Coil Area]]</f>
        <v>180</v>
      </c>
      <c r="BT88" s="781">
        <f>$E$188*PPH_Data_Base28[[#This Row],[Total Evaporator  Coil Area]]</f>
        <v>252</v>
      </c>
      <c r="BU88" s="781">
        <f>$G$195*PPH_Data_Base28[[#This Row],[Total Condenser Coil Area]]</f>
        <v>81</v>
      </c>
      <c r="BV88" s="781">
        <f>$G$199*PPH_Data_Base28[[#This Row],[Total Condenser Coil Area]]</f>
        <v>122.39999999999999</v>
      </c>
      <c r="BW88" s="781">
        <f>$E$185*PPH_Data_Base28[[#This Row],[Total Condenser Coil Area]]</f>
        <v>360</v>
      </c>
      <c r="BX88" s="781">
        <f>$E$188*PPH_Data_Base28[[#This Row],[Total Condenser Coil Area]]</f>
        <v>504</v>
      </c>
      <c r="BY88" s="781">
        <v>74</v>
      </c>
      <c r="BZ88" s="870"/>
      <c r="CA88" s="870"/>
      <c r="CB88" s="870"/>
      <c r="CC88" s="870">
        <f>PPH_Data_Base28[[#This Row],[PPH Unit Basic Price With Cu Tube]]*0.05</f>
        <v>196.65</v>
      </c>
      <c r="CD88" s="870">
        <f>PPH_Data_Base28[[#This Row],[PPH Unit Basic Price With Cu Tube]]*0.03</f>
        <v>117.99</v>
      </c>
      <c r="CE88" s="870">
        <v>20</v>
      </c>
      <c r="CF88" s="832">
        <v>0</v>
      </c>
      <c r="CG88" s="870">
        <f>PPH_Data_Base28[[#This Row],[PPH Unit Basic Price With Cu Tube]]*0.25</f>
        <v>983.25</v>
      </c>
      <c r="CH88" s="870">
        <f>PPH_Data_Base28[[#This Row],[DSP Unit Basic Price With Cu Tube]]*0.35</f>
        <v>0</v>
      </c>
      <c r="CI88" s="781">
        <f t="shared" si="11"/>
        <v>133.65</v>
      </c>
      <c r="CJ88" s="781">
        <f t="shared" si="12"/>
        <v>125.55000000000001</v>
      </c>
      <c r="CK88" s="781">
        <f t="shared" si="13"/>
        <v>37.800000000000004</v>
      </c>
      <c r="CL88" s="781">
        <f>110*1.35*PPH_Data_Base28[[#This Row],[No. of Unit  Compressors]]</f>
        <v>148.5</v>
      </c>
      <c r="CM88" s="870">
        <f>140*1.35*PPH_Data_Base28[[#This Row],[No. of Unit  Compressors]]</f>
        <v>189</v>
      </c>
      <c r="CN88" s="781">
        <f>180*1.35*PPH_Data_Base28[[#This Row],[No. of Unit  Compressors]]</f>
        <v>243.00000000000003</v>
      </c>
      <c r="CO88" s="870">
        <v>0</v>
      </c>
      <c r="CP88" s="781">
        <f>160*1.35*PPH_Data_Base28[[#This Row],[No. of Unit  Compressors]]</f>
        <v>216</v>
      </c>
      <c r="CQ88" s="870"/>
      <c r="CR88" s="781">
        <v>800</v>
      </c>
      <c r="CS88" s="870">
        <f>PPH_Data_Base28[[#This Row],[PPH Unit Basic Price With Cu Tube]]*0.35</f>
        <v>1376.55</v>
      </c>
      <c r="CT88" s="781">
        <f>$L$252*1.35*PPH_Data_Base28[[#This Row],[No. of Unit  Compressors]]</f>
        <v>0</v>
      </c>
      <c r="CU88" s="870"/>
      <c r="CV88" s="870"/>
      <c r="CW88" s="781">
        <f>400*1.35*PPH_Data_Base28[[#This Row],[No. of Unit  Compressors]]</f>
        <v>540</v>
      </c>
      <c r="CX88" s="835"/>
      <c r="CY88" s="871">
        <f>47*PPH_Data_Base28[[#This Row],[No. of Unit  Compressors]]*1.35</f>
        <v>63.45</v>
      </c>
      <c r="CZ88" s="871">
        <f>30*1.35*PPH_Data_Base28[[#This Row],[NO Condenser Fans]]</f>
        <v>81</v>
      </c>
      <c r="DA88" s="781">
        <f>INDEX($B$136:$F$154,MATCH(PPH_Data_Base28[[#This Row],[STD Supply Fan Motor]],$B$136:$B$154,0),5)*PPH_Data_Base28[[#This Row],[Fan QTY]]</f>
        <v>36.69975367231639</v>
      </c>
      <c r="DB88" s="871">
        <f>47*1.35*PPH_Data_Base28[[#This Row],[No. of Unit  Compressors]]</f>
        <v>63.45</v>
      </c>
      <c r="DC88" s="871">
        <f>28*PPH_Data_Base28[[#This Row],[NO Condenser Fans]]</f>
        <v>56</v>
      </c>
      <c r="DD88" s="781">
        <f>INDEX($B$136:$F$154,MATCH(PPH_Data_Base28[[#This Row],[STD Supply Fan Motor]],$B$136:$B$154,0),3)*PPH_Data_Base28[[#This Row],[Fan QTY]]</f>
        <v>24.627741525423726</v>
      </c>
      <c r="DE88" s="870"/>
      <c r="DF88" s="870"/>
      <c r="DG88" s="870"/>
      <c r="DH88" s="781">
        <v>60</v>
      </c>
      <c r="DI88" s="781">
        <v>120</v>
      </c>
      <c r="DJ88" s="870">
        <v>3000</v>
      </c>
      <c r="DK88" s="870">
        <v>3000</v>
      </c>
      <c r="DL88" s="870">
        <v>905</v>
      </c>
      <c r="DM88" s="870"/>
      <c r="DN88" s="870"/>
      <c r="DO88" s="870"/>
      <c r="DP88" s="781">
        <v>400</v>
      </c>
      <c r="DQ88" s="781">
        <f>PPH_Data_Base28[[#This Row],[NEMA 4X For Electrical Panel]]</f>
        <v>400</v>
      </c>
      <c r="DR88" s="870"/>
      <c r="DS88" s="870"/>
      <c r="DT88" s="870">
        <f>PPH_Data_Base28[[#This Row],[NO Condenser Fans]]*350</f>
        <v>700</v>
      </c>
      <c r="DU88" s="870"/>
      <c r="DV88" s="870">
        <f>150*PPH_Data_Base28[[#This Row],[NO Condenser Fans]]</f>
        <v>300</v>
      </c>
      <c r="DW88" s="781">
        <f>720*1.35*PPH_Data_Base28[[#This Row],[NO Condenser Fans]]</f>
        <v>1944.0000000000002</v>
      </c>
      <c r="DX88" s="781">
        <v>250</v>
      </c>
      <c r="DY88" s="870">
        <v>700</v>
      </c>
      <c r="DZ88" s="870"/>
      <c r="EA88" s="870"/>
      <c r="EB88" s="870"/>
      <c r="EC88" s="870"/>
      <c r="ED88" s="870"/>
      <c r="EE88" s="870"/>
      <c r="EF88" s="870"/>
      <c r="EG88" s="870"/>
      <c r="EH88" s="870"/>
      <c r="EI88" s="870"/>
      <c r="EJ88" s="870"/>
      <c r="EK88" s="870"/>
      <c r="EL88" s="870"/>
      <c r="EM88" s="870"/>
      <c r="EN88" s="870"/>
      <c r="EO88" s="870"/>
      <c r="EP88" s="870"/>
      <c r="EQ88" s="870"/>
      <c r="ER88" s="870"/>
      <c r="ES88" s="870"/>
      <c r="ET88" s="870"/>
      <c r="EU88" s="870"/>
      <c r="EV88" s="870"/>
      <c r="EW88" s="847"/>
      <c r="EX88" s="781">
        <f>4*50*1.35*PPH_Data_Base28[[#This Row],[Fan QTY]]</f>
        <v>270</v>
      </c>
      <c r="EY88" s="781">
        <f>4*100*1.35*PPH_Data_Base28[[#This Row],[Fan QTY]]</f>
        <v>540</v>
      </c>
      <c r="EZ88" s="870"/>
      <c r="FA88" s="870">
        <v>40</v>
      </c>
      <c r="FB88" s="870">
        <v>40</v>
      </c>
      <c r="FC88" s="870">
        <v>24</v>
      </c>
      <c r="FD88" s="870">
        <v>24</v>
      </c>
      <c r="FE88" s="870"/>
      <c r="FF88" s="870"/>
      <c r="FG88" s="870"/>
      <c r="FH88" s="870"/>
      <c r="FI88" s="870"/>
      <c r="FJ88" s="870"/>
      <c r="FK88" s="870">
        <f>PPH_Data_Base28[[#This Row],[Differential Pressure Switch]]*2</f>
        <v>0</v>
      </c>
      <c r="FL88" s="870"/>
      <c r="FM88" s="872"/>
      <c r="FN88" s="872"/>
      <c r="FO88" s="872">
        <f>PPH_Data_Base28[[#This Row],[Replaceble Filter Drier ]]</f>
        <v>148.5</v>
      </c>
      <c r="FP88" s="872">
        <f>PPH_Data_Base28[[#This Row],[2" Pre-Filter]]*2</f>
        <v>72</v>
      </c>
      <c r="FQ88" s="872">
        <f>PPH_Data_Base28[[#This Row],[Bag Filter EU-8]]</f>
        <v>250</v>
      </c>
      <c r="FR88" s="872"/>
      <c r="FS88" s="872">
        <v>30</v>
      </c>
      <c r="FT88" s="176"/>
      <c r="FU88" s="176"/>
      <c r="FV88" s="176"/>
      <c r="FW88" s="176"/>
      <c r="GW88" s="176"/>
      <c r="GX88" s="176"/>
      <c r="HC88" s="176"/>
    </row>
    <row r="89" spans="1:211">
      <c r="A89" s="780" t="s">
        <v>1702</v>
      </c>
      <c r="B89" s="781" t="s">
        <v>1550</v>
      </c>
      <c r="C89" s="781" t="s">
        <v>1550</v>
      </c>
      <c r="D89" s="870"/>
      <c r="E89" s="870"/>
      <c r="F89" s="870"/>
      <c r="G89" s="851">
        <v>0</v>
      </c>
      <c r="H89" s="870" t="s">
        <v>2250</v>
      </c>
      <c r="I89" s="781" t="s">
        <v>1537</v>
      </c>
      <c r="J89" s="781" t="s">
        <v>1538</v>
      </c>
      <c r="K89" s="781">
        <v>1</v>
      </c>
      <c r="L89" s="781" t="s">
        <v>568</v>
      </c>
      <c r="M89" s="781">
        <v>2</v>
      </c>
      <c r="N89" s="300">
        <v>2</v>
      </c>
      <c r="O89" s="781">
        <v>18</v>
      </c>
      <c r="P89" s="781">
        <v>9</v>
      </c>
      <c r="Q89" s="781">
        <v>1</v>
      </c>
      <c r="R89" s="781">
        <v>13.3</v>
      </c>
      <c r="S89" s="781">
        <v>1</v>
      </c>
      <c r="T89" s="781"/>
      <c r="U89" s="781"/>
      <c r="V89" s="781">
        <v>128</v>
      </c>
      <c r="W89" s="781">
        <v>259</v>
      </c>
      <c r="X89" s="870"/>
      <c r="Y89" s="835">
        <v>0</v>
      </c>
      <c r="Z89" s="782" t="s">
        <v>1433</v>
      </c>
      <c r="AA89" s="782">
        <v>4158</v>
      </c>
      <c r="AB89" s="870"/>
      <c r="AC89" s="834">
        <v>0</v>
      </c>
      <c r="AD89" s="781">
        <v>137</v>
      </c>
      <c r="AE89" s="870"/>
      <c r="AF89" s="870"/>
      <c r="AG89" s="870"/>
      <c r="AH89" s="781">
        <v>194</v>
      </c>
      <c r="AI89" s="870"/>
      <c r="AJ89" s="870"/>
      <c r="AK89" s="870"/>
      <c r="AL89" s="870">
        <f>PPH_Data_Base28[[#This Row],[PPH Unit Basic Price With Cu Tube]]*0.05</f>
        <v>207.9</v>
      </c>
      <c r="AM89" s="781">
        <v>280</v>
      </c>
      <c r="AN89" s="781"/>
      <c r="AO89" s="781"/>
      <c r="AP89" s="781">
        <v>180</v>
      </c>
      <c r="AQ89" s="781">
        <v>200</v>
      </c>
      <c r="AR89" s="781">
        <v>86</v>
      </c>
      <c r="AS89" s="781">
        <v>288</v>
      </c>
      <c r="AT89" s="781">
        <v>432</v>
      </c>
      <c r="AU89" s="781">
        <v>36</v>
      </c>
      <c r="AV89" s="781">
        <v>307</v>
      </c>
      <c r="AW89" s="870">
        <v>1731</v>
      </c>
      <c r="AX89" s="870">
        <v>266</v>
      </c>
      <c r="AY89" s="870"/>
      <c r="AZ89" s="870"/>
      <c r="BA89" s="870"/>
      <c r="BB89" s="870">
        <f>PPH_Data_Base28[[#This Row],[PPH Unit Basic Price With Cu Tube]]*0.1</f>
        <v>415.8</v>
      </c>
      <c r="BC89" s="870"/>
      <c r="BD89" s="870"/>
      <c r="BE89" s="870"/>
      <c r="BF89" s="870"/>
      <c r="BG89" s="870"/>
      <c r="BH89" s="870">
        <f>PPH_Data_Base28[[#This Row],[PPH Unit Basic Price With Cu Tube]]*0.075</f>
        <v>311.84999999999997</v>
      </c>
      <c r="BI89" s="870"/>
      <c r="BJ89" s="870"/>
      <c r="BK89" s="870"/>
      <c r="BL89" s="870"/>
      <c r="BM89" s="781">
        <f>PPH_Data_Base28[[#This Row],[Total Condenser Coil Area]]*Naming!$M$62*4</f>
        <v>1612.8</v>
      </c>
      <c r="BN89" s="781">
        <f>PPH_Data_Base28[[#This Row],[Total Evaporator  Coil Area]]*Naming!$M$62*4</f>
        <v>806.4</v>
      </c>
      <c r="BO89" s="781">
        <f>PPH_Data_Base28[[#This Row],[Total Condenser Coil Area]]*Naming!$D$61*4</f>
        <v>24.48</v>
      </c>
      <c r="BP89" s="781">
        <f>PPH_Data_Base28[[#This Row],[Total Evaporator  Coil Area]]*Naming!$D$61*6</f>
        <v>18.36</v>
      </c>
      <c r="BQ89" s="781">
        <f>$G$195*PPH_Data_Base28[[#This Row],[Total Evaporator  Coil Area]]</f>
        <v>40.5</v>
      </c>
      <c r="BR89" s="781">
        <f>$G$199*PPH_Data_Base28[[#This Row],[Total Evaporator  Coil Area]]</f>
        <v>61.199999999999996</v>
      </c>
      <c r="BS89" s="781">
        <f>$E$185*PPH_Data_Base28[[#This Row],[Total Evaporator  Coil Area]]</f>
        <v>180</v>
      </c>
      <c r="BT89" s="781">
        <f>$E$188*PPH_Data_Base28[[#This Row],[Total Evaporator  Coil Area]]</f>
        <v>252</v>
      </c>
      <c r="BU89" s="781">
        <f>$G$195*PPH_Data_Base28[[#This Row],[Total Condenser Coil Area]]</f>
        <v>81</v>
      </c>
      <c r="BV89" s="781">
        <f>$G$199*PPH_Data_Base28[[#This Row],[Total Condenser Coil Area]]</f>
        <v>122.39999999999999</v>
      </c>
      <c r="BW89" s="781">
        <f>$E$185*PPH_Data_Base28[[#This Row],[Total Condenser Coil Area]]</f>
        <v>360</v>
      </c>
      <c r="BX89" s="781">
        <f>$E$188*PPH_Data_Base28[[#This Row],[Total Condenser Coil Area]]</f>
        <v>504</v>
      </c>
      <c r="BY89" s="781">
        <v>74</v>
      </c>
      <c r="BZ89" s="870"/>
      <c r="CA89" s="870"/>
      <c r="CB89" s="870"/>
      <c r="CC89" s="870">
        <f>PPH_Data_Base28[[#This Row],[PPH Unit Basic Price With Cu Tube]]*0.05</f>
        <v>207.9</v>
      </c>
      <c r="CD89" s="870">
        <f>PPH_Data_Base28[[#This Row],[PPH Unit Basic Price With Cu Tube]]*0.03</f>
        <v>124.74</v>
      </c>
      <c r="CE89" s="870">
        <v>20</v>
      </c>
      <c r="CF89" s="832">
        <v>0</v>
      </c>
      <c r="CG89" s="870">
        <f>PPH_Data_Base28[[#This Row],[PPH Unit Basic Price With Cu Tube]]*0.25</f>
        <v>1039.5</v>
      </c>
      <c r="CH89" s="870">
        <f>PPH_Data_Base28[[#This Row],[DSP Unit Basic Price With Cu Tube]]*0.35</f>
        <v>0</v>
      </c>
      <c r="CI89" s="781">
        <f t="shared" si="11"/>
        <v>133.65</v>
      </c>
      <c r="CJ89" s="781">
        <f t="shared" si="12"/>
        <v>125.55000000000001</v>
      </c>
      <c r="CK89" s="781">
        <f t="shared" si="13"/>
        <v>37.800000000000004</v>
      </c>
      <c r="CL89" s="781">
        <f>110*1.35*PPH_Data_Base28[[#This Row],[No. of Unit  Compressors]]</f>
        <v>148.5</v>
      </c>
      <c r="CM89" s="870">
        <f>140*1.35*PPH_Data_Base28[[#This Row],[No. of Unit  Compressors]]</f>
        <v>189</v>
      </c>
      <c r="CN89" s="781">
        <f>180*1.35*PPH_Data_Base28[[#This Row],[No. of Unit  Compressors]]</f>
        <v>243.00000000000003</v>
      </c>
      <c r="CO89" s="870">
        <v>0</v>
      </c>
      <c r="CP89" s="781">
        <f>160*1.35*PPH_Data_Base28[[#This Row],[No. of Unit  Compressors]]</f>
        <v>216</v>
      </c>
      <c r="CQ89" s="870"/>
      <c r="CR89" s="781">
        <v>800</v>
      </c>
      <c r="CS89" s="870">
        <f>PPH_Data_Base28[[#This Row],[PPH Unit Basic Price With Cu Tube]]*0.35</f>
        <v>1455.3</v>
      </c>
      <c r="CT89" s="781">
        <f>$L$252*1.35*PPH_Data_Base28[[#This Row],[No. of Unit  Compressors]]</f>
        <v>0</v>
      </c>
      <c r="CU89" s="870"/>
      <c r="CV89" s="870"/>
      <c r="CW89" s="781">
        <f>400*1.35*PPH_Data_Base28[[#This Row],[No. of Unit  Compressors]]</f>
        <v>540</v>
      </c>
      <c r="CX89" s="835"/>
      <c r="CY89" s="871">
        <f>47*PPH_Data_Base28[[#This Row],[No. of Unit  Compressors]]*1.35</f>
        <v>63.45</v>
      </c>
      <c r="CZ89" s="871">
        <f>30*1.35*PPH_Data_Base28[[#This Row],[NO Condenser Fans]]</f>
        <v>81</v>
      </c>
      <c r="DA89" s="781">
        <f>INDEX($B$136:$F$154,MATCH(PPH_Data_Base28[[#This Row],[STD Supply Fan Motor]],$B$136:$B$154,0),5)*PPH_Data_Base28[[#This Row],[Fan QTY]]</f>
        <v>36.69975367231639</v>
      </c>
      <c r="DB89" s="871">
        <f>47*1.35*PPH_Data_Base28[[#This Row],[No. of Unit  Compressors]]</f>
        <v>63.45</v>
      </c>
      <c r="DC89" s="871">
        <f>28*PPH_Data_Base28[[#This Row],[NO Condenser Fans]]</f>
        <v>56</v>
      </c>
      <c r="DD89" s="781">
        <f>INDEX($B$136:$F$154,MATCH(PPH_Data_Base28[[#This Row],[STD Supply Fan Motor]],$B$136:$B$154,0),3)*PPH_Data_Base28[[#This Row],[Fan QTY]]</f>
        <v>24.627741525423726</v>
      </c>
      <c r="DE89" s="870"/>
      <c r="DF89" s="870"/>
      <c r="DG89" s="870"/>
      <c r="DH89" s="781">
        <v>60</v>
      </c>
      <c r="DI89" s="781">
        <v>120</v>
      </c>
      <c r="DJ89" s="870">
        <v>3000</v>
      </c>
      <c r="DK89" s="870">
        <v>3000</v>
      </c>
      <c r="DL89" s="870">
        <v>905</v>
      </c>
      <c r="DM89" s="870"/>
      <c r="DN89" s="870"/>
      <c r="DO89" s="870"/>
      <c r="DP89" s="781">
        <v>400</v>
      </c>
      <c r="DQ89" s="781">
        <f>PPH_Data_Base28[[#This Row],[NEMA 4X For Electrical Panel]]</f>
        <v>400</v>
      </c>
      <c r="DR89" s="870"/>
      <c r="DS89" s="870"/>
      <c r="DT89" s="870">
        <f>PPH_Data_Base28[[#This Row],[NO Condenser Fans]]*350</f>
        <v>700</v>
      </c>
      <c r="DU89" s="870"/>
      <c r="DV89" s="870">
        <f>150*PPH_Data_Base28[[#This Row],[NO Condenser Fans]]</f>
        <v>300</v>
      </c>
      <c r="DW89" s="781">
        <f>720*1.35*PPH_Data_Base28[[#This Row],[NO Condenser Fans]]</f>
        <v>1944.0000000000002</v>
      </c>
      <c r="DX89" s="781">
        <v>250</v>
      </c>
      <c r="DY89" s="870">
        <v>700</v>
      </c>
      <c r="DZ89" s="870"/>
      <c r="EA89" s="870"/>
      <c r="EB89" s="870"/>
      <c r="EC89" s="870"/>
      <c r="ED89" s="870"/>
      <c r="EE89" s="870"/>
      <c r="EF89" s="870"/>
      <c r="EG89" s="870"/>
      <c r="EH89" s="870"/>
      <c r="EI89" s="870"/>
      <c r="EJ89" s="870"/>
      <c r="EK89" s="870"/>
      <c r="EL89" s="870"/>
      <c r="EM89" s="870"/>
      <c r="EN89" s="870"/>
      <c r="EO89" s="870"/>
      <c r="EP89" s="870"/>
      <c r="EQ89" s="870"/>
      <c r="ER89" s="870"/>
      <c r="ES89" s="870"/>
      <c r="ET89" s="870"/>
      <c r="EU89" s="870"/>
      <c r="EV89" s="870"/>
      <c r="EW89" s="847"/>
      <c r="EX89" s="781">
        <f>4*50*1.35*PPH_Data_Base28[[#This Row],[Fan QTY]]</f>
        <v>270</v>
      </c>
      <c r="EY89" s="781">
        <f>4*100*1.35*PPH_Data_Base28[[#This Row],[Fan QTY]]</f>
        <v>540</v>
      </c>
      <c r="EZ89" s="870"/>
      <c r="FA89" s="870">
        <v>40</v>
      </c>
      <c r="FB89" s="870">
        <v>40</v>
      </c>
      <c r="FC89" s="870">
        <v>24</v>
      </c>
      <c r="FD89" s="870">
        <v>24</v>
      </c>
      <c r="FE89" s="870"/>
      <c r="FF89" s="870"/>
      <c r="FG89" s="870"/>
      <c r="FH89" s="870"/>
      <c r="FI89" s="870"/>
      <c r="FJ89" s="870"/>
      <c r="FK89" s="870">
        <f>PPH_Data_Base28[[#This Row],[Differential Pressure Switch]]*2</f>
        <v>0</v>
      </c>
      <c r="FL89" s="870"/>
      <c r="FM89" s="872"/>
      <c r="FN89" s="872"/>
      <c r="FO89" s="872">
        <f>PPH_Data_Base28[[#This Row],[Replaceble Filter Drier ]]</f>
        <v>148.5</v>
      </c>
      <c r="FP89" s="872">
        <f>PPH_Data_Base28[[#This Row],[2" Pre-Filter]]*2</f>
        <v>72</v>
      </c>
      <c r="FQ89" s="872">
        <f>PPH_Data_Base28[[#This Row],[Bag Filter EU-8]]</f>
        <v>307</v>
      </c>
      <c r="FR89" s="872"/>
      <c r="FS89" s="872">
        <v>30</v>
      </c>
      <c r="FT89" s="176"/>
      <c r="FU89" s="176"/>
      <c r="FV89" s="176"/>
      <c r="FW89" s="176"/>
      <c r="GW89" s="176"/>
      <c r="GX89" s="176"/>
      <c r="HC89" s="176"/>
    </row>
    <row r="90" spans="1:211">
      <c r="A90" s="780" t="s">
        <v>1703</v>
      </c>
      <c r="B90" s="781" t="s">
        <v>1567</v>
      </c>
      <c r="C90" s="781" t="s">
        <v>1567</v>
      </c>
      <c r="D90" s="870"/>
      <c r="E90" s="870"/>
      <c r="F90" s="870"/>
      <c r="G90" s="851">
        <v>0</v>
      </c>
      <c r="H90" s="870" t="s">
        <v>2250</v>
      </c>
      <c r="I90" s="781" t="s">
        <v>1554</v>
      </c>
      <c r="J90" s="781" t="s">
        <v>1562</v>
      </c>
      <c r="K90" s="781">
        <v>1</v>
      </c>
      <c r="L90" s="781" t="s">
        <v>568</v>
      </c>
      <c r="M90" s="781">
        <v>2</v>
      </c>
      <c r="N90" s="300">
        <v>2</v>
      </c>
      <c r="O90" s="781">
        <v>18</v>
      </c>
      <c r="P90" s="781">
        <v>9</v>
      </c>
      <c r="Q90" s="781">
        <v>1</v>
      </c>
      <c r="R90" s="781">
        <v>15</v>
      </c>
      <c r="S90" s="781">
        <v>1</v>
      </c>
      <c r="T90" s="781"/>
      <c r="U90" s="781"/>
      <c r="V90" s="781">
        <v>163</v>
      </c>
      <c r="W90" s="781">
        <v>383</v>
      </c>
      <c r="X90" s="870"/>
      <c r="Y90" s="835">
        <v>0</v>
      </c>
      <c r="Z90" s="782" t="s">
        <v>1433</v>
      </c>
      <c r="AA90" s="782">
        <v>4943</v>
      </c>
      <c r="AB90" s="870"/>
      <c r="AC90" s="834">
        <v>0</v>
      </c>
      <c r="AD90" s="781">
        <v>137</v>
      </c>
      <c r="AE90" s="870"/>
      <c r="AF90" s="870"/>
      <c r="AG90" s="870"/>
      <c r="AH90" s="781">
        <v>194</v>
      </c>
      <c r="AI90" s="870"/>
      <c r="AJ90" s="870"/>
      <c r="AK90" s="870"/>
      <c r="AL90" s="870">
        <f>PPH_Data_Base28[[#This Row],[PPH Unit Basic Price With Cu Tube]]*0.05</f>
        <v>247.15</v>
      </c>
      <c r="AM90" s="781">
        <v>280</v>
      </c>
      <c r="AN90" s="781"/>
      <c r="AO90" s="781"/>
      <c r="AP90" s="781">
        <v>220</v>
      </c>
      <c r="AQ90" s="781">
        <v>219</v>
      </c>
      <c r="AR90" s="781">
        <v>104</v>
      </c>
      <c r="AS90" s="781">
        <v>348</v>
      </c>
      <c r="AT90" s="781">
        <v>522</v>
      </c>
      <c r="AU90" s="781">
        <v>36</v>
      </c>
      <c r="AV90" s="781">
        <v>363</v>
      </c>
      <c r="AW90" s="870">
        <v>2157</v>
      </c>
      <c r="AX90" s="870">
        <v>266</v>
      </c>
      <c r="AY90" s="870"/>
      <c r="AZ90" s="870"/>
      <c r="BA90" s="870"/>
      <c r="BB90" s="870">
        <f>PPH_Data_Base28[[#This Row],[PPH Unit Basic Price With Cu Tube]]*0.1</f>
        <v>494.3</v>
      </c>
      <c r="BC90" s="870"/>
      <c r="BD90" s="870"/>
      <c r="BE90" s="870"/>
      <c r="BF90" s="870"/>
      <c r="BG90" s="870"/>
      <c r="BH90" s="870">
        <f>PPH_Data_Base28[[#This Row],[PPH Unit Basic Price With Cu Tube]]*0.075</f>
        <v>370.72499999999997</v>
      </c>
      <c r="BI90" s="870"/>
      <c r="BJ90" s="870"/>
      <c r="BK90" s="870"/>
      <c r="BL90" s="870"/>
      <c r="BM90" s="781">
        <f>PPH_Data_Base28[[#This Row],[Total Condenser Coil Area]]*Naming!$M$62*4</f>
        <v>1612.8</v>
      </c>
      <c r="BN90" s="781">
        <f>PPH_Data_Base28[[#This Row],[Total Evaporator  Coil Area]]*Naming!$M$62*4</f>
        <v>806.4</v>
      </c>
      <c r="BO90" s="781">
        <f>PPH_Data_Base28[[#This Row],[Total Condenser Coil Area]]*Naming!$D$61*4</f>
        <v>24.48</v>
      </c>
      <c r="BP90" s="781">
        <f>PPH_Data_Base28[[#This Row],[Total Evaporator  Coil Area]]*Naming!$D$61*6</f>
        <v>18.36</v>
      </c>
      <c r="BQ90" s="781">
        <f>$G$195*PPH_Data_Base28[[#This Row],[Total Evaporator  Coil Area]]</f>
        <v>40.5</v>
      </c>
      <c r="BR90" s="781">
        <f>$G$199*PPH_Data_Base28[[#This Row],[Total Evaporator  Coil Area]]</f>
        <v>61.199999999999996</v>
      </c>
      <c r="BS90" s="781">
        <f>$E$185*PPH_Data_Base28[[#This Row],[Total Evaporator  Coil Area]]</f>
        <v>180</v>
      </c>
      <c r="BT90" s="781">
        <f>$E$188*PPH_Data_Base28[[#This Row],[Total Evaporator  Coil Area]]</f>
        <v>252</v>
      </c>
      <c r="BU90" s="781">
        <f>$G$195*PPH_Data_Base28[[#This Row],[Total Condenser Coil Area]]</f>
        <v>81</v>
      </c>
      <c r="BV90" s="781">
        <f>$G$199*PPH_Data_Base28[[#This Row],[Total Condenser Coil Area]]</f>
        <v>122.39999999999999</v>
      </c>
      <c r="BW90" s="781">
        <f>$E$185*PPH_Data_Base28[[#This Row],[Total Condenser Coil Area]]</f>
        <v>360</v>
      </c>
      <c r="BX90" s="781">
        <f>$E$188*PPH_Data_Base28[[#This Row],[Total Condenser Coil Area]]</f>
        <v>504</v>
      </c>
      <c r="BY90" s="781">
        <v>74</v>
      </c>
      <c r="BZ90" s="870"/>
      <c r="CA90" s="870"/>
      <c r="CB90" s="870"/>
      <c r="CC90" s="870">
        <f>PPH_Data_Base28[[#This Row],[PPH Unit Basic Price With Cu Tube]]*0.05</f>
        <v>247.15</v>
      </c>
      <c r="CD90" s="870">
        <f>PPH_Data_Base28[[#This Row],[PPH Unit Basic Price With Cu Tube]]*0.03</f>
        <v>148.29</v>
      </c>
      <c r="CE90" s="870">
        <v>20</v>
      </c>
      <c r="CF90" s="832">
        <v>0</v>
      </c>
      <c r="CG90" s="870">
        <f>PPH_Data_Base28[[#This Row],[PPH Unit Basic Price With Cu Tube]]*0.25</f>
        <v>1235.75</v>
      </c>
      <c r="CH90" s="870">
        <f>PPH_Data_Base28[[#This Row],[DSP Unit Basic Price With Cu Tube]]*0.35</f>
        <v>0</v>
      </c>
      <c r="CI90" s="781">
        <f t="shared" si="11"/>
        <v>133.65</v>
      </c>
      <c r="CJ90" s="781">
        <f t="shared" si="12"/>
        <v>125.55000000000001</v>
      </c>
      <c r="CK90" s="781">
        <f t="shared" si="13"/>
        <v>37.800000000000004</v>
      </c>
      <c r="CL90" s="781">
        <f>110*1.35*PPH_Data_Base28[[#This Row],[No. of Unit  Compressors]]</f>
        <v>148.5</v>
      </c>
      <c r="CM90" s="870">
        <f>140*1.35*PPH_Data_Base28[[#This Row],[No. of Unit  Compressors]]</f>
        <v>189</v>
      </c>
      <c r="CN90" s="781">
        <f>180*1.35*PPH_Data_Base28[[#This Row],[No. of Unit  Compressors]]</f>
        <v>243.00000000000003</v>
      </c>
      <c r="CO90" s="870">
        <v>0</v>
      </c>
      <c r="CP90" s="781">
        <f>160*1.35*PPH_Data_Base28[[#This Row],[No. of Unit  Compressors]]</f>
        <v>216</v>
      </c>
      <c r="CQ90" s="870"/>
      <c r="CR90" s="781">
        <v>800</v>
      </c>
      <c r="CS90" s="870">
        <f>PPH_Data_Base28[[#This Row],[PPH Unit Basic Price With Cu Tube]]*0.35</f>
        <v>1730.05</v>
      </c>
      <c r="CT90" s="781">
        <f>$L$252*1.35*PPH_Data_Base28[[#This Row],[No. of Unit  Compressors]]</f>
        <v>0</v>
      </c>
      <c r="CU90" s="870"/>
      <c r="CV90" s="870"/>
      <c r="CW90" s="781">
        <f>400*1.35*PPH_Data_Base28[[#This Row],[No. of Unit  Compressors]]</f>
        <v>540</v>
      </c>
      <c r="CX90" s="835"/>
      <c r="CY90" s="871">
        <f>47*PPH_Data_Base28[[#This Row],[No. of Unit  Compressors]]*1.35</f>
        <v>63.45</v>
      </c>
      <c r="CZ90" s="871">
        <f>30*1.35*PPH_Data_Base28[[#This Row],[NO Condenser Fans]]</f>
        <v>81</v>
      </c>
      <c r="DA90" s="781">
        <f>INDEX($B$136:$F$154,MATCH(PPH_Data_Base28[[#This Row],[STD Supply Fan Motor]],$B$136:$B$154,0),5)*PPH_Data_Base28[[#This Row],[Fan QTY]]</f>
        <v>36.69975367231639</v>
      </c>
      <c r="DB90" s="871">
        <f>47*1.35*PPH_Data_Base28[[#This Row],[No. of Unit  Compressors]]</f>
        <v>63.45</v>
      </c>
      <c r="DC90" s="871">
        <f>28*PPH_Data_Base28[[#This Row],[NO Condenser Fans]]</f>
        <v>56</v>
      </c>
      <c r="DD90" s="781">
        <f>INDEX($B$136:$F$154,MATCH(PPH_Data_Base28[[#This Row],[STD Supply Fan Motor]],$B$136:$B$154,0),3)*PPH_Data_Base28[[#This Row],[Fan QTY]]</f>
        <v>24.627741525423726</v>
      </c>
      <c r="DE90" s="870"/>
      <c r="DF90" s="870"/>
      <c r="DG90" s="870"/>
      <c r="DH90" s="781">
        <v>60</v>
      </c>
      <c r="DI90" s="781">
        <v>120</v>
      </c>
      <c r="DJ90" s="870">
        <v>4300</v>
      </c>
      <c r="DK90" s="870">
        <v>4300</v>
      </c>
      <c r="DL90" s="870">
        <v>1699</v>
      </c>
      <c r="DM90" s="870"/>
      <c r="DN90" s="870"/>
      <c r="DO90" s="870"/>
      <c r="DP90" s="781">
        <v>400</v>
      </c>
      <c r="DQ90" s="781">
        <f>PPH_Data_Base28[[#This Row],[NEMA 4X For Electrical Panel]]</f>
        <v>400</v>
      </c>
      <c r="DR90" s="870"/>
      <c r="DS90" s="870"/>
      <c r="DT90" s="870">
        <f>PPH_Data_Base28[[#This Row],[NO Condenser Fans]]*350</f>
        <v>700</v>
      </c>
      <c r="DU90" s="870"/>
      <c r="DV90" s="870">
        <f>150*PPH_Data_Base28[[#This Row],[NO Condenser Fans]]</f>
        <v>300</v>
      </c>
      <c r="DW90" s="781">
        <f>720*1.35*PPH_Data_Base28[[#This Row],[NO Condenser Fans]]</f>
        <v>1944.0000000000002</v>
      </c>
      <c r="DX90" s="781">
        <v>250</v>
      </c>
      <c r="DY90" s="870">
        <v>700</v>
      </c>
      <c r="DZ90" s="870"/>
      <c r="EA90" s="870"/>
      <c r="EB90" s="870"/>
      <c r="EC90" s="870"/>
      <c r="ED90" s="870"/>
      <c r="EE90" s="870"/>
      <c r="EF90" s="870"/>
      <c r="EG90" s="870"/>
      <c r="EH90" s="870"/>
      <c r="EI90" s="870"/>
      <c r="EJ90" s="870"/>
      <c r="EK90" s="870"/>
      <c r="EL90" s="870"/>
      <c r="EM90" s="870"/>
      <c r="EN90" s="870"/>
      <c r="EO90" s="870"/>
      <c r="EP90" s="870"/>
      <c r="EQ90" s="870"/>
      <c r="ER90" s="870"/>
      <c r="ES90" s="870"/>
      <c r="ET90" s="870"/>
      <c r="EU90" s="870"/>
      <c r="EV90" s="870"/>
      <c r="EW90" s="847"/>
      <c r="EX90" s="781">
        <f>4*50*1.35*PPH_Data_Base28[[#This Row],[Fan QTY]]</f>
        <v>270</v>
      </c>
      <c r="EY90" s="781">
        <f>4*100*1.35*PPH_Data_Base28[[#This Row],[Fan QTY]]</f>
        <v>540</v>
      </c>
      <c r="EZ90" s="870"/>
      <c r="FA90" s="870">
        <v>40</v>
      </c>
      <c r="FB90" s="870">
        <v>40</v>
      </c>
      <c r="FC90" s="870">
        <v>24</v>
      </c>
      <c r="FD90" s="870">
        <v>24</v>
      </c>
      <c r="FE90" s="870"/>
      <c r="FF90" s="870"/>
      <c r="FG90" s="870"/>
      <c r="FH90" s="870"/>
      <c r="FI90" s="870"/>
      <c r="FJ90" s="870"/>
      <c r="FK90" s="870">
        <f>PPH_Data_Base28[[#This Row],[Differential Pressure Switch]]*2</f>
        <v>0</v>
      </c>
      <c r="FL90" s="870"/>
      <c r="FM90" s="872"/>
      <c r="FN90" s="872"/>
      <c r="FO90" s="872">
        <f>PPH_Data_Base28[[#This Row],[Replaceble Filter Drier ]]</f>
        <v>148.5</v>
      </c>
      <c r="FP90" s="872">
        <f>PPH_Data_Base28[[#This Row],[2" Pre-Filter]]*2</f>
        <v>72</v>
      </c>
      <c r="FQ90" s="872">
        <f>PPH_Data_Base28[[#This Row],[Bag Filter EU-8]]</f>
        <v>363</v>
      </c>
      <c r="FR90" s="872"/>
      <c r="FS90" s="872">
        <v>30</v>
      </c>
      <c r="FT90" s="176"/>
      <c r="FU90" s="176"/>
      <c r="FV90" s="176"/>
      <c r="FW90" s="176"/>
      <c r="GW90" s="176"/>
      <c r="GX90" s="176"/>
      <c r="HC90" s="176"/>
    </row>
    <row r="91" spans="1:211">
      <c r="A91" s="780" t="s">
        <v>1704</v>
      </c>
      <c r="B91" s="781" t="s">
        <v>1575</v>
      </c>
      <c r="C91" s="781" t="s">
        <v>1575</v>
      </c>
      <c r="D91" s="870"/>
      <c r="E91" s="870"/>
      <c r="F91" s="870"/>
      <c r="G91" s="851">
        <v>0</v>
      </c>
      <c r="H91" s="870" t="s">
        <v>2250</v>
      </c>
      <c r="I91" s="781" t="s">
        <v>1554</v>
      </c>
      <c r="J91" s="781" t="s">
        <v>1562</v>
      </c>
      <c r="K91" s="781">
        <v>1</v>
      </c>
      <c r="L91" s="781" t="s">
        <v>568</v>
      </c>
      <c r="M91" s="781">
        <v>2</v>
      </c>
      <c r="N91" s="300">
        <v>2</v>
      </c>
      <c r="O91" s="781">
        <v>18</v>
      </c>
      <c r="P91" s="781">
        <v>9</v>
      </c>
      <c r="Q91" s="781">
        <v>1</v>
      </c>
      <c r="R91" s="781">
        <v>12</v>
      </c>
      <c r="S91" s="781">
        <v>1</v>
      </c>
      <c r="T91" s="781">
        <v>10.5</v>
      </c>
      <c r="U91" s="781">
        <v>1</v>
      </c>
      <c r="V91" s="781">
        <v>163</v>
      </c>
      <c r="W91" s="781">
        <v>383</v>
      </c>
      <c r="X91" s="870"/>
      <c r="Y91" s="835">
        <v>0</v>
      </c>
      <c r="Z91" s="782" t="s">
        <v>1433</v>
      </c>
      <c r="AA91" s="782">
        <v>6038</v>
      </c>
      <c r="AB91" s="870"/>
      <c r="AC91" s="834">
        <v>0</v>
      </c>
      <c r="AD91" s="781">
        <v>137</v>
      </c>
      <c r="AE91" s="870"/>
      <c r="AF91" s="870"/>
      <c r="AG91" s="870"/>
      <c r="AH91" s="781">
        <v>194</v>
      </c>
      <c r="AI91" s="870"/>
      <c r="AJ91" s="870"/>
      <c r="AK91" s="870"/>
      <c r="AL91" s="870">
        <f>PPH_Data_Base28[[#This Row],[PPH Unit Basic Price With Cu Tube]]*0.05</f>
        <v>301.90000000000003</v>
      </c>
      <c r="AM91" s="781">
        <v>280</v>
      </c>
      <c r="AN91" s="781"/>
      <c r="AO91" s="781"/>
      <c r="AP91" s="781">
        <v>220</v>
      </c>
      <c r="AQ91" s="781">
        <v>219</v>
      </c>
      <c r="AR91" s="781">
        <v>104</v>
      </c>
      <c r="AS91" s="781">
        <v>348</v>
      </c>
      <c r="AT91" s="781">
        <v>522</v>
      </c>
      <c r="AU91" s="781">
        <v>36</v>
      </c>
      <c r="AV91" s="781">
        <v>365</v>
      </c>
      <c r="AW91" s="870">
        <v>2157</v>
      </c>
      <c r="AX91" s="870">
        <v>266</v>
      </c>
      <c r="AY91" s="870"/>
      <c r="AZ91" s="870"/>
      <c r="BA91" s="870"/>
      <c r="BB91" s="870">
        <f>PPH_Data_Base28[[#This Row],[PPH Unit Basic Price With Cu Tube]]*0.1</f>
        <v>603.80000000000007</v>
      </c>
      <c r="BC91" s="870"/>
      <c r="BD91" s="870"/>
      <c r="BE91" s="870"/>
      <c r="BF91" s="870"/>
      <c r="BG91" s="870"/>
      <c r="BH91" s="870">
        <f>PPH_Data_Base28[[#This Row],[PPH Unit Basic Price With Cu Tube]]*0.075</f>
        <v>452.84999999999997</v>
      </c>
      <c r="BI91" s="870"/>
      <c r="BJ91" s="870"/>
      <c r="BK91" s="870"/>
      <c r="BL91" s="870"/>
      <c r="BM91" s="781">
        <f>PPH_Data_Base28[[#This Row],[Total Condenser Coil Area]]*Naming!$M$62*4</f>
        <v>1612.8</v>
      </c>
      <c r="BN91" s="781">
        <f>PPH_Data_Base28[[#This Row],[Total Evaporator  Coil Area]]*Naming!$M$62*4</f>
        <v>806.4</v>
      </c>
      <c r="BO91" s="781">
        <f>PPH_Data_Base28[[#This Row],[Total Condenser Coil Area]]*Naming!$D$61*4</f>
        <v>24.48</v>
      </c>
      <c r="BP91" s="781">
        <f>PPH_Data_Base28[[#This Row],[Total Evaporator  Coil Area]]*Naming!$D$61*6</f>
        <v>18.36</v>
      </c>
      <c r="BQ91" s="781">
        <f>$G$195*PPH_Data_Base28[[#This Row],[Total Evaporator  Coil Area]]</f>
        <v>40.5</v>
      </c>
      <c r="BR91" s="781">
        <f>$G$199*PPH_Data_Base28[[#This Row],[Total Evaporator  Coil Area]]</f>
        <v>61.199999999999996</v>
      </c>
      <c r="BS91" s="781">
        <f>$E$185*PPH_Data_Base28[[#This Row],[Total Evaporator  Coil Area]]</f>
        <v>180</v>
      </c>
      <c r="BT91" s="781">
        <f>$E$188*PPH_Data_Base28[[#This Row],[Total Evaporator  Coil Area]]</f>
        <v>252</v>
      </c>
      <c r="BU91" s="781">
        <f>$G$195*PPH_Data_Base28[[#This Row],[Total Condenser Coil Area]]</f>
        <v>81</v>
      </c>
      <c r="BV91" s="781">
        <f>$G$199*PPH_Data_Base28[[#This Row],[Total Condenser Coil Area]]</f>
        <v>122.39999999999999</v>
      </c>
      <c r="BW91" s="781">
        <f>$E$185*PPH_Data_Base28[[#This Row],[Total Condenser Coil Area]]</f>
        <v>360</v>
      </c>
      <c r="BX91" s="781">
        <f>$E$188*PPH_Data_Base28[[#This Row],[Total Condenser Coil Area]]</f>
        <v>504</v>
      </c>
      <c r="BY91" s="781">
        <v>74</v>
      </c>
      <c r="BZ91" s="870"/>
      <c r="CA91" s="870"/>
      <c r="CB91" s="870"/>
      <c r="CC91" s="870">
        <f>PPH_Data_Base28[[#This Row],[PPH Unit Basic Price With Cu Tube]]*0.05</f>
        <v>301.90000000000003</v>
      </c>
      <c r="CD91" s="870">
        <f>PPH_Data_Base28[[#This Row],[PPH Unit Basic Price With Cu Tube]]*0.03</f>
        <v>181.14</v>
      </c>
      <c r="CE91" s="870">
        <v>20</v>
      </c>
      <c r="CF91" s="832">
        <v>0</v>
      </c>
      <c r="CG91" s="870">
        <f>PPH_Data_Base28[[#This Row],[PPH Unit Basic Price With Cu Tube]]*0.25</f>
        <v>1509.5</v>
      </c>
      <c r="CH91" s="870">
        <f>PPH_Data_Base28[[#This Row],[DSP Unit Basic Price With Cu Tube]]*0.35</f>
        <v>0</v>
      </c>
      <c r="CI91" s="781">
        <f t="shared" si="11"/>
        <v>133.65</v>
      </c>
      <c r="CJ91" s="781">
        <f t="shared" si="12"/>
        <v>125.55000000000001</v>
      </c>
      <c r="CK91" s="781">
        <f t="shared" si="13"/>
        <v>37.800000000000004</v>
      </c>
      <c r="CL91" s="781">
        <f>110*1.35*PPH_Data_Base28[[#This Row],[No. of Unit  Compressors]]</f>
        <v>148.5</v>
      </c>
      <c r="CM91" s="870">
        <f>140*1.35*PPH_Data_Base28[[#This Row],[No. of Unit  Compressors]]</f>
        <v>189</v>
      </c>
      <c r="CN91" s="781">
        <f>180*1.35*PPH_Data_Base28[[#This Row],[No. of Unit  Compressors]]</f>
        <v>243.00000000000003</v>
      </c>
      <c r="CO91" s="870">
        <v>0</v>
      </c>
      <c r="CP91" s="781">
        <f>160*1.35*PPH_Data_Base28[[#This Row],[No. of Unit  Compressors]]</f>
        <v>216</v>
      </c>
      <c r="CQ91" s="870"/>
      <c r="CR91" s="781">
        <v>800</v>
      </c>
      <c r="CS91" s="870">
        <f>PPH_Data_Base28[[#This Row],[PPH Unit Basic Price With Cu Tube]]*0.35</f>
        <v>2113.2999999999997</v>
      </c>
      <c r="CT91" s="781">
        <f>$L$252*1.35*PPH_Data_Base28[[#This Row],[No. of Unit  Compressors]]</f>
        <v>0</v>
      </c>
      <c r="CU91" s="870"/>
      <c r="CV91" s="870"/>
      <c r="CW91" s="781">
        <f>400*1.35*PPH_Data_Base28[[#This Row],[No. of Unit  Compressors]]</f>
        <v>540</v>
      </c>
      <c r="CX91" s="835"/>
      <c r="CY91" s="871">
        <f>47*PPH_Data_Base28[[#This Row],[No. of Unit  Compressors]]*1.35</f>
        <v>63.45</v>
      </c>
      <c r="CZ91" s="871">
        <f>30*1.35*PPH_Data_Base28[[#This Row],[NO Condenser Fans]]</f>
        <v>81</v>
      </c>
      <c r="DA91" s="781">
        <f>INDEX($B$136:$F$154,MATCH(PPH_Data_Base28[[#This Row],[STD Supply Fan Motor]],$B$136:$B$154,0),5)*PPH_Data_Base28[[#This Row],[Fan QTY]]</f>
        <v>36.69975367231639</v>
      </c>
      <c r="DB91" s="871">
        <f>47*1.35*PPH_Data_Base28[[#This Row],[No. of Unit  Compressors]]</f>
        <v>63.45</v>
      </c>
      <c r="DC91" s="871">
        <f>28*PPH_Data_Base28[[#This Row],[NO Condenser Fans]]</f>
        <v>56</v>
      </c>
      <c r="DD91" s="781">
        <f>INDEX($B$136:$F$154,MATCH(PPH_Data_Base28[[#This Row],[STD Supply Fan Motor]],$B$136:$B$154,0),3)*PPH_Data_Base28[[#This Row],[Fan QTY]]</f>
        <v>24.627741525423726</v>
      </c>
      <c r="DE91" s="870"/>
      <c r="DF91" s="870"/>
      <c r="DG91" s="870"/>
      <c r="DH91" s="781">
        <v>60</v>
      </c>
      <c r="DI91" s="781">
        <v>120</v>
      </c>
      <c r="DJ91" s="870">
        <v>3000</v>
      </c>
      <c r="DK91" s="870">
        <v>6000</v>
      </c>
      <c r="DL91" s="870">
        <v>1699</v>
      </c>
      <c r="DM91" s="870"/>
      <c r="DN91" s="870"/>
      <c r="DO91" s="870"/>
      <c r="DP91" s="781">
        <v>400</v>
      </c>
      <c r="DQ91" s="781">
        <f>PPH_Data_Base28[[#This Row],[NEMA 4X For Electrical Panel]]</f>
        <v>400</v>
      </c>
      <c r="DR91" s="870"/>
      <c r="DS91" s="870"/>
      <c r="DT91" s="870">
        <f>PPH_Data_Base28[[#This Row],[NO Condenser Fans]]*350</f>
        <v>700</v>
      </c>
      <c r="DU91" s="870"/>
      <c r="DV91" s="870">
        <f>150*PPH_Data_Base28[[#This Row],[NO Condenser Fans]]</f>
        <v>300</v>
      </c>
      <c r="DW91" s="781">
        <f>720*1.35*PPH_Data_Base28[[#This Row],[NO Condenser Fans]]</f>
        <v>1944.0000000000002</v>
      </c>
      <c r="DX91" s="781">
        <v>250</v>
      </c>
      <c r="DY91" s="870">
        <v>700</v>
      </c>
      <c r="DZ91" s="870"/>
      <c r="EA91" s="870"/>
      <c r="EB91" s="870"/>
      <c r="EC91" s="870"/>
      <c r="ED91" s="870"/>
      <c r="EE91" s="870"/>
      <c r="EF91" s="870"/>
      <c r="EG91" s="870"/>
      <c r="EH91" s="870"/>
      <c r="EI91" s="870"/>
      <c r="EJ91" s="870"/>
      <c r="EK91" s="870"/>
      <c r="EL91" s="870"/>
      <c r="EM91" s="870"/>
      <c r="EN91" s="870"/>
      <c r="EO91" s="870"/>
      <c r="EP91" s="870"/>
      <c r="EQ91" s="870"/>
      <c r="ER91" s="870"/>
      <c r="ES91" s="870"/>
      <c r="ET91" s="870"/>
      <c r="EU91" s="870"/>
      <c r="EV91" s="870"/>
      <c r="EW91" s="847"/>
      <c r="EX91" s="781">
        <f>4*50*1.35*PPH_Data_Base28[[#This Row],[Fan QTY]]</f>
        <v>270</v>
      </c>
      <c r="EY91" s="781">
        <f>4*100*1.35*PPH_Data_Base28[[#This Row],[Fan QTY]]</f>
        <v>540</v>
      </c>
      <c r="EZ91" s="870"/>
      <c r="FA91" s="870">
        <v>40</v>
      </c>
      <c r="FB91" s="870">
        <v>40</v>
      </c>
      <c r="FC91" s="870">
        <v>24</v>
      </c>
      <c r="FD91" s="870">
        <v>24</v>
      </c>
      <c r="FE91" s="870"/>
      <c r="FF91" s="870"/>
      <c r="FG91" s="870"/>
      <c r="FH91" s="870"/>
      <c r="FI91" s="870"/>
      <c r="FJ91" s="870"/>
      <c r="FK91" s="870">
        <f>PPH_Data_Base28[[#This Row],[Differential Pressure Switch]]*2</f>
        <v>0</v>
      </c>
      <c r="FL91" s="870"/>
      <c r="FM91" s="872"/>
      <c r="FN91" s="872"/>
      <c r="FO91" s="872">
        <f>PPH_Data_Base28[[#This Row],[Replaceble Filter Drier ]]</f>
        <v>148.5</v>
      </c>
      <c r="FP91" s="872">
        <f>PPH_Data_Base28[[#This Row],[2" Pre-Filter]]*2</f>
        <v>72</v>
      </c>
      <c r="FQ91" s="872">
        <f>PPH_Data_Base28[[#This Row],[Bag Filter EU-8]]</f>
        <v>365</v>
      </c>
      <c r="FR91" s="872"/>
      <c r="FS91" s="872">
        <v>30</v>
      </c>
      <c r="FT91" s="176"/>
      <c r="FU91" s="176"/>
      <c r="FV91" s="176"/>
      <c r="FW91" s="176"/>
      <c r="GW91" s="176"/>
      <c r="GX91" s="176"/>
      <c r="HC91" s="176"/>
    </row>
    <row r="92" spans="1:211">
      <c r="A92" s="780" t="s">
        <v>1705</v>
      </c>
      <c r="B92" s="781" t="s">
        <v>1583</v>
      </c>
      <c r="C92" s="781" t="s">
        <v>1583</v>
      </c>
      <c r="D92" s="870"/>
      <c r="E92" s="870"/>
      <c r="F92" s="870"/>
      <c r="G92" s="851">
        <v>0</v>
      </c>
      <c r="H92" s="870" t="s">
        <v>2250</v>
      </c>
      <c r="I92" s="781" t="s">
        <v>755</v>
      </c>
      <c r="J92" s="781" t="s">
        <v>1562</v>
      </c>
      <c r="K92" s="781">
        <v>1</v>
      </c>
      <c r="L92" s="781" t="s">
        <v>568</v>
      </c>
      <c r="M92" s="781">
        <v>3</v>
      </c>
      <c r="N92" s="300">
        <v>3</v>
      </c>
      <c r="O92" s="781">
        <v>31.1</v>
      </c>
      <c r="P92" s="781">
        <v>17.7</v>
      </c>
      <c r="Q92" s="781">
        <v>2</v>
      </c>
      <c r="R92" s="781">
        <v>12</v>
      </c>
      <c r="S92" s="781">
        <v>2</v>
      </c>
      <c r="T92" s="781"/>
      <c r="U92" s="781"/>
      <c r="V92" s="781">
        <v>256</v>
      </c>
      <c r="W92" s="781">
        <v>383</v>
      </c>
      <c r="X92" s="870"/>
      <c r="Y92" s="835">
        <v>0</v>
      </c>
      <c r="Z92" s="782" t="s">
        <v>1433</v>
      </c>
      <c r="AA92" s="782">
        <v>6966</v>
      </c>
      <c r="AB92" s="870"/>
      <c r="AC92" s="834">
        <v>0</v>
      </c>
      <c r="AD92" s="781">
        <v>137</v>
      </c>
      <c r="AE92" s="870"/>
      <c r="AF92" s="870"/>
      <c r="AG92" s="870"/>
      <c r="AH92" s="781">
        <v>206</v>
      </c>
      <c r="AI92" s="870"/>
      <c r="AJ92" s="870"/>
      <c r="AK92" s="870"/>
      <c r="AL92" s="870">
        <f>PPH_Data_Base28[[#This Row],[PPH Unit Basic Price With Cu Tube]]*0.05</f>
        <v>348.3</v>
      </c>
      <c r="AM92" s="781">
        <v>280</v>
      </c>
      <c r="AN92" s="781"/>
      <c r="AO92" s="781"/>
      <c r="AP92" s="781">
        <v>325</v>
      </c>
      <c r="AQ92" s="781">
        <v>248</v>
      </c>
      <c r="AR92" s="781">
        <v>156</v>
      </c>
      <c r="AS92" s="781">
        <v>521</v>
      </c>
      <c r="AT92" s="781">
        <v>782</v>
      </c>
      <c r="AU92" s="781">
        <v>62</v>
      </c>
      <c r="AV92" s="781">
        <v>447</v>
      </c>
      <c r="AW92" s="870">
        <v>2545</v>
      </c>
      <c r="AX92" s="870">
        <v>363</v>
      </c>
      <c r="AY92" s="870"/>
      <c r="AZ92" s="870"/>
      <c r="BA92" s="870"/>
      <c r="BB92" s="870">
        <f>PPH_Data_Base28[[#This Row],[PPH Unit Basic Price With Cu Tube]]*0.1</f>
        <v>696.6</v>
      </c>
      <c r="BC92" s="870"/>
      <c r="BD92" s="870"/>
      <c r="BE92" s="870"/>
      <c r="BF92" s="870"/>
      <c r="BG92" s="870"/>
      <c r="BH92" s="870">
        <f>PPH_Data_Base28[[#This Row],[PPH Unit Basic Price With Cu Tube]]*0.075</f>
        <v>522.44999999999993</v>
      </c>
      <c r="BI92" s="870"/>
      <c r="BJ92" s="870"/>
      <c r="BK92" s="870"/>
      <c r="BL92" s="870"/>
      <c r="BM92" s="781">
        <f>PPH_Data_Base28[[#This Row],[Total Condenser Coil Area]]*Naming!$M$62*4</f>
        <v>2786.56</v>
      </c>
      <c r="BN92" s="781">
        <f>PPH_Data_Base28[[#This Row],[Total Evaporator  Coil Area]]*Naming!$M$62*4</f>
        <v>1585.9199999999998</v>
      </c>
      <c r="BO92" s="781">
        <f>PPH_Data_Base28[[#This Row],[Total Condenser Coil Area]]*Naming!$D$61*4</f>
        <v>42.296000000000006</v>
      </c>
      <c r="BP92" s="781">
        <f>PPH_Data_Base28[[#This Row],[Total Evaporator  Coil Area]]*Naming!$D$61*6</f>
        <v>36.107999999999997</v>
      </c>
      <c r="BQ92" s="781">
        <f>$G$195*PPH_Data_Base28[[#This Row],[Total Evaporator  Coil Area]]</f>
        <v>79.649999999999991</v>
      </c>
      <c r="BR92" s="781">
        <f>$G$199*PPH_Data_Base28[[#This Row],[Total Evaporator  Coil Area]]</f>
        <v>120.35999999999999</v>
      </c>
      <c r="BS92" s="781">
        <f>$E$185*PPH_Data_Base28[[#This Row],[Total Evaporator  Coil Area]]</f>
        <v>354</v>
      </c>
      <c r="BT92" s="781">
        <f>$E$188*PPH_Data_Base28[[#This Row],[Total Evaporator  Coil Area]]</f>
        <v>495.59999999999997</v>
      </c>
      <c r="BU92" s="781">
        <f>$G$195*PPH_Data_Base28[[#This Row],[Total Condenser Coil Area]]</f>
        <v>139.95000000000002</v>
      </c>
      <c r="BV92" s="781">
        <f>$G$199*PPH_Data_Base28[[#This Row],[Total Condenser Coil Area]]</f>
        <v>211.48000000000002</v>
      </c>
      <c r="BW92" s="781">
        <f>$E$185*PPH_Data_Base28[[#This Row],[Total Condenser Coil Area]]</f>
        <v>622</v>
      </c>
      <c r="BX92" s="781">
        <f>$E$188*PPH_Data_Base28[[#This Row],[Total Condenser Coil Area]]</f>
        <v>870.80000000000007</v>
      </c>
      <c r="BY92" s="781">
        <v>95</v>
      </c>
      <c r="BZ92" s="870"/>
      <c r="CA92" s="870"/>
      <c r="CB92" s="870"/>
      <c r="CC92" s="870">
        <f>PPH_Data_Base28[[#This Row],[PPH Unit Basic Price With Cu Tube]]*0.05</f>
        <v>348.3</v>
      </c>
      <c r="CD92" s="870">
        <f>PPH_Data_Base28[[#This Row],[PPH Unit Basic Price With Cu Tube]]*0.03</f>
        <v>208.98</v>
      </c>
      <c r="CE92" s="870">
        <v>20</v>
      </c>
      <c r="CF92" s="832">
        <v>0</v>
      </c>
      <c r="CG92" s="870">
        <f>PPH_Data_Base28[[#This Row],[PPH Unit Basic Price With Cu Tube]]*0.25</f>
        <v>1741.5</v>
      </c>
      <c r="CH92" s="870">
        <f>PPH_Data_Base28[[#This Row],[DSP Unit Basic Price With Cu Tube]]*0.35</f>
        <v>0</v>
      </c>
      <c r="CI92" s="781">
        <f t="shared" si="11"/>
        <v>267.3</v>
      </c>
      <c r="CJ92" s="781">
        <f t="shared" si="12"/>
        <v>251.10000000000002</v>
      </c>
      <c r="CK92" s="781">
        <f t="shared" si="13"/>
        <v>75.600000000000009</v>
      </c>
      <c r="CL92" s="781">
        <f>110*1.35*PPH_Data_Base28[[#This Row],[No. of Unit  Compressors]]</f>
        <v>297</v>
      </c>
      <c r="CM92" s="870">
        <f>140*1.35*PPH_Data_Base28[[#This Row],[No. of Unit  Compressors]]</f>
        <v>378</v>
      </c>
      <c r="CN92" s="781">
        <f>180*1.35*PPH_Data_Base28[[#This Row],[No. of Unit  Compressors]]</f>
        <v>486.00000000000006</v>
      </c>
      <c r="CO92" s="870">
        <v>0</v>
      </c>
      <c r="CP92" s="781">
        <f>160*1.35*PPH_Data_Base28[[#This Row],[No. of Unit  Compressors]]</f>
        <v>432</v>
      </c>
      <c r="CQ92" s="870"/>
      <c r="CR92" s="781">
        <v>800</v>
      </c>
      <c r="CS92" s="870">
        <f>PPH_Data_Base28[[#This Row],[PPH Unit Basic Price With Cu Tube]]*0.35</f>
        <v>2438.1</v>
      </c>
      <c r="CT92" s="781">
        <f>$L$252*1.35*PPH_Data_Base28[[#This Row],[No. of Unit  Compressors]]</f>
        <v>0</v>
      </c>
      <c r="CU92" s="870"/>
      <c r="CV92" s="870"/>
      <c r="CW92" s="781">
        <f>400*1.35*PPH_Data_Base28[[#This Row],[No. of Unit  Compressors]]</f>
        <v>1080</v>
      </c>
      <c r="CX92" s="835"/>
      <c r="CY92" s="871">
        <f>47*PPH_Data_Base28[[#This Row],[No. of Unit  Compressors]]*1.35</f>
        <v>126.9</v>
      </c>
      <c r="CZ92" s="871">
        <f>30*1.35*PPH_Data_Base28[[#This Row],[NO Condenser Fans]]</f>
        <v>121.5</v>
      </c>
      <c r="DA92" s="781">
        <f>INDEX($B$136:$F$154,MATCH(PPH_Data_Base28[[#This Row],[STD Supply Fan Motor]],$B$136:$B$154,0),5)*PPH_Data_Base28[[#This Row],[Fan QTY]]</f>
        <v>36.69975367231639</v>
      </c>
      <c r="DB92" s="871">
        <f>47*1.35*PPH_Data_Base28[[#This Row],[No. of Unit  Compressors]]</f>
        <v>126.9</v>
      </c>
      <c r="DC92" s="871">
        <f>28*PPH_Data_Base28[[#This Row],[NO Condenser Fans]]</f>
        <v>84</v>
      </c>
      <c r="DD92" s="781">
        <f>INDEX($B$136:$F$154,MATCH(PPH_Data_Base28[[#This Row],[STD Supply Fan Motor]],$B$136:$B$154,0),3)*PPH_Data_Base28[[#This Row],[Fan QTY]]</f>
        <v>24.627741525423726</v>
      </c>
      <c r="DE92" s="870"/>
      <c r="DF92" s="870"/>
      <c r="DG92" s="870"/>
      <c r="DH92" s="781">
        <v>60</v>
      </c>
      <c r="DI92" s="781">
        <v>178</v>
      </c>
      <c r="DJ92" s="870">
        <v>3000</v>
      </c>
      <c r="DK92" s="870">
        <v>6000</v>
      </c>
      <c r="DL92" s="870">
        <v>1699</v>
      </c>
      <c r="DM92" s="870"/>
      <c r="DN92" s="870"/>
      <c r="DO92" s="870"/>
      <c r="DP92" s="781">
        <v>450</v>
      </c>
      <c r="DQ92" s="781">
        <f>PPH_Data_Base28[[#This Row],[NEMA 4X For Electrical Panel]]</f>
        <v>450</v>
      </c>
      <c r="DR92" s="870"/>
      <c r="DS92" s="870"/>
      <c r="DT92" s="870">
        <f>PPH_Data_Base28[[#This Row],[NO Condenser Fans]]*350</f>
        <v>1050</v>
      </c>
      <c r="DU92" s="870"/>
      <c r="DV92" s="870">
        <f>150*PPH_Data_Base28[[#This Row],[NO Condenser Fans]]</f>
        <v>450</v>
      </c>
      <c r="DW92" s="781">
        <f>720*1.35*PPH_Data_Base28[[#This Row],[NO Condenser Fans]]</f>
        <v>2916.0000000000005</v>
      </c>
      <c r="DX92" s="781">
        <v>250</v>
      </c>
      <c r="DY92" s="870">
        <v>700</v>
      </c>
      <c r="DZ92" s="870"/>
      <c r="EA92" s="870"/>
      <c r="EB92" s="870"/>
      <c r="EC92" s="870"/>
      <c r="ED92" s="870"/>
      <c r="EE92" s="870"/>
      <c r="EF92" s="870"/>
      <c r="EG92" s="870"/>
      <c r="EH92" s="870"/>
      <c r="EI92" s="870"/>
      <c r="EJ92" s="870"/>
      <c r="EK92" s="870"/>
      <c r="EL92" s="870"/>
      <c r="EM92" s="870"/>
      <c r="EN92" s="870"/>
      <c r="EO92" s="870"/>
      <c r="EP92" s="870"/>
      <c r="EQ92" s="870"/>
      <c r="ER92" s="870"/>
      <c r="ES92" s="870"/>
      <c r="ET92" s="870"/>
      <c r="EU92" s="870"/>
      <c r="EV92" s="870"/>
      <c r="EW92" s="847"/>
      <c r="EX92" s="781">
        <f>4*50*1.35*PPH_Data_Base28[[#This Row],[Fan QTY]]</f>
        <v>270</v>
      </c>
      <c r="EY92" s="781">
        <f>4*100*1.35*PPH_Data_Base28[[#This Row],[Fan QTY]]</f>
        <v>540</v>
      </c>
      <c r="EZ92" s="870"/>
      <c r="FA92" s="870">
        <v>40</v>
      </c>
      <c r="FB92" s="870">
        <v>40</v>
      </c>
      <c r="FC92" s="870">
        <v>24</v>
      </c>
      <c r="FD92" s="870">
        <v>24</v>
      </c>
      <c r="FE92" s="870"/>
      <c r="FF92" s="870"/>
      <c r="FG92" s="870"/>
      <c r="FH92" s="870"/>
      <c r="FI92" s="870"/>
      <c r="FJ92" s="870"/>
      <c r="FK92" s="870">
        <f>PPH_Data_Base28[[#This Row],[Differential Pressure Switch]]*2</f>
        <v>0</v>
      </c>
      <c r="FL92" s="870"/>
      <c r="FM92" s="872"/>
      <c r="FN92" s="872"/>
      <c r="FO92" s="872">
        <f>PPH_Data_Base28[[#This Row],[Replaceble Filter Drier ]]</f>
        <v>297</v>
      </c>
      <c r="FP92" s="872">
        <f>PPH_Data_Base28[[#This Row],[2" Pre-Filter]]*2</f>
        <v>124</v>
      </c>
      <c r="FQ92" s="872">
        <f>PPH_Data_Base28[[#This Row],[Bag Filter EU-8]]</f>
        <v>447</v>
      </c>
      <c r="FR92" s="872"/>
      <c r="FS92" s="872">
        <v>30</v>
      </c>
      <c r="FT92" s="176"/>
      <c r="FU92" s="176"/>
      <c r="FV92" s="176"/>
      <c r="FW92" s="176"/>
      <c r="GW92" s="176"/>
      <c r="GX92" s="176"/>
      <c r="HC92" s="176"/>
    </row>
    <row r="93" spans="1:211">
      <c r="A93" s="780" t="s">
        <v>1706</v>
      </c>
      <c r="B93" s="781" t="s">
        <v>1587</v>
      </c>
      <c r="C93" s="781" t="s">
        <v>1587</v>
      </c>
      <c r="D93" s="870"/>
      <c r="E93" s="870"/>
      <c r="F93" s="870"/>
      <c r="G93" s="851">
        <v>0</v>
      </c>
      <c r="H93" s="870" t="s">
        <v>2250</v>
      </c>
      <c r="I93" s="781" t="s">
        <v>755</v>
      </c>
      <c r="J93" s="781" t="s">
        <v>1586</v>
      </c>
      <c r="K93" s="781">
        <v>1</v>
      </c>
      <c r="L93" s="781" t="s">
        <v>568</v>
      </c>
      <c r="M93" s="781">
        <v>3</v>
      </c>
      <c r="N93" s="300">
        <v>3</v>
      </c>
      <c r="O93" s="781">
        <v>31.1</v>
      </c>
      <c r="P93" s="781">
        <v>17.7</v>
      </c>
      <c r="Q93" s="781">
        <v>2</v>
      </c>
      <c r="R93" s="781">
        <v>13.3</v>
      </c>
      <c r="S93" s="781">
        <v>2</v>
      </c>
      <c r="T93" s="781"/>
      <c r="U93" s="781"/>
      <c r="V93" s="781">
        <v>256</v>
      </c>
      <c r="W93" s="781">
        <v>454</v>
      </c>
      <c r="X93" s="870"/>
      <c r="Y93" s="835">
        <v>0</v>
      </c>
      <c r="Z93" s="782" t="s">
        <v>1433</v>
      </c>
      <c r="AA93" s="782">
        <v>7713</v>
      </c>
      <c r="AB93" s="870"/>
      <c r="AC93" s="834">
        <v>0</v>
      </c>
      <c r="AD93" s="781">
        <v>136</v>
      </c>
      <c r="AE93" s="870"/>
      <c r="AF93" s="870"/>
      <c r="AG93" s="870"/>
      <c r="AH93" s="781">
        <v>205</v>
      </c>
      <c r="AI93" s="870"/>
      <c r="AJ93" s="870"/>
      <c r="AK93" s="870"/>
      <c r="AL93" s="870">
        <f>PPH_Data_Base28[[#This Row],[PPH Unit Basic Price With Cu Tube]]*0.05</f>
        <v>385.65000000000003</v>
      </c>
      <c r="AM93" s="781">
        <v>280</v>
      </c>
      <c r="AN93" s="781"/>
      <c r="AO93" s="781"/>
      <c r="AP93" s="781">
        <v>420</v>
      </c>
      <c r="AQ93" s="781">
        <v>266</v>
      </c>
      <c r="AR93" s="781">
        <v>156</v>
      </c>
      <c r="AS93" s="781">
        <v>521</v>
      </c>
      <c r="AT93" s="781">
        <v>782</v>
      </c>
      <c r="AU93" s="781">
        <v>62</v>
      </c>
      <c r="AV93" s="781">
        <v>444</v>
      </c>
      <c r="AW93" s="870">
        <v>3189</v>
      </c>
      <c r="AX93" s="870">
        <v>363</v>
      </c>
      <c r="AY93" s="870"/>
      <c r="AZ93" s="870"/>
      <c r="BA93" s="870"/>
      <c r="BB93" s="870">
        <f>PPH_Data_Base28[[#This Row],[PPH Unit Basic Price With Cu Tube]]*0.1</f>
        <v>771.30000000000007</v>
      </c>
      <c r="BC93" s="870"/>
      <c r="BD93" s="870"/>
      <c r="BE93" s="870"/>
      <c r="BF93" s="870"/>
      <c r="BG93" s="870"/>
      <c r="BH93" s="870">
        <f>PPH_Data_Base28[[#This Row],[PPH Unit Basic Price With Cu Tube]]*0.075</f>
        <v>578.47500000000002</v>
      </c>
      <c r="BI93" s="870"/>
      <c r="BJ93" s="870"/>
      <c r="BK93" s="870"/>
      <c r="BL93" s="870"/>
      <c r="BM93" s="781">
        <f>PPH_Data_Base28[[#This Row],[Total Condenser Coil Area]]*Naming!$M$62*4</f>
        <v>2786.56</v>
      </c>
      <c r="BN93" s="781">
        <f>PPH_Data_Base28[[#This Row],[Total Evaporator  Coil Area]]*Naming!$M$62*4</f>
        <v>1585.9199999999998</v>
      </c>
      <c r="BO93" s="781">
        <f>PPH_Data_Base28[[#This Row],[Total Condenser Coil Area]]*Naming!$D$61*4</f>
        <v>42.296000000000006</v>
      </c>
      <c r="BP93" s="781">
        <f>PPH_Data_Base28[[#This Row],[Total Evaporator  Coil Area]]*Naming!$D$61*6</f>
        <v>36.107999999999997</v>
      </c>
      <c r="BQ93" s="781">
        <f>$G$195*PPH_Data_Base28[[#This Row],[Total Evaporator  Coil Area]]</f>
        <v>79.649999999999991</v>
      </c>
      <c r="BR93" s="781">
        <f>$G$199*PPH_Data_Base28[[#This Row],[Total Evaporator  Coil Area]]</f>
        <v>120.35999999999999</v>
      </c>
      <c r="BS93" s="781">
        <f>$E$185*PPH_Data_Base28[[#This Row],[Total Evaporator  Coil Area]]</f>
        <v>354</v>
      </c>
      <c r="BT93" s="781">
        <f>$E$188*PPH_Data_Base28[[#This Row],[Total Evaporator  Coil Area]]</f>
        <v>495.59999999999997</v>
      </c>
      <c r="BU93" s="781">
        <f>$G$195*PPH_Data_Base28[[#This Row],[Total Condenser Coil Area]]</f>
        <v>139.95000000000002</v>
      </c>
      <c r="BV93" s="781">
        <f>$G$199*PPH_Data_Base28[[#This Row],[Total Condenser Coil Area]]</f>
        <v>211.48000000000002</v>
      </c>
      <c r="BW93" s="781">
        <f>$E$185*PPH_Data_Base28[[#This Row],[Total Condenser Coil Area]]</f>
        <v>622</v>
      </c>
      <c r="BX93" s="781">
        <f>$E$188*PPH_Data_Base28[[#This Row],[Total Condenser Coil Area]]</f>
        <v>870.80000000000007</v>
      </c>
      <c r="BY93" s="781">
        <v>95</v>
      </c>
      <c r="BZ93" s="870"/>
      <c r="CA93" s="870"/>
      <c r="CB93" s="870"/>
      <c r="CC93" s="870">
        <f>PPH_Data_Base28[[#This Row],[PPH Unit Basic Price With Cu Tube]]*0.05</f>
        <v>385.65000000000003</v>
      </c>
      <c r="CD93" s="870">
        <f>PPH_Data_Base28[[#This Row],[PPH Unit Basic Price With Cu Tube]]*0.03</f>
        <v>231.39</v>
      </c>
      <c r="CE93" s="870">
        <v>20</v>
      </c>
      <c r="CF93" s="832">
        <v>0</v>
      </c>
      <c r="CG93" s="870">
        <f>PPH_Data_Base28[[#This Row],[PPH Unit Basic Price With Cu Tube]]*0.25</f>
        <v>1928.25</v>
      </c>
      <c r="CH93" s="870">
        <f>PPH_Data_Base28[[#This Row],[DSP Unit Basic Price With Cu Tube]]*0.35</f>
        <v>0</v>
      </c>
      <c r="CI93" s="781">
        <f t="shared" si="11"/>
        <v>267.3</v>
      </c>
      <c r="CJ93" s="781">
        <f t="shared" si="12"/>
        <v>251.10000000000002</v>
      </c>
      <c r="CK93" s="781">
        <f t="shared" si="13"/>
        <v>75.600000000000009</v>
      </c>
      <c r="CL93" s="781">
        <f>110*1.35*PPH_Data_Base28[[#This Row],[No. of Unit  Compressors]]</f>
        <v>297</v>
      </c>
      <c r="CM93" s="870">
        <f>140*1.35*PPH_Data_Base28[[#This Row],[No. of Unit  Compressors]]</f>
        <v>378</v>
      </c>
      <c r="CN93" s="781">
        <f>180*1.35*PPH_Data_Base28[[#This Row],[No. of Unit  Compressors]]</f>
        <v>486.00000000000006</v>
      </c>
      <c r="CO93" s="870">
        <v>0</v>
      </c>
      <c r="CP93" s="781">
        <f>160*1.35*PPH_Data_Base28[[#This Row],[No. of Unit  Compressors]]</f>
        <v>432</v>
      </c>
      <c r="CQ93" s="870"/>
      <c r="CR93" s="781">
        <v>800</v>
      </c>
      <c r="CS93" s="870">
        <f>PPH_Data_Base28[[#This Row],[PPH Unit Basic Price With Cu Tube]]*0.35</f>
        <v>2699.5499999999997</v>
      </c>
      <c r="CT93" s="781">
        <f>$L$252*1.35*PPH_Data_Base28[[#This Row],[No. of Unit  Compressors]]</f>
        <v>0</v>
      </c>
      <c r="CU93" s="870"/>
      <c r="CV93" s="870"/>
      <c r="CW93" s="781">
        <f>400*1.35*PPH_Data_Base28[[#This Row],[No. of Unit  Compressors]]</f>
        <v>1080</v>
      </c>
      <c r="CX93" s="835"/>
      <c r="CY93" s="871">
        <f>47*PPH_Data_Base28[[#This Row],[No. of Unit  Compressors]]*1.35</f>
        <v>126.9</v>
      </c>
      <c r="CZ93" s="871">
        <f>30*1.35*PPH_Data_Base28[[#This Row],[NO Condenser Fans]]</f>
        <v>121.5</v>
      </c>
      <c r="DA93" s="781">
        <f>INDEX($B$136:$F$154,MATCH(PPH_Data_Base28[[#This Row],[STD Supply Fan Motor]],$B$136:$B$154,0),5)*PPH_Data_Base28[[#This Row],[Fan QTY]]</f>
        <v>43.509511864406782</v>
      </c>
      <c r="DB93" s="871">
        <f>47*1.35*PPH_Data_Base28[[#This Row],[No. of Unit  Compressors]]</f>
        <v>126.9</v>
      </c>
      <c r="DC93" s="871">
        <f>28*PPH_Data_Base28[[#This Row],[NO Condenser Fans]]</f>
        <v>84</v>
      </c>
      <c r="DD93" s="781">
        <f>INDEX($B$136:$F$154,MATCH(PPH_Data_Base28[[#This Row],[STD Supply Fan Motor]],$B$136:$B$154,0),3)*PPH_Data_Base28[[#This Row],[Fan QTY]]</f>
        <v>27.333113841807918</v>
      </c>
      <c r="DE93" s="870"/>
      <c r="DF93" s="870"/>
      <c r="DG93" s="870"/>
      <c r="DH93" s="781">
        <v>60</v>
      </c>
      <c r="DI93" s="781">
        <v>178</v>
      </c>
      <c r="DJ93" s="870">
        <v>3000</v>
      </c>
      <c r="DK93" s="870">
        <v>6000</v>
      </c>
      <c r="DL93" s="870">
        <v>1699</v>
      </c>
      <c r="DM93" s="870"/>
      <c r="DN93" s="870"/>
      <c r="DO93" s="870"/>
      <c r="DP93" s="781">
        <v>450</v>
      </c>
      <c r="DQ93" s="781">
        <f>PPH_Data_Base28[[#This Row],[NEMA 4X For Electrical Panel]]</f>
        <v>450</v>
      </c>
      <c r="DR93" s="870"/>
      <c r="DS93" s="870"/>
      <c r="DT93" s="870">
        <f>PPH_Data_Base28[[#This Row],[NO Condenser Fans]]*350</f>
        <v>1050</v>
      </c>
      <c r="DU93" s="870"/>
      <c r="DV93" s="870">
        <f>150*PPH_Data_Base28[[#This Row],[NO Condenser Fans]]</f>
        <v>450</v>
      </c>
      <c r="DW93" s="781">
        <f>720*1.35*PPH_Data_Base28[[#This Row],[NO Condenser Fans]]</f>
        <v>2916.0000000000005</v>
      </c>
      <c r="DX93" s="781">
        <v>250</v>
      </c>
      <c r="DY93" s="870">
        <v>700</v>
      </c>
      <c r="DZ93" s="870"/>
      <c r="EA93" s="870"/>
      <c r="EB93" s="870"/>
      <c r="EC93" s="870"/>
      <c r="ED93" s="870"/>
      <c r="EE93" s="870"/>
      <c r="EF93" s="870"/>
      <c r="EG93" s="870"/>
      <c r="EH93" s="870"/>
      <c r="EI93" s="870"/>
      <c r="EJ93" s="870"/>
      <c r="EK93" s="870"/>
      <c r="EL93" s="870"/>
      <c r="EM93" s="870"/>
      <c r="EN93" s="870"/>
      <c r="EO93" s="870"/>
      <c r="EP93" s="870"/>
      <c r="EQ93" s="870"/>
      <c r="ER93" s="870"/>
      <c r="ES93" s="870"/>
      <c r="ET93" s="870"/>
      <c r="EU93" s="870"/>
      <c r="EV93" s="870"/>
      <c r="EW93" s="847"/>
      <c r="EX93" s="781">
        <f>4*50*1.35*PPH_Data_Base28[[#This Row],[Fan QTY]]</f>
        <v>270</v>
      </c>
      <c r="EY93" s="781">
        <f>4*100*1.35*PPH_Data_Base28[[#This Row],[Fan QTY]]</f>
        <v>540</v>
      </c>
      <c r="EZ93" s="870"/>
      <c r="FA93" s="870">
        <v>40</v>
      </c>
      <c r="FB93" s="870">
        <v>40</v>
      </c>
      <c r="FC93" s="870">
        <v>24</v>
      </c>
      <c r="FD93" s="870">
        <v>24</v>
      </c>
      <c r="FE93" s="870"/>
      <c r="FF93" s="870"/>
      <c r="FG93" s="870"/>
      <c r="FH93" s="870"/>
      <c r="FI93" s="870"/>
      <c r="FJ93" s="870"/>
      <c r="FK93" s="870">
        <f>PPH_Data_Base28[[#This Row],[Differential Pressure Switch]]*2</f>
        <v>0</v>
      </c>
      <c r="FL93" s="870"/>
      <c r="FM93" s="872"/>
      <c r="FN93" s="872"/>
      <c r="FO93" s="872">
        <f>PPH_Data_Base28[[#This Row],[Replaceble Filter Drier ]]</f>
        <v>297</v>
      </c>
      <c r="FP93" s="872">
        <f>PPH_Data_Base28[[#This Row],[2" Pre-Filter]]*2</f>
        <v>124</v>
      </c>
      <c r="FQ93" s="872">
        <f>PPH_Data_Base28[[#This Row],[Bag Filter EU-8]]</f>
        <v>444</v>
      </c>
      <c r="FR93" s="872"/>
      <c r="FS93" s="872">
        <v>30</v>
      </c>
      <c r="FT93" s="176"/>
      <c r="FU93" s="176"/>
      <c r="FV93" s="176"/>
      <c r="FW93" s="176"/>
      <c r="GW93" s="176"/>
      <c r="GX93" s="176"/>
      <c r="HC93" s="176"/>
    </row>
    <row r="94" spans="1:211">
      <c r="A94" s="780" t="s">
        <v>1707</v>
      </c>
      <c r="B94" s="781" t="s">
        <v>1591</v>
      </c>
      <c r="C94" s="781" t="s">
        <v>1591</v>
      </c>
      <c r="D94" s="870"/>
      <c r="E94" s="870"/>
      <c r="F94" s="870"/>
      <c r="G94" s="851">
        <v>0</v>
      </c>
      <c r="H94" s="870" t="s">
        <v>2250</v>
      </c>
      <c r="I94" s="781" t="s">
        <v>759</v>
      </c>
      <c r="J94" s="781" t="s">
        <v>1586</v>
      </c>
      <c r="K94" s="781">
        <v>1</v>
      </c>
      <c r="L94" s="781" t="s">
        <v>568</v>
      </c>
      <c r="M94" s="781">
        <v>3</v>
      </c>
      <c r="N94" s="300">
        <v>3</v>
      </c>
      <c r="O94" s="781">
        <v>31.1</v>
      </c>
      <c r="P94" s="781">
        <v>17.7</v>
      </c>
      <c r="Q94" s="781">
        <v>2</v>
      </c>
      <c r="R94" s="781">
        <v>15</v>
      </c>
      <c r="S94" s="781">
        <v>2</v>
      </c>
      <c r="T94" s="781"/>
      <c r="U94" s="781"/>
      <c r="V94" s="781">
        <v>326</v>
      </c>
      <c r="W94" s="781">
        <v>454</v>
      </c>
      <c r="X94" s="870"/>
      <c r="Y94" s="835">
        <v>0</v>
      </c>
      <c r="Z94" s="782" t="s">
        <v>1433</v>
      </c>
      <c r="AA94" s="782">
        <v>8674</v>
      </c>
      <c r="AB94" s="870"/>
      <c r="AC94" s="834">
        <v>0</v>
      </c>
      <c r="AD94" s="781">
        <v>136</v>
      </c>
      <c r="AE94" s="870"/>
      <c r="AF94" s="870"/>
      <c r="AG94" s="870"/>
      <c r="AH94" s="781">
        <v>205</v>
      </c>
      <c r="AI94" s="870"/>
      <c r="AJ94" s="870"/>
      <c r="AK94" s="870"/>
      <c r="AL94" s="870">
        <f>PPH_Data_Base28[[#This Row],[PPH Unit Basic Price With Cu Tube]]*0.05</f>
        <v>433.70000000000005</v>
      </c>
      <c r="AM94" s="781">
        <v>280</v>
      </c>
      <c r="AN94" s="781"/>
      <c r="AO94" s="781"/>
      <c r="AP94" s="781">
        <v>420</v>
      </c>
      <c r="AQ94" s="781">
        <v>333</v>
      </c>
      <c r="AR94" s="781">
        <v>199</v>
      </c>
      <c r="AS94" s="781">
        <v>663</v>
      </c>
      <c r="AT94" s="781">
        <v>994</v>
      </c>
      <c r="AU94" s="781">
        <v>62</v>
      </c>
      <c r="AV94" s="781">
        <v>576</v>
      </c>
      <c r="AW94" s="870">
        <v>4186</v>
      </c>
      <c r="AX94" s="870">
        <v>363</v>
      </c>
      <c r="AY94" s="870"/>
      <c r="AZ94" s="870"/>
      <c r="BA94" s="870"/>
      <c r="BB94" s="870">
        <f>PPH_Data_Base28[[#This Row],[PPH Unit Basic Price With Cu Tube]]*0.1</f>
        <v>867.40000000000009</v>
      </c>
      <c r="BC94" s="870"/>
      <c r="BD94" s="870"/>
      <c r="BE94" s="870"/>
      <c r="BF94" s="870"/>
      <c r="BG94" s="870"/>
      <c r="BH94" s="870">
        <f>PPH_Data_Base28[[#This Row],[PPH Unit Basic Price With Cu Tube]]*0.075</f>
        <v>650.54999999999995</v>
      </c>
      <c r="BI94" s="870"/>
      <c r="BJ94" s="870"/>
      <c r="BK94" s="870"/>
      <c r="BL94" s="870"/>
      <c r="BM94" s="781">
        <f>PPH_Data_Base28[[#This Row],[Total Condenser Coil Area]]*Naming!$M$62*4</f>
        <v>2786.56</v>
      </c>
      <c r="BN94" s="781">
        <f>PPH_Data_Base28[[#This Row],[Total Evaporator  Coil Area]]*Naming!$M$62*4</f>
        <v>1585.9199999999998</v>
      </c>
      <c r="BO94" s="781">
        <f>PPH_Data_Base28[[#This Row],[Total Condenser Coil Area]]*Naming!$D$61*4</f>
        <v>42.296000000000006</v>
      </c>
      <c r="BP94" s="781">
        <f>PPH_Data_Base28[[#This Row],[Total Evaporator  Coil Area]]*Naming!$D$61*6</f>
        <v>36.107999999999997</v>
      </c>
      <c r="BQ94" s="781">
        <f>$G$195*PPH_Data_Base28[[#This Row],[Total Evaporator  Coil Area]]</f>
        <v>79.649999999999991</v>
      </c>
      <c r="BR94" s="781">
        <f>$G$199*PPH_Data_Base28[[#This Row],[Total Evaporator  Coil Area]]</f>
        <v>120.35999999999999</v>
      </c>
      <c r="BS94" s="781">
        <f>$E$185*PPH_Data_Base28[[#This Row],[Total Evaporator  Coil Area]]</f>
        <v>354</v>
      </c>
      <c r="BT94" s="781">
        <f>$E$188*PPH_Data_Base28[[#This Row],[Total Evaporator  Coil Area]]</f>
        <v>495.59999999999997</v>
      </c>
      <c r="BU94" s="781">
        <f>$G$195*PPH_Data_Base28[[#This Row],[Total Condenser Coil Area]]</f>
        <v>139.95000000000002</v>
      </c>
      <c r="BV94" s="781">
        <f>$G$199*PPH_Data_Base28[[#This Row],[Total Condenser Coil Area]]</f>
        <v>211.48000000000002</v>
      </c>
      <c r="BW94" s="781">
        <f>$E$185*PPH_Data_Base28[[#This Row],[Total Condenser Coil Area]]</f>
        <v>622</v>
      </c>
      <c r="BX94" s="781">
        <f>$E$188*PPH_Data_Base28[[#This Row],[Total Condenser Coil Area]]</f>
        <v>870.80000000000007</v>
      </c>
      <c r="BY94" s="781">
        <v>95</v>
      </c>
      <c r="BZ94" s="870"/>
      <c r="CA94" s="870"/>
      <c r="CB94" s="870"/>
      <c r="CC94" s="870">
        <f>PPH_Data_Base28[[#This Row],[PPH Unit Basic Price With Cu Tube]]*0.05</f>
        <v>433.70000000000005</v>
      </c>
      <c r="CD94" s="870">
        <f>PPH_Data_Base28[[#This Row],[PPH Unit Basic Price With Cu Tube]]*0.03</f>
        <v>260.21999999999997</v>
      </c>
      <c r="CE94" s="870">
        <v>20</v>
      </c>
      <c r="CF94" s="832">
        <v>0</v>
      </c>
      <c r="CG94" s="870">
        <f>PPH_Data_Base28[[#This Row],[PPH Unit Basic Price With Cu Tube]]*0.25</f>
        <v>2168.5</v>
      </c>
      <c r="CH94" s="870">
        <f>PPH_Data_Base28[[#This Row],[DSP Unit Basic Price With Cu Tube]]*0.35</f>
        <v>0</v>
      </c>
      <c r="CI94" s="781">
        <f t="shared" si="11"/>
        <v>267.3</v>
      </c>
      <c r="CJ94" s="781">
        <f t="shared" si="12"/>
        <v>251.10000000000002</v>
      </c>
      <c r="CK94" s="781">
        <f t="shared" si="13"/>
        <v>75.600000000000009</v>
      </c>
      <c r="CL94" s="781">
        <f>110*1.35*PPH_Data_Base28[[#This Row],[No. of Unit  Compressors]]</f>
        <v>297</v>
      </c>
      <c r="CM94" s="870">
        <f>140*1.35*PPH_Data_Base28[[#This Row],[No. of Unit  Compressors]]</f>
        <v>378</v>
      </c>
      <c r="CN94" s="781">
        <f>180*1.35*PPH_Data_Base28[[#This Row],[No. of Unit  Compressors]]</f>
        <v>486.00000000000006</v>
      </c>
      <c r="CO94" s="870">
        <v>0</v>
      </c>
      <c r="CP94" s="781">
        <f>160*1.35*PPH_Data_Base28[[#This Row],[No. of Unit  Compressors]]</f>
        <v>432</v>
      </c>
      <c r="CQ94" s="870"/>
      <c r="CR94" s="781">
        <v>800</v>
      </c>
      <c r="CS94" s="870">
        <f>PPH_Data_Base28[[#This Row],[PPH Unit Basic Price With Cu Tube]]*0.35</f>
        <v>3035.8999999999996</v>
      </c>
      <c r="CT94" s="781">
        <f>$L$252*1.35*PPH_Data_Base28[[#This Row],[No. of Unit  Compressors]]</f>
        <v>0</v>
      </c>
      <c r="CU94" s="870"/>
      <c r="CV94" s="870"/>
      <c r="CW94" s="781">
        <f>400*1.35*PPH_Data_Base28[[#This Row],[No. of Unit  Compressors]]</f>
        <v>1080</v>
      </c>
      <c r="CX94" s="835"/>
      <c r="CY94" s="871">
        <f>47*PPH_Data_Base28[[#This Row],[No. of Unit  Compressors]]*1.35</f>
        <v>126.9</v>
      </c>
      <c r="CZ94" s="871">
        <f>30*1.35*PPH_Data_Base28[[#This Row],[NO Condenser Fans]]</f>
        <v>121.5</v>
      </c>
      <c r="DA94" s="781">
        <f>INDEX($B$136:$F$154,MATCH(PPH_Data_Base28[[#This Row],[STD Supply Fan Motor]],$B$136:$B$154,0),5)*PPH_Data_Base28[[#This Row],[Fan QTY]]</f>
        <v>43.509511864406782</v>
      </c>
      <c r="DB94" s="871">
        <f>47*1.35*PPH_Data_Base28[[#This Row],[No. of Unit  Compressors]]</f>
        <v>126.9</v>
      </c>
      <c r="DC94" s="871">
        <f>28*PPH_Data_Base28[[#This Row],[NO Condenser Fans]]</f>
        <v>84</v>
      </c>
      <c r="DD94" s="781">
        <f>INDEX($B$136:$F$154,MATCH(PPH_Data_Base28[[#This Row],[STD Supply Fan Motor]],$B$136:$B$154,0),3)*PPH_Data_Base28[[#This Row],[Fan QTY]]</f>
        <v>27.333113841807918</v>
      </c>
      <c r="DE94" s="870"/>
      <c r="DF94" s="870"/>
      <c r="DG94" s="870"/>
      <c r="DH94" s="781">
        <v>60</v>
      </c>
      <c r="DI94" s="781">
        <v>178</v>
      </c>
      <c r="DJ94" s="870">
        <v>4300</v>
      </c>
      <c r="DK94" s="870">
        <v>8600</v>
      </c>
      <c r="DL94" s="870">
        <v>1699</v>
      </c>
      <c r="DM94" s="870"/>
      <c r="DN94" s="870"/>
      <c r="DO94" s="870"/>
      <c r="DP94" s="781">
        <v>450</v>
      </c>
      <c r="DQ94" s="781">
        <f>PPH_Data_Base28[[#This Row],[NEMA 4X For Electrical Panel]]</f>
        <v>450</v>
      </c>
      <c r="DR94" s="870"/>
      <c r="DS94" s="870"/>
      <c r="DT94" s="870">
        <f>PPH_Data_Base28[[#This Row],[NO Condenser Fans]]*350</f>
        <v>1050</v>
      </c>
      <c r="DU94" s="870"/>
      <c r="DV94" s="870">
        <f>150*PPH_Data_Base28[[#This Row],[NO Condenser Fans]]</f>
        <v>450</v>
      </c>
      <c r="DW94" s="781">
        <f>720*1.35*PPH_Data_Base28[[#This Row],[NO Condenser Fans]]</f>
        <v>2916.0000000000005</v>
      </c>
      <c r="DX94" s="781">
        <v>250</v>
      </c>
      <c r="DY94" s="870">
        <v>700</v>
      </c>
      <c r="DZ94" s="870"/>
      <c r="EA94" s="870"/>
      <c r="EB94" s="870"/>
      <c r="EC94" s="870"/>
      <c r="ED94" s="870"/>
      <c r="EE94" s="870"/>
      <c r="EF94" s="870"/>
      <c r="EG94" s="870"/>
      <c r="EH94" s="870"/>
      <c r="EI94" s="870"/>
      <c r="EJ94" s="870"/>
      <c r="EK94" s="870"/>
      <c r="EL94" s="870"/>
      <c r="EM94" s="870"/>
      <c r="EN94" s="870"/>
      <c r="EO94" s="870"/>
      <c r="EP94" s="870"/>
      <c r="EQ94" s="870"/>
      <c r="ER94" s="870"/>
      <c r="ES94" s="870"/>
      <c r="ET94" s="870"/>
      <c r="EU94" s="870"/>
      <c r="EV94" s="870"/>
      <c r="EW94" s="847"/>
      <c r="EX94" s="781">
        <f>4*50*1.35*PPH_Data_Base28[[#This Row],[Fan QTY]]</f>
        <v>270</v>
      </c>
      <c r="EY94" s="781">
        <f>4*100*1.35*PPH_Data_Base28[[#This Row],[Fan QTY]]</f>
        <v>540</v>
      </c>
      <c r="EZ94" s="870"/>
      <c r="FA94" s="870">
        <v>40</v>
      </c>
      <c r="FB94" s="870">
        <v>40</v>
      </c>
      <c r="FC94" s="870">
        <v>24</v>
      </c>
      <c r="FD94" s="870">
        <v>24</v>
      </c>
      <c r="FE94" s="870"/>
      <c r="FF94" s="870"/>
      <c r="FG94" s="870"/>
      <c r="FH94" s="870"/>
      <c r="FI94" s="870"/>
      <c r="FJ94" s="870"/>
      <c r="FK94" s="870">
        <f>PPH_Data_Base28[[#This Row],[Differential Pressure Switch]]*2</f>
        <v>0</v>
      </c>
      <c r="FL94" s="870"/>
      <c r="FM94" s="872"/>
      <c r="FN94" s="872"/>
      <c r="FO94" s="872">
        <f>PPH_Data_Base28[[#This Row],[Replaceble Filter Drier ]]</f>
        <v>297</v>
      </c>
      <c r="FP94" s="872">
        <f>PPH_Data_Base28[[#This Row],[2" Pre-Filter]]*2</f>
        <v>124</v>
      </c>
      <c r="FQ94" s="872">
        <f>PPH_Data_Base28[[#This Row],[Bag Filter EU-8]]</f>
        <v>576</v>
      </c>
      <c r="FR94" s="872"/>
      <c r="FS94" s="872">
        <v>30</v>
      </c>
      <c r="FT94" s="176"/>
      <c r="FU94" s="176"/>
      <c r="FV94" s="176"/>
      <c r="FW94" s="176"/>
      <c r="GW94" s="176"/>
      <c r="GX94" s="176"/>
      <c r="HC94" s="176"/>
    </row>
    <row r="95" spans="1:211">
      <c r="A95" s="780" t="s">
        <v>1708</v>
      </c>
      <c r="B95" s="781" t="s">
        <v>1595</v>
      </c>
      <c r="C95" s="781" t="s">
        <v>1595</v>
      </c>
      <c r="D95" s="870"/>
      <c r="E95" s="870"/>
      <c r="F95" s="870"/>
      <c r="G95" s="851">
        <v>0</v>
      </c>
      <c r="H95" s="870" t="s">
        <v>2250</v>
      </c>
      <c r="I95" s="781" t="s">
        <v>759</v>
      </c>
      <c r="J95" s="781" t="s">
        <v>1594</v>
      </c>
      <c r="K95" s="781">
        <v>1</v>
      </c>
      <c r="L95" s="781" t="s">
        <v>568</v>
      </c>
      <c r="M95" s="781">
        <v>3</v>
      </c>
      <c r="N95" s="300">
        <v>3</v>
      </c>
      <c r="O95" s="781">
        <v>35.700000000000003</v>
      </c>
      <c r="P95" s="781">
        <v>20.100000000000001</v>
      </c>
      <c r="Q95" s="781">
        <v>2</v>
      </c>
      <c r="R95" s="781">
        <v>20</v>
      </c>
      <c r="S95" s="781">
        <v>2</v>
      </c>
      <c r="T95" s="781"/>
      <c r="U95" s="781"/>
      <c r="V95" s="781">
        <v>326</v>
      </c>
      <c r="W95" s="781">
        <v>560</v>
      </c>
      <c r="X95" s="870"/>
      <c r="Y95" s="835">
        <v>0</v>
      </c>
      <c r="Z95" s="782" t="s">
        <v>1433</v>
      </c>
      <c r="AA95" s="782">
        <v>10759</v>
      </c>
      <c r="AB95" s="870"/>
      <c r="AC95" s="834">
        <v>0</v>
      </c>
      <c r="AD95" s="781">
        <v>140</v>
      </c>
      <c r="AE95" s="870"/>
      <c r="AF95" s="870"/>
      <c r="AG95" s="870"/>
      <c r="AH95" s="781">
        <v>400</v>
      </c>
      <c r="AI95" s="870"/>
      <c r="AJ95" s="870"/>
      <c r="AK95" s="870"/>
      <c r="AL95" s="870">
        <f>PPH_Data_Base28[[#This Row],[PPH Unit Basic Price With Cu Tube]]*0.05</f>
        <v>537.95000000000005</v>
      </c>
      <c r="AM95" s="781">
        <v>280</v>
      </c>
      <c r="AN95" s="781"/>
      <c r="AO95" s="781"/>
      <c r="AP95" s="781">
        <v>425</v>
      </c>
      <c r="AQ95" s="781">
        <v>333</v>
      </c>
      <c r="AR95" s="781">
        <v>204</v>
      </c>
      <c r="AS95" s="781">
        <v>680</v>
      </c>
      <c r="AT95" s="781">
        <v>1019</v>
      </c>
      <c r="AU95" s="781">
        <v>101</v>
      </c>
      <c r="AV95" s="781">
        <v>576</v>
      </c>
      <c r="AW95" s="870">
        <v>4186</v>
      </c>
      <c r="AX95" s="870">
        <v>363</v>
      </c>
      <c r="AY95" s="870"/>
      <c r="AZ95" s="870"/>
      <c r="BA95" s="870"/>
      <c r="BB95" s="870">
        <f>PPH_Data_Base28[[#This Row],[PPH Unit Basic Price With Cu Tube]]*0.1</f>
        <v>1075.9000000000001</v>
      </c>
      <c r="BC95" s="870"/>
      <c r="BD95" s="870"/>
      <c r="BE95" s="870"/>
      <c r="BF95" s="870"/>
      <c r="BG95" s="870"/>
      <c r="BH95" s="870">
        <f>PPH_Data_Base28[[#This Row],[PPH Unit Basic Price With Cu Tube]]*0.075</f>
        <v>806.92499999999995</v>
      </c>
      <c r="BI95" s="870"/>
      <c r="BJ95" s="870"/>
      <c r="BK95" s="870"/>
      <c r="BL95" s="870"/>
      <c r="BM95" s="781">
        <f>PPH_Data_Base28[[#This Row],[Total Condenser Coil Area]]*Naming!$M$62*4</f>
        <v>3198.7200000000003</v>
      </c>
      <c r="BN95" s="781">
        <f>PPH_Data_Base28[[#This Row],[Total Evaporator  Coil Area]]*Naming!$M$62*4</f>
        <v>1800.96</v>
      </c>
      <c r="BO95" s="781">
        <f>PPH_Data_Base28[[#This Row],[Total Condenser Coil Area]]*Naming!$D$61*4</f>
        <v>48.552000000000007</v>
      </c>
      <c r="BP95" s="781">
        <f>PPH_Data_Base28[[#This Row],[Total Evaporator  Coil Area]]*Naming!$D$61*6</f>
        <v>41.004000000000005</v>
      </c>
      <c r="BQ95" s="781">
        <f>$G$195*PPH_Data_Base28[[#This Row],[Total Evaporator  Coil Area]]</f>
        <v>90.45</v>
      </c>
      <c r="BR95" s="781">
        <f>$G$199*PPH_Data_Base28[[#This Row],[Total Evaporator  Coil Area]]</f>
        <v>136.68</v>
      </c>
      <c r="BS95" s="781">
        <f>$E$185*PPH_Data_Base28[[#This Row],[Total Evaporator  Coil Area]]</f>
        <v>402</v>
      </c>
      <c r="BT95" s="781">
        <f>$E$188*PPH_Data_Base28[[#This Row],[Total Evaporator  Coil Area]]</f>
        <v>562.80000000000007</v>
      </c>
      <c r="BU95" s="781">
        <f>$G$195*PPH_Data_Base28[[#This Row],[Total Condenser Coil Area]]</f>
        <v>160.65</v>
      </c>
      <c r="BV95" s="781">
        <f>$G$199*PPH_Data_Base28[[#This Row],[Total Condenser Coil Area]]</f>
        <v>242.76000000000002</v>
      </c>
      <c r="BW95" s="781">
        <f>$E$185*PPH_Data_Base28[[#This Row],[Total Condenser Coil Area]]</f>
        <v>714</v>
      </c>
      <c r="BX95" s="781">
        <f>$E$188*PPH_Data_Base28[[#This Row],[Total Condenser Coil Area]]</f>
        <v>999.60000000000014</v>
      </c>
      <c r="BY95" s="781">
        <v>95</v>
      </c>
      <c r="BZ95" s="870"/>
      <c r="CA95" s="870"/>
      <c r="CB95" s="870"/>
      <c r="CC95" s="870">
        <f>PPH_Data_Base28[[#This Row],[PPH Unit Basic Price With Cu Tube]]*0.05</f>
        <v>537.95000000000005</v>
      </c>
      <c r="CD95" s="870">
        <f>PPH_Data_Base28[[#This Row],[PPH Unit Basic Price With Cu Tube]]*0.03</f>
        <v>322.77</v>
      </c>
      <c r="CE95" s="870">
        <v>20</v>
      </c>
      <c r="CF95" s="832">
        <v>0</v>
      </c>
      <c r="CG95" s="870">
        <f>PPH_Data_Base28[[#This Row],[PPH Unit Basic Price With Cu Tube]]*0.25</f>
        <v>2689.75</v>
      </c>
      <c r="CH95" s="870">
        <f>PPH_Data_Base28[[#This Row],[DSP Unit Basic Price With Cu Tube]]*0.35</f>
        <v>0</v>
      </c>
      <c r="CI95" s="781">
        <f t="shared" si="11"/>
        <v>267.3</v>
      </c>
      <c r="CJ95" s="781">
        <f t="shared" si="12"/>
        <v>251.10000000000002</v>
      </c>
      <c r="CK95" s="781">
        <f t="shared" si="13"/>
        <v>75.600000000000009</v>
      </c>
      <c r="CL95" s="781">
        <f>110*1.35*PPH_Data_Base28[[#This Row],[No. of Unit  Compressors]]</f>
        <v>297</v>
      </c>
      <c r="CM95" s="870">
        <f>140*1.35*PPH_Data_Base28[[#This Row],[No. of Unit  Compressors]]</f>
        <v>378</v>
      </c>
      <c r="CN95" s="781">
        <f>180*1.35*PPH_Data_Base28[[#This Row],[No. of Unit  Compressors]]</f>
        <v>486.00000000000006</v>
      </c>
      <c r="CO95" s="870">
        <v>0</v>
      </c>
      <c r="CP95" s="781">
        <f>160*1.35*PPH_Data_Base28[[#This Row],[No. of Unit  Compressors]]</f>
        <v>432</v>
      </c>
      <c r="CQ95" s="870"/>
      <c r="CR95" s="781">
        <v>800</v>
      </c>
      <c r="CS95" s="870">
        <f>PPH_Data_Base28[[#This Row],[PPH Unit Basic Price With Cu Tube]]*0.35</f>
        <v>3765.6499999999996</v>
      </c>
      <c r="CT95" s="781">
        <f>$L$252*1.35*PPH_Data_Base28[[#This Row],[No. of Unit  Compressors]]</f>
        <v>0</v>
      </c>
      <c r="CU95" s="870"/>
      <c r="CV95" s="870"/>
      <c r="CW95" s="781">
        <f>400*1.35*PPH_Data_Base28[[#This Row],[No. of Unit  Compressors]]</f>
        <v>1080</v>
      </c>
      <c r="CX95" s="835"/>
      <c r="CY95" s="871">
        <f>47*PPH_Data_Base28[[#This Row],[No. of Unit  Compressors]]*1.35</f>
        <v>126.9</v>
      </c>
      <c r="CZ95" s="871">
        <f>30*1.35*PPH_Data_Base28[[#This Row],[NO Condenser Fans]]</f>
        <v>121.5</v>
      </c>
      <c r="DA95" s="781">
        <f>INDEX($B$136:$F$154,MATCH(PPH_Data_Base28[[#This Row],[STD Supply Fan Motor]],$B$136:$B$154,0),5)*PPH_Data_Base28[[#This Row],[Fan QTY]]</f>
        <v>49.088431038135589</v>
      </c>
      <c r="DB95" s="871">
        <f>47*1.35*PPH_Data_Base28[[#This Row],[No. of Unit  Compressors]]</f>
        <v>126.9</v>
      </c>
      <c r="DC95" s="871">
        <f>28*PPH_Data_Base28[[#This Row],[NO Condenser Fans]]</f>
        <v>84</v>
      </c>
      <c r="DD95" s="781">
        <f>INDEX($B$136:$F$154,MATCH(PPH_Data_Base28[[#This Row],[STD Supply Fan Motor]],$B$136:$B$154,0),3)*PPH_Data_Base28[[#This Row],[Fan QTY]]</f>
        <v>27.333113841807918</v>
      </c>
      <c r="DE95" s="870"/>
      <c r="DF95" s="870"/>
      <c r="DG95" s="870"/>
      <c r="DH95" s="781">
        <v>60</v>
      </c>
      <c r="DI95" s="781">
        <v>178</v>
      </c>
      <c r="DJ95" s="870">
        <v>4300</v>
      </c>
      <c r="DK95" s="870">
        <v>8600</v>
      </c>
      <c r="DL95" s="870">
        <v>1707</v>
      </c>
      <c r="DM95" s="870"/>
      <c r="DN95" s="870"/>
      <c r="DO95" s="870"/>
      <c r="DP95" s="781">
        <v>450</v>
      </c>
      <c r="DQ95" s="781">
        <f>PPH_Data_Base28[[#This Row],[NEMA 4X For Electrical Panel]]</f>
        <v>450</v>
      </c>
      <c r="DR95" s="870"/>
      <c r="DS95" s="870"/>
      <c r="DT95" s="870">
        <f>PPH_Data_Base28[[#This Row],[NO Condenser Fans]]*350</f>
        <v>1050</v>
      </c>
      <c r="DU95" s="870"/>
      <c r="DV95" s="870">
        <f>150*PPH_Data_Base28[[#This Row],[NO Condenser Fans]]</f>
        <v>450</v>
      </c>
      <c r="DW95" s="781">
        <f>720*1.35*PPH_Data_Base28[[#This Row],[NO Condenser Fans]]</f>
        <v>2916.0000000000005</v>
      </c>
      <c r="DX95" s="781">
        <v>250</v>
      </c>
      <c r="DY95" s="870">
        <v>700</v>
      </c>
      <c r="DZ95" s="870"/>
      <c r="EA95" s="870"/>
      <c r="EB95" s="870"/>
      <c r="EC95" s="870"/>
      <c r="ED95" s="870"/>
      <c r="EE95" s="870"/>
      <c r="EF95" s="870"/>
      <c r="EG95" s="870"/>
      <c r="EH95" s="870"/>
      <c r="EI95" s="870"/>
      <c r="EJ95" s="870"/>
      <c r="EK95" s="870"/>
      <c r="EL95" s="870"/>
      <c r="EM95" s="870"/>
      <c r="EN95" s="870"/>
      <c r="EO95" s="870"/>
      <c r="EP95" s="870"/>
      <c r="EQ95" s="870"/>
      <c r="ER95" s="870"/>
      <c r="ES95" s="870"/>
      <c r="ET95" s="870"/>
      <c r="EU95" s="870"/>
      <c r="EV95" s="870"/>
      <c r="EW95" s="847"/>
      <c r="EX95" s="781">
        <f>4*50*1.35*PPH_Data_Base28[[#This Row],[Fan QTY]]</f>
        <v>270</v>
      </c>
      <c r="EY95" s="781">
        <f>4*100*1.35*PPH_Data_Base28[[#This Row],[Fan QTY]]</f>
        <v>540</v>
      </c>
      <c r="EZ95" s="870"/>
      <c r="FA95" s="870">
        <v>40</v>
      </c>
      <c r="FB95" s="870">
        <v>40</v>
      </c>
      <c r="FC95" s="870">
        <v>24</v>
      </c>
      <c r="FD95" s="870">
        <v>24</v>
      </c>
      <c r="FE95" s="870"/>
      <c r="FF95" s="870"/>
      <c r="FG95" s="870"/>
      <c r="FH95" s="870"/>
      <c r="FI95" s="870"/>
      <c r="FJ95" s="870"/>
      <c r="FK95" s="870">
        <f>PPH_Data_Base28[[#This Row],[Differential Pressure Switch]]*2</f>
        <v>0</v>
      </c>
      <c r="FL95" s="870"/>
      <c r="FM95" s="872"/>
      <c r="FN95" s="872"/>
      <c r="FO95" s="872">
        <f>PPH_Data_Base28[[#This Row],[Replaceble Filter Drier ]]</f>
        <v>297</v>
      </c>
      <c r="FP95" s="872">
        <f>PPH_Data_Base28[[#This Row],[2" Pre-Filter]]*2</f>
        <v>202</v>
      </c>
      <c r="FQ95" s="872">
        <f>PPH_Data_Base28[[#This Row],[Bag Filter EU-8]]</f>
        <v>576</v>
      </c>
      <c r="FR95" s="872"/>
      <c r="FS95" s="872">
        <v>30</v>
      </c>
      <c r="FT95" s="176"/>
      <c r="FU95" s="176"/>
      <c r="FV95" s="176"/>
      <c r="FW95" s="176"/>
      <c r="GW95" s="176"/>
      <c r="GX95" s="176"/>
      <c r="HC95" s="176"/>
    </row>
    <row r="96" spans="1:211">
      <c r="A96" s="780" t="s">
        <v>1709</v>
      </c>
      <c r="B96" s="781" t="s">
        <v>1598</v>
      </c>
      <c r="C96" s="781" t="s">
        <v>1598</v>
      </c>
      <c r="D96" s="870"/>
      <c r="E96" s="870"/>
      <c r="F96" s="870"/>
      <c r="G96" s="851">
        <v>0</v>
      </c>
      <c r="H96" s="870" t="s">
        <v>2250</v>
      </c>
      <c r="I96" s="781" t="s">
        <v>759</v>
      </c>
      <c r="J96" s="781" t="s">
        <v>1597</v>
      </c>
      <c r="K96" s="781">
        <v>1</v>
      </c>
      <c r="L96" s="781" t="s">
        <v>568</v>
      </c>
      <c r="M96" s="781">
        <v>4</v>
      </c>
      <c r="N96" s="300">
        <v>3</v>
      </c>
      <c r="O96" s="781">
        <v>42.2</v>
      </c>
      <c r="P96" s="781">
        <v>20.100000000000001</v>
      </c>
      <c r="Q96" s="781">
        <v>2</v>
      </c>
      <c r="R96" s="781">
        <v>25.8</v>
      </c>
      <c r="S96" s="781">
        <v>1</v>
      </c>
      <c r="T96" s="781">
        <v>20</v>
      </c>
      <c r="U96" s="781">
        <v>1</v>
      </c>
      <c r="V96" s="781">
        <v>326</v>
      </c>
      <c r="W96" s="781">
        <v>710</v>
      </c>
      <c r="X96" s="870"/>
      <c r="Y96" s="835">
        <v>0</v>
      </c>
      <c r="Z96" s="782" t="s">
        <v>1433</v>
      </c>
      <c r="AA96" s="782">
        <v>12381</v>
      </c>
      <c r="AB96" s="870"/>
      <c r="AC96" s="834">
        <v>0</v>
      </c>
      <c r="AD96" s="781">
        <v>140</v>
      </c>
      <c r="AE96" s="870"/>
      <c r="AF96" s="870"/>
      <c r="AG96" s="870"/>
      <c r="AH96" s="781">
        <v>400</v>
      </c>
      <c r="AI96" s="870"/>
      <c r="AJ96" s="870"/>
      <c r="AK96" s="870"/>
      <c r="AL96" s="870">
        <f>PPH_Data_Base28[[#This Row],[PPH Unit Basic Price With Cu Tube]]*0.05</f>
        <v>619.05000000000007</v>
      </c>
      <c r="AM96" s="781">
        <v>280</v>
      </c>
      <c r="AN96" s="781"/>
      <c r="AO96" s="781"/>
      <c r="AP96" s="781">
        <v>425</v>
      </c>
      <c r="AQ96" s="781">
        <v>370</v>
      </c>
      <c r="AR96" s="781">
        <v>204</v>
      </c>
      <c r="AS96" s="781">
        <v>680</v>
      </c>
      <c r="AT96" s="781">
        <v>1019</v>
      </c>
      <c r="AU96" s="781">
        <v>101</v>
      </c>
      <c r="AV96" s="781">
        <v>607</v>
      </c>
      <c r="AW96" s="870">
        <v>4186</v>
      </c>
      <c r="AX96" s="870">
        <v>363</v>
      </c>
      <c r="AY96" s="870"/>
      <c r="AZ96" s="870"/>
      <c r="BA96" s="870"/>
      <c r="BB96" s="870">
        <f>PPH_Data_Base28[[#This Row],[PPH Unit Basic Price With Cu Tube]]*0.1</f>
        <v>1238.1000000000001</v>
      </c>
      <c r="BC96" s="870"/>
      <c r="BD96" s="870"/>
      <c r="BE96" s="870"/>
      <c r="BF96" s="870"/>
      <c r="BG96" s="870"/>
      <c r="BH96" s="870">
        <f>PPH_Data_Base28[[#This Row],[PPH Unit Basic Price With Cu Tube]]*0.075</f>
        <v>928.57499999999993</v>
      </c>
      <c r="BI96" s="870"/>
      <c r="BJ96" s="870"/>
      <c r="BK96" s="870"/>
      <c r="BL96" s="870"/>
      <c r="BM96" s="781">
        <f>PPH_Data_Base28[[#This Row],[Total Condenser Coil Area]]*Naming!$M$62*4</f>
        <v>3781.12</v>
      </c>
      <c r="BN96" s="781">
        <f>PPH_Data_Base28[[#This Row],[Total Evaporator  Coil Area]]*Naming!$M$62*4</f>
        <v>1800.96</v>
      </c>
      <c r="BO96" s="781">
        <f>PPH_Data_Base28[[#This Row],[Total Condenser Coil Area]]*Naming!$D$61*4</f>
        <v>57.39200000000001</v>
      </c>
      <c r="BP96" s="781">
        <f>PPH_Data_Base28[[#This Row],[Total Evaporator  Coil Area]]*Naming!$D$61*6</f>
        <v>41.004000000000005</v>
      </c>
      <c r="BQ96" s="781">
        <f>$G$195*PPH_Data_Base28[[#This Row],[Total Evaporator  Coil Area]]</f>
        <v>90.45</v>
      </c>
      <c r="BR96" s="781">
        <f>$G$199*PPH_Data_Base28[[#This Row],[Total Evaporator  Coil Area]]</f>
        <v>136.68</v>
      </c>
      <c r="BS96" s="781">
        <f>$E$185*PPH_Data_Base28[[#This Row],[Total Evaporator  Coil Area]]</f>
        <v>402</v>
      </c>
      <c r="BT96" s="781">
        <f>$E$188*PPH_Data_Base28[[#This Row],[Total Evaporator  Coil Area]]</f>
        <v>562.80000000000007</v>
      </c>
      <c r="BU96" s="781">
        <f>$G$195*PPH_Data_Base28[[#This Row],[Total Condenser Coil Area]]</f>
        <v>189.9</v>
      </c>
      <c r="BV96" s="781">
        <f>$G$199*PPH_Data_Base28[[#This Row],[Total Condenser Coil Area]]</f>
        <v>286.96000000000004</v>
      </c>
      <c r="BW96" s="781">
        <f>$E$185*PPH_Data_Base28[[#This Row],[Total Condenser Coil Area]]</f>
        <v>844</v>
      </c>
      <c r="BX96" s="781">
        <f>$E$188*PPH_Data_Base28[[#This Row],[Total Condenser Coil Area]]</f>
        <v>1181.6000000000001</v>
      </c>
      <c r="BY96" s="781">
        <v>95</v>
      </c>
      <c r="BZ96" s="870"/>
      <c r="CA96" s="870"/>
      <c r="CB96" s="870"/>
      <c r="CC96" s="870">
        <f>PPH_Data_Base28[[#This Row],[PPH Unit Basic Price With Cu Tube]]*0.05</f>
        <v>619.05000000000007</v>
      </c>
      <c r="CD96" s="870">
        <f>PPH_Data_Base28[[#This Row],[PPH Unit Basic Price With Cu Tube]]*0.03</f>
        <v>371.43</v>
      </c>
      <c r="CE96" s="870">
        <v>30</v>
      </c>
      <c r="CF96" s="832">
        <v>0</v>
      </c>
      <c r="CG96" s="870">
        <f>PPH_Data_Base28[[#This Row],[PPH Unit Basic Price With Cu Tube]]*0.25</f>
        <v>3095.25</v>
      </c>
      <c r="CH96" s="870">
        <f>PPH_Data_Base28[[#This Row],[DSP Unit Basic Price With Cu Tube]]*0.35</f>
        <v>0</v>
      </c>
      <c r="CI96" s="781">
        <f t="shared" si="11"/>
        <v>267.3</v>
      </c>
      <c r="CJ96" s="781">
        <f t="shared" si="12"/>
        <v>251.10000000000002</v>
      </c>
      <c r="CK96" s="781">
        <f t="shared" si="13"/>
        <v>75.600000000000009</v>
      </c>
      <c r="CL96" s="781">
        <f>110*1.35*PPH_Data_Base28[[#This Row],[No. of Unit  Compressors]]</f>
        <v>297</v>
      </c>
      <c r="CM96" s="870">
        <f>140*1.35*PPH_Data_Base28[[#This Row],[No. of Unit  Compressors]]</f>
        <v>378</v>
      </c>
      <c r="CN96" s="781">
        <f>180*1.35*PPH_Data_Base28[[#This Row],[No. of Unit  Compressors]]</f>
        <v>486.00000000000006</v>
      </c>
      <c r="CO96" s="870">
        <v>0</v>
      </c>
      <c r="CP96" s="781">
        <f>160*1.35*PPH_Data_Base28[[#This Row],[No. of Unit  Compressors]]</f>
        <v>432</v>
      </c>
      <c r="CQ96" s="870"/>
      <c r="CR96" s="781">
        <v>800</v>
      </c>
      <c r="CS96" s="870">
        <f>PPH_Data_Base28[[#This Row],[PPH Unit Basic Price With Cu Tube]]*0.35</f>
        <v>4333.3499999999995</v>
      </c>
      <c r="CT96" s="781">
        <f>$L$252*1.35*PPH_Data_Base28[[#This Row],[No. of Unit  Compressors]]</f>
        <v>0</v>
      </c>
      <c r="CU96" s="870"/>
      <c r="CV96" s="870"/>
      <c r="CW96" s="781">
        <f>400*1.35*PPH_Data_Base28[[#This Row],[No. of Unit  Compressors]]</f>
        <v>1080</v>
      </c>
      <c r="CX96" s="835"/>
      <c r="CY96" s="871">
        <f>47*PPH_Data_Base28[[#This Row],[No. of Unit  Compressors]]*1.35</f>
        <v>126.9</v>
      </c>
      <c r="CZ96" s="871">
        <f>30*1.35*PPH_Data_Base28[[#This Row],[NO Condenser Fans]]</f>
        <v>121.5</v>
      </c>
      <c r="DA96" s="781">
        <f>INDEX($B$136:$F$154,MATCH(PPH_Data_Base28[[#This Row],[STD Supply Fan Motor]],$B$136:$B$154,0),5)*PPH_Data_Base28[[#This Row],[Fan QTY]]</f>
        <v>49.088431038135589</v>
      </c>
      <c r="DB96" s="871">
        <f>47*1.35*PPH_Data_Base28[[#This Row],[No. of Unit  Compressors]]</f>
        <v>126.9</v>
      </c>
      <c r="DC96" s="871">
        <f>28*PPH_Data_Base28[[#This Row],[NO Condenser Fans]]</f>
        <v>84</v>
      </c>
      <c r="DD96" s="781">
        <f>INDEX($B$136:$F$154,MATCH(PPH_Data_Base28[[#This Row],[STD Supply Fan Motor]],$B$136:$B$154,0),3)*PPH_Data_Base28[[#This Row],[Fan QTY]]</f>
        <v>31.756799576271195</v>
      </c>
      <c r="DE96" s="870"/>
      <c r="DF96" s="870"/>
      <c r="DG96" s="870"/>
      <c r="DH96" s="781">
        <v>276</v>
      </c>
      <c r="DI96" s="781">
        <v>178</v>
      </c>
      <c r="DJ96" s="870">
        <v>4700</v>
      </c>
      <c r="DK96" s="870">
        <v>9000</v>
      </c>
      <c r="DL96" s="870">
        <v>1780</v>
      </c>
      <c r="DM96" s="870"/>
      <c r="DN96" s="870"/>
      <c r="DO96" s="870"/>
      <c r="DP96" s="781">
        <v>450</v>
      </c>
      <c r="DQ96" s="781">
        <f>PPH_Data_Base28[[#This Row],[NEMA 4X For Electrical Panel]]</f>
        <v>450</v>
      </c>
      <c r="DR96" s="870"/>
      <c r="DS96" s="870"/>
      <c r="DT96" s="870">
        <f>PPH_Data_Base28[[#This Row],[NO Condenser Fans]]*350</f>
        <v>1050</v>
      </c>
      <c r="DU96" s="870"/>
      <c r="DV96" s="870">
        <f>150*PPH_Data_Base28[[#This Row],[NO Condenser Fans]]</f>
        <v>450</v>
      </c>
      <c r="DW96" s="781">
        <f>720*1.35*PPH_Data_Base28[[#This Row],[NO Condenser Fans]]</f>
        <v>2916.0000000000005</v>
      </c>
      <c r="DX96" s="781">
        <v>250</v>
      </c>
      <c r="DY96" s="870">
        <v>700</v>
      </c>
      <c r="DZ96" s="870"/>
      <c r="EA96" s="870"/>
      <c r="EB96" s="870"/>
      <c r="EC96" s="870"/>
      <c r="ED96" s="870"/>
      <c r="EE96" s="870"/>
      <c r="EF96" s="870"/>
      <c r="EG96" s="870"/>
      <c r="EH96" s="870"/>
      <c r="EI96" s="870"/>
      <c r="EJ96" s="870"/>
      <c r="EK96" s="870"/>
      <c r="EL96" s="870"/>
      <c r="EM96" s="870"/>
      <c r="EN96" s="870"/>
      <c r="EO96" s="870"/>
      <c r="EP96" s="870"/>
      <c r="EQ96" s="870"/>
      <c r="ER96" s="870"/>
      <c r="ES96" s="870"/>
      <c r="ET96" s="870"/>
      <c r="EU96" s="870"/>
      <c r="EV96" s="870"/>
      <c r="EW96" s="847"/>
      <c r="EX96" s="781">
        <f>4*50*1.35*PPH_Data_Base28[[#This Row],[Fan QTY]]</f>
        <v>270</v>
      </c>
      <c r="EY96" s="781">
        <f>4*100*1.35*PPH_Data_Base28[[#This Row],[Fan QTY]]</f>
        <v>540</v>
      </c>
      <c r="EZ96" s="870"/>
      <c r="FA96" s="870">
        <v>40</v>
      </c>
      <c r="FB96" s="870">
        <v>40</v>
      </c>
      <c r="FC96" s="870">
        <v>24</v>
      </c>
      <c r="FD96" s="870">
        <v>24</v>
      </c>
      <c r="FE96" s="870"/>
      <c r="FF96" s="870"/>
      <c r="FG96" s="870"/>
      <c r="FH96" s="870"/>
      <c r="FI96" s="870"/>
      <c r="FJ96" s="870"/>
      <c r="FK96" s="870">
        <f>PPH_Data_Base28[[#This Row],[Differential Pressure Switch]]*2</f>
        <v>0</v>
      </c>
      <c r="FL96" s="870"/>
      <c r="FM96" s="872"/>
      <c r="FN96" s="872"/>
      <c r="FO96" s="872">
        <f>PPH_Data_Base28[[#This Row],[Replaceble Filter Drier ]]</f>
        <v>297</v>
      </c>
      <c r="FP96" s="872">
        <f>PPH_Data_Base28[[#This Row],[2" Pre-Filter]]*2</f>
        <v>202</v>
      </c>
      <c r="FQ96" s="872">
        <f>PPH_Data_Base28[[#This Row],[Bag Filter EU-8]]</f>
        <v>607</v>
      </c>
      <c r="FR96" s="872"/>
      <c r="FS96" s="872">
        <v>30</v>
      </c>
      <c r="FT96" s="176"/>
      <c r="FU96" s="176"/>
      <c r="FV96" s="176"/>
      <c r="FW96" s="176"/>
      <c r="GW96" s="176"/>
      <c r="GX96" s="176"/>
      <c r="HC96" s="176"/>
    </row>
    <row r="97" spans="1:211">
      <c r="A97" s="780" t="s">
        <v>1710</v>
      </c>
      <c r="B97" s="781" t="s">
        <v>1601</v>
      </c>
      <c r="C97" s="781" t="s">
        <v>1601</v>
      </c>
      <c r="D97" s="870"/>
      <c r="E97" s="870"/>
      <c r="F97" s="870"/>
      <c r="G97" s="851">
        <v>0</v>
      </c>
      <c r="H97" s="870" t="s">
        <v>2250</v>
      </c>
      <c r="I97" s="781" t="s">
        <v>764</v>
      </c>
      <c r="J97" s="781" t="s">
        <v>1597</v>
      </c>
      <c r="K97" s="781">
        <v>1</v>
      </c>
      <c r="L97" s="781" t="s">
        <v>568</v>
      </c>
      <c r="M97" s="781">
        <v>6</v>
      </c>
      <c r="N97" s="300">
        <v>2</v>
      </c>
      <c r="O97" s="781">
        <v>68.599999999999994</v>
      </c>
      <c r="P97" s="781">
        <v>31.7</v>
      </c>
      <c r="Q97" s="781">
        <v>2</v>
      </c>
      <c r="R97" s="781">
        <v>30</v>
      </c>
      <c r="S97" s="781">
        <v>2</v>
      </c>
      <c r="T97" s="781"/>
      <c r="U97" s="781"/>
      <c r="V97" s="781">
        <v>396</v>
      </c>
      <c r="W97" s="781">
        <v>710</v>
      </c>
      <c r="X97" s="870"/>
      <c r="Y97" s="835">
        <v>0</v>
      </c>
      <c r="Z97" s="782" t="s">
        <v>1433</v>
      </c>
      <c r="AA97" s="782">
        <v>15238</v>
      </c>
      <c r="AB97" s="870"/>
      <c r="AC97" s="834">
        <v>0</v>
      </c>
      <c r="AD97" s="781">
        <v>139</v>
      </c>
      <c r="AE97" s="870"/>
      <c r="AF97" s="870"/>
      <c r="AG97" s="870"/>
      <c r="AH97" s="781">
        <v>400</v>
      </c>
      <c r="AI97" s="870"/>
      <c r="AJ97" s="870"/>
      <c r="AK97" s="870"/>
      <c r="AL97" s="870">
        <f>PPH_Data_Base28[[#This Row],[PPH Unit Basic Price With Cu Tube]]*0.05</f>
        <v>761.90000000000009</v>
      </c>
      <c r="AM97" s="781">
        <v>280</v>
      </c>
      <c r="AN97" s="781"/>
      <c r="AO97" s="781"/>
      <c r="AP97" s="781">
        <v>425</v>
      </c>
      <c r="AQ97" s="781">
        <v>370</v>
      </c>
      <c r="AR97" s="781">
        <v>201</v>
      </c>
      <c r="AS97" s="781">
        <v>670</v>
      </c>
      <c r="AT97" s="781">
        <v>1005</v>
      </c>
      <c r="AU97" s="781">
        <v>149</v>
      </c>
      <c r="AV97" s="781">
        <v>783</v>
      </c>
      <c r="AW97" s="870">
        <v>4186</v>
      </c>
      <c r="AX97" s="870">
        <v>363</v>
      </c>
      <c r="AY97" s="870"/>
      <c r="AZ97" s="870"/>
      <c r="BA97" s="870"/>
      <c r="BB97" s="870">
        <f>PPH_Data_Base28[[#This Row],[PPH Unit Basic Price With Cu Tube]]*0.1</f>
        <v>1523.8000000000002</v>
      </c>
      <c r="BC97" s="870"/>
      <c r="BD97" s="870"/>
      <c r="BE97" s="870"/>
      <c r="BF97" s="870"/>
      <c r="BG97" s="870"/>
      <c r="BH97" s="870">
        <f>PPH_Data_Base28[[#This Row],[PPH Unit Basic Price With Cu Tube]]*0.075</f>
        <v>1142.8499999999999</v>
      </c>
      <c r="BI97" s="870"/>
      <c r="BJ97" s="870"/>
      <c r="BK97" s="870"/>
      <c r="BL97" s="870"/>
      <c r="BM97" s="781">
        <f>PPH_Data_Base28[[#This Row],[Total Condenser Coil Area]]*Naming!$M$62*4</f>
        <v>6146.5599999999995</v>
      </c>
      <c r="BN97" s="781">
        <f>PPH_Data_Base28[[#This Row],[Total Evaporator  Coil Area]]*Naming!$M$62*4</f>
        <v>2840.3199999999997</v>
      </c>
      <c r="BO97" s="781">
        <f>PPH_Data_Base28[[#This Row],[Total Condenser Coil Area]]*Naming!$D$61*4</f>
        <v>93.295999999999992</v>
      </c>
      <c r="BP97" s="781">
        <f>PPH_Data_Base28[[#This Row],[Total Evaporator  Coil Area]]*Naming!$D$61*6</f>
        <v>64.668000000000006</v>
      </c>
      <c r="BQ97" s="781">
        <f>$G$195*PPH_Data_Base28[[#This Row],[Total Evaporator  Coil Area]]</f>
        <v>142.65</v>
      </c>
      <c r="BR97" s="781">
        <f>$G$199*PPH_Data_Base28[[#This Row],[Total Evaporator  Coil Area]]</f>
        <v>215.56</v>
      </c>
      <c r="BS97" s="781">
        <f>$E$185*PPH_Data_Base28[[#This Row],[Total Evaporator  Coil Area]]</f>
        <v>634</v>
      </c>
      <c r="BT97" s="781">
        <f>$E$188*PPH_Data_Base28[[#This Row],[Total Evaporator  Coil Area]]</f>
        <v>887.6</v>
      </c>
      <c r="BU97" s="781">
        <f>$G$195*PPH_Data_Base28[[#This Row],[Total Condenser Coil Area]]</f>
        <v>308.7</v>
      </c>
      <c r="BV97" s="781">
        <f>$G$199*PPH_Data_Base28[[#This Row],[Total Condenser Coil Area]]</f>
        <v>466.47999999999996</v>
      </c>
      <c r="BW97" s="781">
        <f>$E$185*PPH_Data_Base28[[#This Row],[Total Condenser Coil Area]]</f>
        <v>1372</v>
      </c>
      <c r="BX97" s="781">
        <f>$E$188*PPH_Data_Base28[[#This Row],[Total Condenser Coil Area]]</f>
        <v>1920.7999999999997</v>
      </c>
      <c r="BY97" s="781">
        <v>95</v>
      </c>
      <c r="BZ97" s="870"/>
      <c r="CA97" s="870"/>
      <c r="CB97" s="870"/>
      <c r="CC97" s="870">
        <f>PPH_Data_Base28[[#This Row],[PPH Unit Basic Price With Cu Tube]]*0.05</f>
        <v>761.90000000000009</v>
      </c>
      <c r="CD97" s="870">
        <f>PPH_Data_Base28[[#This Row],[PPH Unit Basic Price With Cu Tube]]*0.03</f>
        <v>457.14</v>
      </c>
      <c r="CE97" s="870">
        <v>30</v>
      </c>
      <c r="CF97" s="832">
        <v>0</v>
      </c>
      <c r="CG97" s="870">
        <f>PPH_Data_Base28[[#This Row],[PPH Unit Basic Price With Cu Tube]]*0.25</f>
        <v>3809.5</v>
      </c>
      <c r="CH97" s="870">
        <f>PPH_Data_Base28[[#This Row],[DSP Unit Basic Price With Cu Tube]]*0.35</f>
        <v>0</v>
      </c>
      <c r="CI97" s="781">
        <f t="shared" si="11"/>
        <v>267.3</v>
      </c>
      <c r="CJ97" s="781">
        <f t="shared" si="12"/>
        <v>251.10000000000002</v>
      </c>
      <c r="CK97" s="781">
        <f t="shared" si="13"/>
        <v>75.600000000000009</v>
      </c>
      <c r="CL97" s="781">
        <f>110*1.35*PPH_Data_Base28[[#This Row],[No. of Unit  Compressors]]</f>
        <v>297</v>
      </c>
      <c r="CM97" s="870">
        <f>140*1.35*PPH_Data_Base28[[#This Row],[No. of Unit  Compressors]]</f>
        <v>378</v>
      </c>
      <c r="CN97" s="781">
        <f>180*1.35*PPH_Data_Base28[[#This Row],[No. of Unit  Compressors]]</f>
        <v>486.00000000000006</v>
      </c>
      <c r="CO97" s="870">
        <v>0</v>
      </c>
      <c r="CP97" s="781">
        <f>160*1.35*PPH_Data_Base28[[#This Row],[No. of Unit  Compressors]]</f>
        <v>432</v>
      </c>
      <c r="CQ97" s="870"/>
      <c r="CR97" s="781">
        <v>800</v>
      </c>
      <c r="CS97" s="870">
        <f>PPH_Data_Base28[[#This Row],[PPH Unit Basic Price With Cu Tube]]*0.35</f>
        <v>5333.2999999999993</v>
      </c>
      <c r="CT97" s="781">
        <f>$L$252*1.35*PPH_Data_Base28[[#This Row],[No. of Unit  Compressors]]</f>
        <v>0</v>
      </c>
      <c r="CU97" s="870"/>
      <c r="CV97" s="870"/>
      <c r="CW97" s="781">
        <f>400*1.35*PPH_Data_Base28[[#This Row],[No. of Unit  Compressors]]</f>
        <v>1080</v>
      </c>
      <c r="CX97" s="835"/>
      <c r="CY97" s="871">
        <f>47*PPH_Data_Base28[[#This Row],[No. of Unit  Compressors]]*1.35</f>
        <v>126.9</v>
      </c>
      <c r="CZ97" s="871">
        <f>30*1.35*PPH_Data_Base28[[#This Row],[NO Condenser Fans]]</f>
        <v>81</v>
      </c>
      <c r="DA97" s="781">
        <f>INDEX($B$136:$F$154,MATCH(PPH_Data_Base28[[#This Row],[STD Supply Fan Motor]],$B$136:$B$154,0),5)*PPH_Data_Base28[[#This Row],[Fan QTY]]</f>
        <v>49.088431038135589</v>
      </c>
      <c r="DB97" s="871">
        <f>47*1.35*PPH_Data_Base28[[#This Row],[No. of Unit  Compressors]]</f>
        <v>126.9</v>
      </c>
      <c r="DC97" s="871">
        <f>28*PPH_Data_Base28[[#This Row],[NO Condenser Fans]]</f>
        <v>56</v>
      </c>
      <c r="DD97" s="781">
        <f>INDEX($B$136:$F$154,MATCH(PPH_Data_Base28[[#This Row],[STD Supply Fan Motor]],$B$136:$B$154,0),3)*PPH_Data_Base28[[#This Row],[Fan QTY]]</f>
        <v>31.756799576271195</v>
      </c>
      <c r="DE97" s="870"/>
      <c r="DF97" s="870"/>
      <c r="DG97" s="870"/>
      <c r="DH97" s="781">
        <v>276</v>
      </c>
      <c r="DI97" s="781">
        <v>226</v>
      </c>
      <c r="DJ97" s="870">
        <v>0</v>
      </c>
      <c r="DK97" s="870">
        <v>0</v>
      </c>
      <c r="DL97" s="870">
        <v>1780</v>
      </c>
      <c r="DM97" s="870"/>
      <c r="DN97" s="870"/>
      <c r="DO97" s="870"/>
      <c r="DP97" s="781">
        <v>650</v>
      </c>
      <c r="DQ97" s="781">
        <f>PPH_Data_Base28[[#This Row],[NEMA 4X For Electrical Panel]]</f>
        <v>650</v>
      </c>
      <c r="DR97" s="870"/>
      <c r="DS97" s="870"/>
      <c r="DT97" s="870">
        <f>PPH_Data_Base28[[#This Row],[NO Condenser Fans]]*350</f>
        <v>700</v>
      </c>
      <c r="DU97" s="870"/>
      <c r="DV97" s="870">
        <f>150*PPH_Data_Base28[[#This Row],[NO Condenser Fans]]</f>
        <v>300</v>
      </c>
      <c r="DW97" s="781">
        <f>720*1.35*PPH_Data_Base28[[#This Row],[NO Condenser Fans]]</f>
        <v>1944.0000000000002</v>
      </c>
      <c r="DX97" s="781">
        <v>250</v>
      </c>
      <c r="DY97" s="870">
        <v>700</v>
      </c>
      <c r="DZ97" s="870"/>
      <c r="EA97" s="870"/>
      <c r="EB97" s="870"/>
      <c r="EC97" s="870"/>
      <c r="ED97" s="870"/>
      <c r="EE97" s="870"/>
      <c r="EF97" s="870"/>
      <c r="EG97" s="870"/>
      <c r="EH97" s="870"/>
      <c r="EI97" s="870"/>
      <c r="EJ97" s="870"/>
      <c r="EK97" s="870"/>
      <c r="EL97" s="870"/>
      <c r="EM97" s="870"/>
      <c r="EN97" s="870"/>
      <c r="EO97" s="870"/>
      <c r="EP97" s="870"/>
      <c r="EQ97" s="870"/>
      <c r="ER97" s="870"/>
      <c r="ES97" s="870"/>
      <c r="ET97" s="870"/>
      <c r="EU97" s="870"/>
      <c r="EV97" s="870"/>
      <c r="EW97" s="847"/>
      <c r="EX97" s="781">
        <f>4*50*1.35*PPH_Data_Base28[[#This Row],[Fan QTY]]</f>
        <v>270</v>
      </c>
      <c r="EY97" s="781">
        <f>4*100*1.35*PPH_Data_Base28[[#This Row],[Fan QTY]]</f>
        <v>540</v>
      </c>
      <c r="EZ97" s="870"/>
      <c r="FA97" s="870">
        <v>40</v>
      </c>
      <c r="FB97" s="870">
        <v>40</v>
      </c>
      <c r="FC97" s="870">
        <v>24</v>
      </c>
      <c r="FD97" s="870">
        <v>24</v>
      </c>
      <c r="FE97" s="870"/>
      <c r="FF97" s="870"/>
      <c r="FG97" s="870"/>
      <c r="FH97" s="870"/>
      <c r="FI97" s="870"/>
      <c r="FJ97" s="870"/>
      <c r="FK97" s="870">
        <f>PPH_Data_Base28[[#This Row],[Differential Pressure Switch]]*2</f>
        <v>0</v>
      </c>
      <c r="FL97" s="870"/>
      <c r="FM97" s="872"/>
      <c r="FN97" s="872"/>
      <c r="FO97" s="872">
        <f>PPH_Data_Base28[[#This Row],[Replaceble Filter Drier ]]</f>
        <v>297</v>
      </c>
      <c r="FP97" s="872">
        <f>PPH_Data_Base28[[#This Row],[2" Pre-Filter]]*2</f>
        <v>298</v>
      </c>
      <c r="FQ97" s="872">
        <f>PPH_Data_Base28[[#This Row],[Bag Filter EU-8]]</f>
        <v>783</v>
      </c>
      <c r="FR97" s="872"/>
      <c r="FS97" s="872">
        <v>30</v>
      </c>
      <c r="FT97" s="176"/>
      <c r="FU97" s="176"/>
      <c r="FV97" s="176"/>
      <c r="FW97" s="176"/>
      <c r="GW97" s="176"/>
      <c r="GX97" s="176"/>
      <c r="HC97" s="176"/>
    </row>
    <row r="98" spans="1:211">
      <c r="A98" s="780" t="s">
        <v>1710</v>
      </c>
      <c r="B98" s="781" t="s">
        <v>1601</v>
      </c>
      <c r="C98" s="781" t="s">
        <v>1601</v>
      </c>
      <c r="D98" s="870"/>
      <c r="E98" s="870"/>
      <c r="F98" s="870"/>
      <c r="G98" s="851">
        <v>0</v>
      </c>
      <c r="H98" s="870" t="s">
        <v>2250</v>
      </c>
      <c r="I98" s="781" t="s">
        <v>764</v>
      </c>
      <c r="J98" s="781" t="s">
        <v>1597</v>
      </c>
      <c r="K98" s="781">
        <v>1</v>
      </c>
      <c r="L98" s="781" t="s">
        <v>568</v>
      </c>
      <c r="M98" s="781">
        <v>6</v>
      </c>
      <c r="N98" s="300">
        <v>2</v>
      </c>
      <c r="O98" s="781">
        <v>68.599999999999994</v>
      </c>
      <c r="P98" s="781">
        <v>31.7</v>
      </c>
      <c r="Q98" s="781">
        <v>2</v>
      </c>
      <c r="R98" s="781">
        <v>30</v>
      </c>
      <c r="S98" s="781">
        <v>2</v>
      </c>
      <c r="T98" s="781"/>
      <c r="U98" s="781"/>
      <c r="V98" s="781">
        <v>396</v>
      </c>
      <c r="W98" s="781">
        <v>710</v>
      </c>
      <c r="X98" s="870"/>
      <c r="Y98" s="835">
        <v>0</v>
      </c>
      <c r="Z98" s="782" t="s">
        <v>1433</v>
      </c>
      <c r="AA98" s="782">
        <v>15238</v>
      </c>
      <c r="AB98" s="870"/>
      <c r="AC98" s="834">
        <v>0</v>
      </c>
      <c r="AD98" s="781">
        <v>139</v>
      </c>
      <c r="AE98" s="870"/>
      <c r="AF98" s="870"/>
      <c r="AG98" s="870"/>
      <c r="AH98" s="781">
        <v>400</v>
      </c>
      <c r="AI98" s="870"/>
      <c r="AJ98" s="870"/>
      <c r="AK98" s="870"/>
      <c r="AL98" s="870">
        <f>PPH_Data_Base28[[#This Row],[PPH Unit Basic Price With Cu Tube]]*0.05</f>
        <v>761.90000000000009</v>
      </c>
      <c r="AM98" s="781">
        <v>809</v>
      </c>
      <c r="AN98" s="781"/>
      <c r="AO98" s="781"/>
      <c r="AP98" s="781">
        <v>425</v>
      </c>
      <c r="AQ98" s="781">
        <v>370</v>
      </c>
      <c r="AR98" s="781">
        <v>201</v>
      </c>
      <c r="AS98" s="781">
        <v>670</v>
      </c>
      <c r="AT98" s="781">
        <v>1005</v>
      </c>
      <c r="AU98" s="781">
        <v>149</v>
      </c>
      <c r="AV98" s="781">
        <v>783</v>
      </c>
      <c r="AW98" s="870">
        <v>4186</v>
      </c>
      <c r="AX98" s="870">
        <v>363</v>
      </c>
      <c r="AY98" s="870"/>
      <c r="AZ98" s="870"/>
      <c r="BA98" s="870"/>
      <c r="BB98" s="870">
        <f>PPH_Data_Base28[[#This Row],[PPH Unit Basic Price With Cu Tube]]*0.1</f>
        <v>1523.8000000000002</v>
      </c>
      <c r="BC98" s="870"/>
      <c r="BD98" s="870"/>
      <c r="BE98" s="870"/>
      <c r="BF98" s="870"/>
      <c r="BG98" s="870"/>
      <c r="BH98" s="870">
        <f>PPH_Data_Base28[[#This Row],[PPH Unit Basic Price With Cu Tube]]*0.075</f>
        <v>1142.8499999999999</v>
      </c>
      <c r="BI98" s="870"/>
      <c r="BJ98" s="870"/>
      <c r="BK98" s="870"/>
      <c r="BL98" s="870"/>
      <c r="BM98" s="781">
        <f>PPH_Data_Base28[[#This Row],[Total Condenser Coil Area]]*Naming!$M$62*4</f>
        <v>6146.5599999999995</v>
      </c>
      <c r="BN98" s="781">
        <f>PPH_Data_Base28[[#This Row],[Total Evaporator  Coil Area]]*Naming!$M$62*4</f>
        <v>2840.3199999999997</v>
      </c>
      <c r="BO98" s="781">
        <f>PPH_Data_Base28[[#This Row],[Total Condenser Coil Area]]*Naming!$D$61*4</f>
        <v>93.295999999999992</v>
      </c>
      <c r="BP98" s="781">
        <f>PPH_Data_Base28[[#This Row],[Total Evaporator  Coil Area]]*Naming!$D$61*6</f>
        <v>64.668000000000006</v>
      </c>
      <c r="BQ98" s="781">
        <f>$G$195*PPH_Data_Base28[[#This Row],[Total Evaporator  Coil Area]]</f>
        <v>142.65</v>
      </c>
      <c r="BR98" s="781">
        <f>$G$199*PPH_Data_Base28[[#This Row],[Total Evaporator  Coil Area]]</f>
        <v>215.56</v>
      </c>
      <c r="BS98" s="781">
        <f>$E$185*PPH_Data_Base28[[#This Row],[Total Evaporator  Coil Area]]</f>
        <v>634</v>
      </c>
      <c r="BT98" s="781">
        <f>$E$188*PPH_Data_Base28[[#This Row],[Total Evaporator  Coil Area]]</f>
        <v>887.6</v>
      </c>
      <c r="BU98" s="781">
        <f>$G$195*PPH_Data_Base28[[#This Row],[Total Condenser Coil Area]]</f>
        <v>308.7</v>
      </c>
      <c r="BV98" s="781">
        <f>$G$199*PPH_Data_Base28[[#This Row],[Total Condenser Coil Area]]</f>
        <v>466.47999999999996</v>
      </c>
      <c r="BW98" s="781">
        <f>$E$185*PPH_Data_Base28[[#This Row],[Total Condenser Coil Area]]</f>
        <v>1372</v>
      </c>
      <c r="BX98" s="781">
        <f>$E$188*PPH_Data_Base28[[#This Row],[Total Condenser Coil Area]]</f>
        <v>1920.7999999999997</v>
      </c>
      <c r="BY98" s="781">
        <v>95</v>
      </c>
      <c r="BZ98" s="870"/>
      <c r="CA98" s="870"/>
      <c r="CB98" s="870"/>
      <c r="CC98" s="870">
        <f>PPH_Data_Base28[[#This Row],[PPH Unit Basic Price With Cu Tube]]*0.05</f>
        <v>761.90000000000009</v>
      </c>
      <c r="CD98" s="870">
        <f>PPH_Data_Base28[[#This Row],[PPH Unit Basic Price With Cu Tube]]*0.03</f>
        <v>457.14</v>
      </c>
      <c r="CE98" s="870">
        <v>30</v>
      </c>
      <c r="CF98" s="832">
        <v>0</v>
      </c>
      <c r="CG98" s="870">
        <f>PPH_Data_Base28[[#This Row],[PPH Unit Basic Price With Cu Tube]]*0.25</f>
        <v>3809.5</v>
      </c>
      <c r="CH98" s="870">
        <f>PPH_Data_Base28[[#This Row],[DSP Unit Basic Price With Cu Tube]]*0.35</f>
        <v>0</v>
      </c>
      <c r="CI98" s="781">
        <f t="shared" si="11"/>
        <v>267.3</v>
      </c>
      <c r="CJ98" s="781">
        <f t="shared" si="12"/>
        <v>251.10000000000002</v>
      </c>
      <c r="CK98" s="781">
        <f t="shared" si="13"/>
        <v>75.600000000000009</v>
      </c>
      <c r="CL98" s="781">
        <f>110*1.35*PPH_Data_Base28[[#This Row],[No. of Unit  Compressors]]</f>
        <v>297</v>
      </c>
      <c r="CM98" s="870">
        <f>140*1.35*PPH_Data_Base28[[#This Row],[No. of Unit  Compressors]]</f>
        <v>378</v>
      </c>
      <c r="CN98" s="781">
        <f>180*1.35*PPH_Data_Base28[[#This Row],[No. of Unit  Compressors]]</f>
        <v>486.00000000000006</v>
      </c>
      <c r="CO98" s="870">
        <v>0</v>
      </c>
      <c r="CP98" s="781">
        <f>160*1.35*PPH_Data_Base28[[#This Row],[No. of Unit  Compressors]]</f>
        <v>432</v>
      </c>
      <c r="CQ98" s="870"/>
      <c r="CR98" s="781">
        <v>800</v>
      </c>
      <c r="CS98" s="870">
        <f>PPH_Data_Base28[[#This Row],[PPH Unit Basic Price With Cu Tube]]*0.35</f>
        <v>5333.2999999999993</v>
      </c>
      <c r="CT98" s="781">
        <f>$L$252*1.35*PPH_Data_Base28[[#This Row],[No. of Unit  Compressors]]</f>
        <v>0</v>
      </c>
      <c r="CU98" s="870"/>
      <c r="CV98" s="870"/>
      <c r="CW98" s="781">
        <f>400*1.35*PPH_Data_Base28[[#This Row],[No. of Unit  Compressors]]</f>
        <v>1080</v>
      </c>
      <c r="CX98" s="835"/>
      <c r="CY98" s="871">
        <f>47*PPH_Data_Base28[[#This Row],[No. of Unit  Compressors]]*1.35</f>
        <v>126.9</v>
      </c>
      <c r="CZ98" s="871">
        <f>30*1.35*PPH_Data_Base28[[#This Row],[NO Condenser Fans]]</f>
        <v>81</v>
      </c>
      <c r="DA98" s="781">
        <f>INDEX($B$136:$F$154,MATCH(PPH_Data_Base28[[#This Row],[STD Supply Fan Motor]],$B$136:$B$154,0),5)*PPH_Data_Base28[[#This Row],[Fan QTY]]</f>
        <v>49.088431038135589</v>
      </c>
      <c r="DB98" s="871">
        <f>47*1.35*PPH_Data_Base28[[#This Row],[No. of Unit  Compressors]]</f>
        <v>126.9</v>
      </c>
      <c r="DC98" s="871">
        <f>28*PPH_Data_Base28[[#This Row],[NO Condenser Fans]]</f>
        <v>56</v>
      </c>
      <c r="DD98" s="781">
        <f>INDEX($B$136:$F$154,MATCH(PPH_Data_Base28[[#This Row],[STD Supply Fan Motor]],$B$136:$B$154,0),3)*PPH_Data_Base28[[#This Row],[Fan QTY]]</f>
        <v>31.756799576271195</v>
      </c>
      <c r="DE98" s="870"/>
      <c r="DF98" s="870"/>
      <c r="DG98" s="870"/>
      <c r="DH98" s="781">
        <v>276</v>
      </c>
      <c r="DI98" s="781">
        <v>226</v>
      </c>
      <c r="DJ98" s="870">
        <v>0</v>
      </c>
      <c r="DK98" s="870">
        <v>0</v>
      </c>
      <c r="DL98" s="870">
        <v>1780</v>
      </c>
      <c r="DM98" s="870"/>
      <c r="DN98" s="870"/>
      <c r="DO98" s="870"/>
      <c r="DP98" s="781">
        <v>650</v>
      </c>
      <c r="DQ98" s="781">
        <f>PPH_Data_Base28[[#This Row],[NEMA 4X For Electrical Panel]]</f>
        <v>650</v>
      </c>
      <c r="DR98" s="870"/>
      <c r="DS98" s="870"/>
      <c r="DT98" s="870">
        <f>PPH_Data_Base28[[#This Row],[NO Condenser Fans]]*350</f>
        <v>700</v>
      </c>
      <c r="DU98" s="870"/>
      <c r="DV98" s="870">
        <f>150*PPH_Data_Base28[[#This Row],[NO Condenser Fans]]</f>
        <v>300</v>
      </c>
      <c r="DW98" s="781">
        <f>720*1.35*PPH_Data_Base28[[#This Row],[NO Condenser Fans]]</f>
        <v>1944.0000000000002</v>
      </c>
      <c r="DX98" s="781">
        <v>250</v>
      </c>
      <c r="DY98" s="870">
        <v>700</v>
      </c>
      <c r="DZ98" s="870"/>
      <c r="EA98" s="870"/>
      <c r="EB98" s="870"/>
      <c r="EC98" s="870"/>
      <c r="ED98" s="870"/>
      <c r="EE98" s="870"/>
      <c r="EF98" s="870"/>
      <c r="EG98" s="870"/>
      <c r="EH98" s="870"/>
      <c r="EI98" s="870"/>
      <c r="EJ98" s="870"/>
      <c r="EK98" s="870"/>
      <c r="EL98" s="870"/>
      <c r="EM98" s="870"/>
      <c r="EN98" s="870"/>
      <c r="EO98" s="870"/>
      <c r="EP98" s="870"/>
      <c r="EQ98" s="870"/>
      <c r="ER98" s="870"/>
      <c r="ES98" s="870"/>
      <c r="ET98" s="870"/>
      <c r="EU98" s="870"/>
      <c r="EV98" s="870"/>
      <c r="EW98" s="847"/>
      <c r="EX98" s="781">
        <f>4*50*1.35*PPH_Data_Base28[[#This Row],[Fan QTY]]</f>
        <v>270</v>
      </c>
      <c r="EY98" s="781">
        <f>4*100*1.35*PPH_Data_Base28[[#This Row],[Fan QTY]]</f>
        <v>540</v>
      </c>
      <c r="EZ98" s="870"/>
      <c r="FA98" s="870">
        <v>40</v>
      </c>
      <c r="FB98" s="870">
        <v>40</v>
      </c>
      <c r="FC98" s="870">
        <v>24</v>
      </c>
      <c r="FD98" s="870">
        <v>24</v>
      </c>
      <c r="FE98" s="870"/>
      <c r="FF98" s="870"/>
      <c r="FG98" s="870"/>
      <c r="FH98" s="870"/>
      <c r="FI98" s="870"/>
      <c r="FJ98" s="870"/>
      <c r="FK98" s="870">
        <f>PPH_Data_Base28[[#This Row],[Differential Pressure Switch]]*2</f>
        <v>0</v>
      </c>
      <c r="FL98" s="870"/>
      <c r="FM98" s="872"/>
      <c r="FN98" s="872"/>
      <c r="FO98" s="872">
        <f>PPH_Data_Base28[[#This Row],[Replaceble Filter Drier ]]</f>
        <v>297</v>
      </c>
      <c r="FP98" s="872">
        <f>PPH_Data_Base28[[#This Row],[2" Pre-Filter]]*2</f>
        <v>298</v>
      </c>
      <c r="FQ98" s="872">
        <f>PPH_Data_Base28[[#This Row],[Bag Filter EU-8]]</f>
        <v>783</v>
      </c>
      <c r="FR98" s="872"/>
      <c r="FS98" s="872">
        <v>30</v>
      </c>
      <c r="FT98" s="176"/>
      <c r="FU98" s="176"/>
      <c r="FV98" s="176"/>
      <c r="FW98" s="176"/>
      <c r="GW98" s="176"/>
      <c r="GX98" s="176"/>
      <c r="HC98" s="176"/>
    </row>
    <row r="99" spans="1:211">
      <c r="A99" s="780" t="s">
        <v>1711</v>
      </c>
      <c r="B99" s="781" t="s">
        <v>1609</v>
      </c>
      <c r="C99" s="781" t="s">
        <v>1609</v>
      </c>
      <c r="D99" s="870"/>
      <c r="E99" s="870"/>
      <c r="F99" s="870"/>
      <c r="G99" s="851">
        <v>0</v>
      </c>
      <c r="H99" s="870" t="s">
        <v>2250</v>
      </c>
      <c r="I99" s="781" t="s">
        <v>1603</v>
      </c>
      <c r="J99" s="781" t="s">
        <v>1608</v>
      </c>
      <c r="K99" s="781">
        <v>1</v>
      </c>
      <c r="L99" s="781" t="s">
        <v>568</v>
      </c>
      <c r="M99" s="781">
        <v>6</v>
      </c>
      <c r="N99" s="300">
        <v>2</v>
      </c>
      <c r="O99" s="781">
        <v>73.900000000000006</v>
      </c>
      <c r="P99" s="781">
        <v>31.7</v>
      </c>
      <c r="Q99" s="781">
        <v>3</v>
      </c>
      <c r="R99" s="781">
        <v>30</v>
      </c>
      <c r="S99" s="781">
        <v>1</v>
      </c>
      <c r="T99" s="781">
        <v>25.8</v>
      </c>
      <c r="U99" s="781">
        <v>2</v>
      </c>
      <c r="V99" s="781">
        <v>1066</v>
      </c>
      <c r="W99" s="781">
        <v>1304</v>
      </c>
      <c r="X99" s="870"/>
      <c r="Y99" s="835">
        <v>0</v>
      </c>
      <c r="Z99" s="782" t="s">
        <v>1433</v>
      </c>
      <c r="AA99" s="782">
        <v>20070</v>
      </c>
      <c r="AB99" s="870"/>
      <c r="AC99" s="834">
        <v>0</v>
      </c>
      <c r="AD99" s="781">
        <v>140</v>
      </c>
      <c r="AE99" s="870"/>
      <c r="AF99" s="870"/>
      <c r="AG99" s="870"/>
      <c r="AH99" s="781">
        <v>536</v>
      </c>
      <c r="AI99" s="870"/>
      <c r="AJ99" s="870"/>
      <c r="AK99" s="870"/>
      <c r="AL99" s="870">
        <f>PPH_Data_Base28[[#This Row],[PPH Unit Basic Price With Cu Tube]]*0.05</f>
        <v>1003.5</v>
      </c>
      <c r="AM99" s="781">
        <v>809</v>
      </c>
      <c r="AN99" s="781"/>
      <c r="AO99" s="781"/>
      <c r="AP99" s="781">
        <v>630</v>
      </c>
      <c r="AQ99" s="781">
        <v>450</v>
      </c>
      <c r="AR99" s="781">
        <v>301</v>
      </c>
      <c r="AS99" s="781">
        <v>1004</v>
      </c>
      <c r="AT99" s="781">
        <v>1506</v>
      </c>
      <c r="AU99" s="781">
        <v>180</v>
      </c>
      <c r="AV99" s="781">
        <v>1081</v>
      </c>
      <c r="AW99" s="870">
        <v>4186</v>
      </c>
      <c r="AX99" s="870">
        <v>363</v>
      </c>
      <c r="AY99" s="870"/>
      <c r="AZ99" s="870"/>
      <c r="BA99" s="870"/>
      <c r="BB99" s="870">
        <f>PPH_Data_Base28[[#This Row],[PPH Unit Basic Price With Cu Tube]]*0.1</f>
        <v>2007</v>
      </c>
      <c r="BC99" s="870"/>
      <c r="BD99" s="870"/>
      <c r="BE99" s="870"/>
      <c r="BF99" s="870"/>
      <c r="BG99" s="870"/>
      <c r="BH99" s="870">
        <f>PPH_Data_Base28[[#This Row],[PPH Unit Basic Price With Cu Tube]]*0.075</f>
        <v>1505.25</v>
      </c>
      <c r="BI99" s="870"/>
      <c r="BJ99" s="870"/>
      <c r="BK99" s="870"/>
      <c r="BL99" s="870"/>
      <c r="BM99" s="781">
        <f>PPH_Data_Base28[[#This Row],[Total Condenser Coil Area]]*Naming!$M$62*4</f>
        <v>6621.4400000000005</v>
      </c>
      <c r="BN99" s="781">
        <f>PPH_Data_Base28[[#This Row],[Total Evaporator  Coil Area]]*Naming!$M$62*4</f>
        <v>2840.3199999999997</v>
      </c>
      <c r="BO99" s="781">
        <f>PPH_Data_Base28[[#This Row],[Total Condenser Coil Area]]*Naming!$D$61*4</f>
        <v>100.50400000000002</v>
      </c>
      <c r="BP99" s="781">
        <f>PPH_Data_Base28[[#This Row],[Total Evaporator  Coil Area]]*Naming!$D$61*6</f>
        <v>64.668000000000006</v>
      </c>
      <c r="BQ99" s="781">
        <f>$G$195*PPH_Data_Base28[[#This Row],[Total Evaporator  Coil Area]]</f>
        <v>142.65</v>
      </c>
      <c r="BR99" s="781">
        <f>$G$199*PPH_Data_Base28[[#This Row],[Total Evaporator  Coil Area]]</f>
        <v>215.56</v>
      </c>
      <c r="BS99" s="781">
        <f>$E$185*PPH_Data_Base28[[#This Row],[Total Evaporator  Coil Area]]</f>
        <v>634</v>
      </c>
      <c r="BT99" s="781">
        <f>$E$188*PPH_Data_Base28[[#This Row],[Total Evaporator  Coil Area]]</f>
        <v>887.6</v>
      </c>
      <c r="BU99" s="781">
        <f>$G$195*PPH_Data_Base28[[#This Row],[Total Condenser Coil Area]]</f>
        <v>332.55</v>
      </c>
      <c r="BV99" s="781">
        <f>$G$199*PPH_Data_Base28[[#This Row],[Total Condenser Coil Area]]</f>
        <v>502.52000000000004</v>
      </c>
      <c r="BW99" s="781">
        <f>$E$185*PPH_Data_Base28[[#This Row],[Total Condenser Coil Area]]</f>
        <v>1478</v>
      </c>
      <c r="BX99" s="781">
        <f>$E$188*PPH_Data_Base28[[#This Row],[Total Condenser Coil Area]]</f>
        <v>2069.2000000000003</v>
      </c>
      <c r="BY99" s="781">
        <v>95</v>
      </c>
      <c r="BZ99" s="870"/>
      <c r="CA99" s="870"/>
      <c r="CB99" s="870"/>
      <c r="CC99" s="870">
        <f>PPH_Data_Base28[[#This Row],[PPH Unit Basic Price With Cu Tube]]*0.05</f>
        <v>1003.5</v>
      </c>
      <c r="CD99" s="870">
        <f>PPH_Data_Base28[[#This Row],[PPH Unit Basic Price With Cu Tube]]*0.03</f>
        <v>602.1</v>
      </c>
      <c r="CE99" s="870">
        <v>50</v>
      </c>
      <c r="CF99" s="832">
        <v>0</v>
      </c>
      <c r="CG99" s="870">
        <f>PPH_Data_Base28[[#This Row],[PPH Unit Basic Price With Cu Tube]]*0.25</f>
        <v>5017.5</v>
      </c>
      <c r="CH99" s="870">
        <f>PPH_Data_Base28[[#This Row],[DSP Unit Basic Price With Cu Tube]]*0.35</f>
        <v>0</v>
      </c>
      <c r="CI99" s="781">
        <f t="shared" si="11"/>
        <v>400.95000000000005</v>
      </c>
      <c r="CJ99" s="781">
        <f t="shared" si="12"/>
        <v>376.65000000000003</v>
      </c>
      <c r="CK99" s="781">
        <f t="shared" si="13"/>
        <v>113.4</v>
      </c>
      <c r="CL99" s="781">
        <f>110*1.35*PPH_Data_Base28[[#This Row],[No. of Unit  Compressors]]</f>
        <v>445.5</v>
      </c>
      <c r="CM99" s="870">
        <f>140*1.35*PPH_Data_Base28[[#This Row],[No. of Unit  Compressors]]</f>
        <v>567</v>
      </c>
      <c r="CN99" s="781">
        <f>180*1.35*PPH_Data_Base28[[#This Row],[No. of Unit  Compressors]]</f>
        <v>729.00000000000011</v>
      </c>
      <c r="CO99" s="870">
        <v>0</v>
      </c>
      <c r="CP99" s="781">
        <f>160*1.35*PPH_Data_Base28[[#This Row],[No. of Unit  Compressors]]</f>
        <v>648</v>
      </c>
      <c r="CQ99" s="870"/>
      <c r="CR99" s="781">
        <v>800</v>
      </c>
      <c r="CS99" s="870">
        <f>PPH_Data_Base28[[#This Row],[PPH Unit Basic Price With Cu Tube]]*0.35</f>
        <v>7024.5</v>
      </c>
      <c r="CT99" s="781">
        <f>$L$252*1.35*PPH_Data_Base28[[#This Row],[No. of Unit  Compressors]]</f>
        <v>0</v>
      </c>
      <c r="CU99" s="870"/>
      <c r="CV99" s="870"/>
      <c r="CW99" s="781">
        <f>400*1.35*PPH_Data_Base28[[#This Row],[No. of Unit  Compressors]]</f>
        <v>1620</v>
      </c>
      <c r="CX99" s="835"/>
      <c r="CY99" s="871">
        <f>47*PPH_Data_Base28[[#This Row],[No. of Unit  Compressors]]*1.35</f>
        <v>190.35000000000002</v>
      </c>
      <c r="CZ99" s="871">
        <f>30*1.35*PPH_Data_Base28[[#This Row],[NO Condenser Fans]]</f>
        <v>81</v>
      </c>
      <c r="DA99" s="781">
        <f>INDEX($B$136:$F$154,MATCH(PPH_Data_Base28[[#This Row],[STD Supply Fan Motor]],$B$136:$B$154,0),5)*PPH_Data_Base28[[#This Row],[Fan QTY]]</f>
        <v>53.871794632768371</v>
      </c>
      <c r="DB99" s="871">
        <f>47*1.35*PPH_Data_Base28[[#This Row],[No. of Unit  Compressors]]</f>
        <v>190.35000000000002</v>
      </c>
      <c r="DC99" s="871">
        <f>28*PPH_Data_Base28[[#This Row],[NO Condenser Fans]]</f>
        <v>56</v>
      </c>
      <c r="DD99" s="781">
        <f>INDEX($B$136:$F$154,MATCH(PPH_Data_Base28[[#This Row],[STD Supply Fan Motor]],$B$136:$B$154,0),3)*PPH_Data_Base28[[#This Row],[Fan QTY]]</f>
        <v>34.411195903954805</v>
      </c>
      <c r="DE99" s="870"/>
      <c r="DF99" s="870"/>
      <c r="DG99" s="870"/>
      <c r="DH99" s="781">
        <v>454</v>
      </c>
      <c r="DI99" s="781">
        <v>266</v>
      </c>
      <c r="DJ99" s="870">
        <v>0</v>
      </c>
      <c r="DK99" s="870">
        <v>9400</v>
      </c>
      <c r="DL99" s="870">
        <v>2460</v>
      </c>
      <c r="DM99" s="870"/>
      <c r="DN99" s="870"/>
      <c r="DO99" s="870"/>
      <c r="DP99" s="781">
        <v>650</v>
      </c>
      <c r="DQ99" s="781">
        <f>PPH_Data_Base28[[#This Row],[NEMA 4X For Electrical Panel]]</f>
        <v>650</v>
      </c>
      <c r="DR99" s="870"/>
      <c r="DS99" s="870"/>
      <c r="DT99" s="870">
        <f>PPH_Data_Base28[[#This Row],[NO Condenser Fans]]*350</f>
        <v>700</v>
      </c>
      <c r="DU99" s="870"/>
      <c r="DV99" s="870">
        <f>150*PPH_Data_Base28[[#This Row],[NO Condenser Fans]]</f>
        <v>300</v>
      </c>
      <c r="DW99" s="781">
        <f>720*1.35*PPH_Data_Base28[[#This Row],[NO Condenser Fans]]</f>
        <v>1944.0000000000002</v>
      </c>
      <c r="DX99" s="781">
        <v>250</v>
      </c>
      <c r="DY99" s="870">
        <v>700</v>
      </c>
      <c r="DZ99" s="870"/>
      <c r="EA99" s="870"/>
      <c r="EB99" s="870"/>
      <c r="EC99" s="870"/>
      <c r="ED99" s="870"/>
      <c r="EE99" s="870"/>
      <c r="EF99" s="870"/>
      <c r="EG99" s="870"/>
      <c r="EH99" s="870"/>
      <c r="EI99" s="870"/>
      <c r="EJ99" s="870"/>
      <c r="EK99" s="870"/>
      <c r="EL99" s="870"/>
      <c r="EM99" s="870"/>
      <c r="EN99" s="870"/>
      <c r="EO99" s="870"/>
      <c r="EP99" s="870"/>
      <c r="EQ99" s="870"/>
      <c r="ER99" s="870"/>
      <c r="ES99" s="870"/>
      <c r="ET99" s="870"/>
      <c r="EU99" s="870"/>
      <c r="EV99" s="870"/>
      <c r="EW99" s="847"/>
      <c r="EX99" s="781">
        <f>4*50*1.35*PPH_Data_Base28[[#This Row],[Fan QTY]]</f>
        <v>270</v>
      </c>
      <c r="EY99" s="781">
        <f>4*100*1.35*PPH_Data_Base28[[#This Row],[Fan QTY]]</f>
        <v>540</v>
      </c>
      <c r="EZ99" s="870"/>
      <c r="FA99" s="870">
        <v>40</v>
      </c>
      <c r="FB99" s="870">
        <v>40</v>
      </c>
      <c r="FC99" s="870">
        <v>24</v>
      </c>
      <c r="FD99" s="870">
        <v>24</v>
      </c>
      <c r="FE99" s="870"/>
      <c r="FF99" s="870"/>
      <c r="FG99" s="870"/>
      <c r="FH99" s="870"/>
      <c r="FI99" s="870"/>
      <c r="FJ99" s="870"/>
      <c r="FK99" s="870">
        <f>PPH_Data_Base28[[#This Row],[Differential Pressure Switch]]*2</f>
        <v>0</v>
      </c>
      <c r="FL99" s="870"/>
      <c r="FM99" s="872"/>
      <c r="FN99" s="872"/>
      <c r="FO99" s="872">
        <f>PPH_Data_Base28[[#This Row],[Replaceble Filter Drier ]]</f>
        <v>445.5</v>
      </c>
      <c r="FP99" s="872">
        <f>PPH_Data_Base28[[#This Row],[2" Pre-Filter]]*2</f>
        <v>360</v>
      </c>
      <c r="FQ99" s="872">
        <f>PPH_Data_Base28[[#This Row],[Bag Filter EU-8]]</f>
        <v>1081</v>
      </c>
      <c r="FR99" s="872"/>
      <c r="FS99" s="872">
        <v>30</v>
      </c>
      <c r="FT99" s="176"/>
      <c r="FU99" s="176"/>
      <c r="FV99" s="176"/>
      <c r="FW99" s="176"/>
      <c r="GW99" s="176"/>
      <c r="GX99" s="176"/>
      <c r="HC99" s="176"/>
    </row>
    <row r="100" spans="1:211">
      <c r="A100" s="780" t="s">
        <v>1712</v>
      </c>
      <c r="B100" s="781" t="s">
        <v>1614</v>
      </c>
      <c r="C100" s="781" t="s">
        <v>1614</v>
      </c>
      <c r="D100" s="870"/>
      <c r="E100" s="870"/>
      <c r="F100" s="870"/>
      <c r="G100" s="851">
        <v>0</v>
      </c>
      <c r="H100" s="870" t="s">
        <v>2250</v>
      </c>
      <c r="I100" s="781" t="s">
        <v>767</v>
      </c>
      <c r="J100" s="781" t="s">
        <v>1612</v>
      </c>
      <c r="K100" s="781">
        <v>1</v>
      </c>
      <c r="L100" s="781" t="s">
        <v>568</v>
      </c>
      <c r="M100" s="781">
        <v>9</v>
      </c>
      <c r="N100" s="300">
        <v>9</v>
      </c>
      <c r="O100" s="781">
        <v>73.900000000000006</v>
      </c>
      <c r="P100" s="781">
        <v>46.7</v>
      </c>
      <c r="Q100" s="781">
        <v>4</v>
      </c>
      <c r="R100" s="781">
        <v>25.8</v>
      </c>
      <c r="S100" s="781">
        <v>2</v>
      </c>
      <c r="T100" s="781">
        <v>20</v>
      </c>
      <c r="U100" s="781">
        <v>2</v>
      </c>
      <c r="V100" s="781">
        <v>1610</v>
      </c>
      <c r="W100" s="781">
        <v>1656</v>
      </c>
      <c r="X100" s="870"/>
      <c r="Y100" s="835">
        <v>0</v>
      </c>
      <c r="Z100" s="782" t="s">
        <v>1433</v>
      </c>
      <c r="AA100" s="782">
        <v>30087</v>
      </c>
      <c r="AB100" s="870"/>
      <c r="AC100" s="834">
        <v>0</v>
      </c>
      <c r="AD100" s="781">
        <v>356</v>
      </c>
      <c r="AE100" s="870"/>
      <c r="AF100" s="870"/>
      <c r="AG100" s="870"/>
      <c r="AH100" s="781">
        <v>536</v>
      </c>
      <c r="AI100" s="870"/>
      <c r="AJ100" s="870"/>
      <c r="AK100" s="870"/>
      <c r="AL100" s="870">
        <f>PPH_Data_Base28[[#This Row],[PPH Unit Basic Price With Cu Tube]]*0.05</f>
        <v>1504.3500000000001</v>
      </c>
      <c r="AM100" s="781">
        <v>809</v>
      </c>
      <c r="AN100" s="781"/>
      <c r="AO100" s="781"/>
      <c r="AP100" s="781">
        <v>750</v>
      </c>
      <c r="AQ100" s="781">
        <v>625</v>
      </c>
      <c r="AR100" s="781">
        <v>359</v>
      </c>
      <c r="AS100" s="781">
        <v>1198</v>
      </c>
      <c r="AT100" s="781">
        <v>1797</v>
      </c>
      <c r="AU100" s="781">
        <v>204</v>
      </c>
      <c r="AV100" s="781">
        <v>1129</v>
      </c>
      <c r="AW100" s="870">
        <v>8406</v>
      </c>
      <c r="AX100" s="870">
        <v>363</v>
      </c>
      <c r="AY100" s="870"/>
      <c r="AZ100" s="870"/>
      <c r="BA100" s="870"/>
      <c r="BB100" s="870">
        <f>PPH_Data_Base28[[#This Row],[PPH Unit Basic Price With Cu Tube]]*0.1</f>
        <v>3008.7000000000003</v>
      </c>
      <c r="BC100" s="870"/>
      <c r="BD100" s="870"/>
      <c r="BE100" s="870"/>
      <c r="BF100" s="870"/>
      <c r="BG100" s="870"/>
      <c r="BH100" s="870">
        <f>PPH_Data_Base28[[#This Row],[PPH Unit Basic Price With Cu Tube]]*0.075</f>
        <v>2256.5250000000001</v>
      </c>
      <c r="BI100" s="870"/>
      <c r="BJ100" s="870"/>
      <c r="BK100" s="870"/>
      <c r="BL100" s="870"/>
      <c r="BM100" s="781">
        <f>PPH_Data_Base28[[#This Row],[Total Condenser Coil Area]]*Naming!$M$62*4</f>
        <v>6621.4400000000005</v>
      </c>
      <c r="BN100" s="781">
        <f>PPH_Data_Base28[[#This Row],[Total Evaporator  Coil Area]]*Naming!$M$62*4</f>
        <v>4184.32</v>
      </c>
      <c r="BO100" s="781">
        <f>PPH_Data_Base28[[#This Row],[Total Condenser Coil Area]]*Naming!$D$61*4</f>
        <v>100.50400000000002</v>
      </c>
      <c r="BP100" s="781">
        <f>PPH_Data_Base28[[#This Row],[Total Evaporator  Coil Area]]*Naming!$D$61*6</f>
        <v>95.268000000000015</v>
      </c>
      <c r="BQ100" s="781">
        <f>$G$195*PPH_Data_Base28[[#This Row],[Total Evaporator  Coil Area]]</f>
        <v>210.15</v>
      </c>
      <c r="BR100" s="781">
        <f>$G$199*PPH_Data_Base28[[#This Row],[Total Evaporator  Coil Area]]</f>
        <v>317.56</v>
      </c>
      <c r="BS100" s="781">
        <f>$E$185*PPH_Data_Base28[[#This Row],[Total Evaporator  Coil Area]]</f>
        <v>934</v>
      </c>
      <c r="BT100" s="781">
        <f>$E$188*PPH_Data_Base28[[#This Row],[Total Evaporator  Coil Area]]</f>
        <v>1307.6000000000001</v>
      </c>
      <c r="BU100" s="781">
        <f>$G$195*PPH_Data_Base28[[#This Row],[Total Condenser Coil Area]]</f>
        <v>332.55</v>
      </c>
      <c r="BV100" s="781">
        <f>$G$199*PPH_Data_Base28[[#This Row],[Total Condenser Coil Area]]</f>
        <v>502.52000000000004</v>
      </c>
      <c r="BW100" s="781">
        <f>$E$185*PPH_Data_Base28[[#This Row],[Total Condenser Coil Area]]</f>
        <v>1478</v>
      </c>
      <c r="BX100" s="781">
        <f>$E$188*PPH_Data_Base28[[#This Row],[Total Condenser Coil Area]]</f>
        <v>2069.2000000000003</v>
      </c>
      <c r="BY100" s="781">
        <v>133</v>
      </c>
      <c r="BZ100" s="870"/>
      <c r="CA100" s="870"/>
      <c r="CB100" s="870"/>
      <c r="CC100" s="870">
        <f>PPH_Data_Base28[[#This Row],[PPH Unit Basic Price With Cu Tube]]*0.05</f>
        <v>1504.3500000000001</v>
      </c>
      <c r="CD100" s="870">
        <f>PPH_Data_Base28[[#This Row],[PPH Unit Basic Price With Cu Tube]]*0.03</f>
        <v>902.61</v>
      </c>
      <c r="CE100" s="870">
        <v>50</v>
      </c>
      <c r="CF100" s="832">
        <v>0</v>
      </c>
      <c r="CG100" s="870">
        <f>PPH_Data_Base28[[#This Row],[PPH Unit Basic Price With Cu Tube]]*0.25</f>
        <v>7521.75</v>
      </c>
      <c r="CH100" s="870">
        <f>PPH_Data_Base28[[#This Row],[DSP Unit Basic Price With Cu Tube]]*0.35</f>
        <v>0</v>
      </c>
      <c r="CI100" s="781">
        <f t="shared" si="11"/>
        <v>534.6</v>
      </c>
      <c r="CJ100" s="781">
        <f t="shared" si="12"/>
        <v>502.20000000000005</v>
      </c>
      <c r="CK100" s="781">
        <f t="shared" si="13"/>
        <v>151.20000000000002</v>
      </c>
      <c r="CL100" s="781">
        <f>110*1.35*PPH_Data_Base28[[#This Row],[No. of Unit  Compressors]]</f>
        <v>594</v>
      </c>
      <c r="CM100" s="870">
        <f>140*1.35*PPH_Data_Base28[[#This Row],[No. of Unit  Compressors]]</f>
        <v>756</v>
      </c>
      <c r="CN100" s="781">
        <f>180*1.35*PPH_Data_Base28[[#This Row],[No. of Unit  Compressors]]</f>
        <v>972.00000000000011</v>
      </c>
      <c r="CO100" s="870">
        <v>0</v>
      </c>
      <c r="CP100" s="781">
        <f>160*1.35*PPH_Data_Base28[[#This Row],[No. of Unit  Compressors]]</f>
        <v>864</v>
      </c>
      <c r="CQ100" s="870"/>
      <c r="CR100" s="781">
        <v>800</v>
      </c>
      <c r="CS100" s="870">
        <f>PPH_Data_Base28[[#This Row],[PPH Unit Basic Price With Cu Tube]]*0.35</f>
        <v>10530.449999999999</v>
      </c>
      <c r="CT100" s="781">
        <f>$L$252*1.35*PPH_Data_Base28[[#This Row],[No. of Unit  Compressors]]</f>
        <v>0</v>
      </c>
      <c r="CU100" s="870"/>
      <c r="CV100" s="870"/>
      <c r="CW100" s="781">
        <f>400*1.35*PPH_Data_Base28[[#This Row],[No. of Unit  Compressors]]</f>
        <v>2160</v>
      </c>
      <c r="CX100" s="835"/>
      <c r="CY100" s="871">
        <f>47*PPH_Data_Base28[[#This Row],[No. of Unit  Compressors]]*1.35</f>
        <v>253.8</v>
      </c>
      <c r="CZ100" s="871">
        <f>30*1.35*PPH_Data_Base28[[#This Row],[NO Condenser Fans]]</f>
        <v>364.5</v>
      </c>
      <c r="DA100" s="781">
        <f>INDEX($B$136:$F$154,MATCH(PPH_Data_Base28[[#This Row],[STD Supply Fan Motor]],$B$136:$B$154,0),5)*PPH_Data_Base28[[#This Row],[Fan QTY]]</f>
        <v>93.979755367231661</v>
      </c>
      <c r="DB100" s="871">
        <f>47*1.35*PPH_Data_Base28[[#This Row],[No. of Unit  Compressors]]</f>
        <v>253.8</v>
      </c>
      <c r="DC100" s="871">
        <f>28*PPH_Data_Base28[[#This Row],[NO Condenser Fans]]</f>
        <v>252</v>
      </c>
      <c r="DD100" s="781">
        <f>INDEX($B$136:$F$154,MATCH(PPH_Data_Base28[[#This Row],[STD Supply Fan Motor]],$B$136:$B$154,0),3)*PPH_Data_Base28[[#This Row],[Fan QTY]]</f>
        <v>45.747093644067796</v>
      </c>
      <c r="DE100" s="870"/>
      <c r="DF100" s="870"/>
      <c r="DG100" s="870"/>
      <c r="DH100" s="781">
        <v>454</v>
      </c>
      <c r="DI100" s="781">
        <v>266</v>
      </c>
      <c r="DJ100" s="870">
        <v>4700</v>
      </c>
      <c r="DK100" s="870">
        <v>18000</v>
      </c>
      <c r="DL100" s="870">
        <v>2840</v>
      </c>
      <c r="DM100" s="870"/>
      <c r="DN100" s="870"/>
      <c r="DO100" s="870"/>
      <c r="DP100" s="781">
        <v>700</v>
      </c>
      <c r="DQ100" s="781">
        <f>PPH_Data_Base28[[#This Row],[NEMA 4X For Electrical Panel]]</f>
        <v>700</v>
      </c>
      <c r="DR100" s="870"/>
      <c r="DS100" s="870"/>
      <c r="DT100" s="870">
        <f>PPH_Data_Base28[[#This Row],[NO Condenser Fans]]*350</f>
        <v>3150</v>
      </c>
      <c r="DU100" s="870"/>
      <c r="DV100" s="870">
        <f>150*PPH_Data_Base28[[#This Row],[NO Condenser Fans]]</f>
        <v>1350</v>
      </c>
      <c r="DW100" s="781">
        <f>720*1.35*PPH_Data_Base28[[#This Row],[NO Condenser Fans]]</f>
        <v>8748.0000000000018</v>
      </c>
      <c r="DX100" s="781">
        <v>250</v>
      </c>
      <c r="DY100" s="870">
        <v>700</v>
      </c>
      <c r="DZ100" s="870"/>
      <c r="EA100" s="870"/>
      <c r="EB100" s="870"/>
      <c r="EC100" s="870"/>
      <c r="ED100" s="870"/>
      <c r="EE100" s="870"/>
      <c r="EF100" s="870"/>
      <c r="EG100" s="870"/>
      <c r="EH100" s="870"/>
      <c r="EI100" s="870"/>
      <c r="EJ100" s="870"/>
      <c r="EK100" s="870"/>
      <c r="EL100" s="870"/>
      <c r="EM100" s="870"/>
      <c r="EN100" s="870"/>
      <c r="EO100" s="870"/>
      <c r="EP100" s="870"/>
      <c r="EQ100" s="870"/>
      <c r="ER100" s="870"/>
      <c r="ES100" s="870"/>
      <c r="ET100" s="870"/>
      <c r="EU100" s="870"/>
      <c r="EV100" s="870"/>
      <c r="EW100" s="847"/>
      <c r="EX100" s="781">
        <f>4*50*1.35*PPH_Data_Base28[[#This Row],[Fan QTY]]</f>
        <v>270</v>
      </c>
      <c r="EY100" s="781">
        <f>4*100*1.35*PPH_Data_Base28[[#This Row],[Fan QTY]]</f>
        <v>540</v>
      </c>
      <c r="EZ100" s="870"/>
      <c r="FA100" s="870">
        <v>40</v>
      </c>
      <c r="FB100" s="870">
        <v>40</v>
      </c>
      <c r="FC100" s="870">
        <v>24</v>
      </c>
      <c r="FD100" s="870">
        <v>24</v>
      </c>
      <c r="FE100" s="870"/>
      <c r="FF100" s="870"/>
      <c r="FG100" s="870"/>
      <c r="FH100" s="870"/>
      <c r="FI100" s="870"/>
      <c r="FJ100" s="870"/>
      <c r="FK100" s="870">
        <f>PPH_Data_Base28[[#This Row],[Differential Pressure Switch]]*2</f>
        <v>0</v>
      </c>
      <c r="FL100" s="870"/>
      <c r="FM100" s="872"/>
      <c r="FN100" s="872"/>
      <c r="FO100" s="872">
        <f>PPH_Data_Base28[[#This Row],[Replaceble Filter Drier ]]</f>
        <v>594</v>
      </c>
      <c r="FP100" s="872">
        <f>PPH_Data_Base28[[#This Row],[2" Pre-Filter]]*2</f>
        <v>408</v>
      </c>
      <c r="FQ100" s="872">
        <f>PPH_Data_Base28[[#This Row],[Bag Filter EU-8]]</f>
        <v>1129</v>
      </c>
      <c r="FR100" s="872"/>
      <c r="FS100" s="872">
        <v>30</v>
      </c>
      <c r="GW100" s="176"/>
      <c r="GX100" s="176"/>
      <c r="HC100" s="176"/>
    </row>
    <row r="101" spans="1:211">
      <c r="A101" s="780" t="s">
        <v>1713</v>
      </c>
      <c r="B101" s="781" t="s">
        <v>1616</v>
      </c>
      <c r="C101" s="781" t="s">
        <v>1616</v>
      </c>
      <c r="D101" s="870"/>
      <c r="E101" s="870"/>
      <c r="F101" s="870"/>
      <c r="G101" s="851">
        <v>0</v>
      </c>
      <c r="H101" s="870" t="s">
        <v>2250</v>
      </c>
      <c r="I101" s="781" t="s">
        <v>768</v>
      </c>
      <c r="J101" s="781" t="s">
        <v>1612</v>
      </c>
      <c r="K101" s="781">
        <v>1</v>
      </c>
      <c r="L101" s="781" t="s">
        <v>568</v>
      </c>
      <c r="M101" s="781">
        <v>10</v>
      </c>
      <c r="N101" s="300">
        <v>10</v>
      </c>
      <c r="O101" s="781">
        <v>120.3</v>
      </c>
      <c r="P101" s="781">
        <v>46.7</v>
      </c>
      <c r="Q101" s="781">
        <v>4</v>
      </c>
      <c r="R101" s="781">
        <v>30</v>
      </c>
      <c r="S101" s="781">
        <v>2</v>
      </c>
      <c r="T101" s="781">
        <v>25.8</v>
      </c>
      <c r="U101" s="781">
        <v>2</v>
      </c>
      <c r="V101" s="781">
        <v>2113</v>
      </c>
      <c r="W101" s="781">
        <v>1656</v>
      </c>
      <c r="X101" s="870"/>
      <c r="Y101" s="835">
        <v>0</v>
      </c>
      <c r="Z101" s="782" t="s">
        <v>1433</v>
      </c>
      <c r="AA101" s="782">
        <v>32463</v>
      </c>
      <c r="AB101" s="870"/>
      <c r="AC101" s="834">
        <v>0</v>
      </c>
      <c r="AD101" s="781">
        <v>356</v>
      </c>
      <c r="AE101" s="870"/>
      <c r="AF101" s="870"/>
      <c r="AG101" s="870"/>
      <c r="AH101" s="781">
        <v>536</v>
      </c>
      <c r="AI101" s="870"/>
      <c r="AJ101" s="870"/>
      <c r="AK101" s="870"/>
      <c r="AL101" s="870">
        <f>PPH_Data_Base28[[#This Row],[PPH Unit Basic Price With Cu Tube]]*0.05</f>
        <v>1623.15</v>
      </c>
      <c r="AM101" s="781">
        <v>841</v>
      </c>
      <c r="AN101" s="781"/>
      <c r="AO101" s="781"/>
      <c r="AP101" s="781">
        <v>750</v>
      </c>
      <c r="AQ101" s="781">
        <v>625</v>
      </c>
      <c r="AR101" s="781">
        <v>359</v>
      </c>
      <c r="AS101" s="781">
        <v>1198</v>
      </c>
      <c r="AT101" s="781">
        <v>1797</v>
      </c>
      <c r="AU101" s="781">
        <v>204</v>
      </c>
      <c r="AV101" s="781">
        <v>1129</v>
      </c>
      <c r="AW101" s="870">
        <v>8406</v>
      </c>
      <c r="AX101" s="870">
        <v>363</v>
      </c>
      <c r="AY101" s="870"/>
      <c r="AZ101" s="870"/>
      <c r="BA101" s="870"/>
      <c r="BB101" s="870">
        <f>PPH_Data_Base28[[#This Row],[PPH Unit Basic Price With Cu Tube]]*0.1</f>
        <v>3246.3</v>
      </c>
      <c r="BC101" s="870"/>
      <c r="BD101" s="870"/>
      <c r="BE101" s="870"/>
      <c r="BF101" s="870"/>
      <c r="BG101" s="870"/>
      <c r="BH101" s="870">
        <f>PPH_Data_Base28[[#This Row],[PPH Unit Basic Price With Cu Tube]]*0.075</f>
        <v>2434.7249999999999</v>
      </c>
      <c r="BI101" s="870"/>
      <c r="BJ101" s="870"/>
      <c r="BK101" s="870"/>
      <c r="BL101" s="870"/>
      <c r="BM101" s="781">
        <f>PPH_Data_Base28[[#This Row],[Total Condenser Coil Area]]*Naming!$M$62*4</f>
        <v>10778.88</v>
      </c>
      <c r="BN101" s="781">
        <f>PPH_Data_Base28[[#This Row],[Total Evaporator  Coil Area]]*Naming!$M$62*4</f>
        <v>4184.32</v>
      </c>
      <c r="BO101" s="781">
        <f>PPH_Data_Base28[[#This Row],[Total Condenser Coil Area]]*Naming!$D$61*4</f>
        <v>163.608</v>
      </c>
      <c r="BP101" s="781">
        <f>PPH_Data_Base28[[#This Row],[Total Evaporator  Coil Area]]*Naming!$D$61*6</f>
        <v>95.268000000000015</v>
      </c>
      <c r="BQ101" s="781">
        <f>$G$195*PPH_Data_Base28[[#This Row],[Total Evaporator  Coil Area]]</f>
        <v>210.15</v>
      </c>
      <c r="BR101" s="781">
        <f>$G$199*PPH_Data_Base28[[#This Row],[Total Evaporator  Coil Area]]</f>
        <v>317.56</v>
      </c>
      <c r="BS101" s="781">
        <f>$E$185*PPH_Data_Base28[[#This Row],[Total Evaporator  Coil Area]]</f>
        <v>934</v>
      </c>
      <c r="BT101" s="781">
        <f>$E$188*PPH_Data_Base28[[#This Row],[Total Evaporator  Coil Area]]</f>
        <v>1307.6000000000001</v>
      </c>
      <c r="BU101" s="781">
        <f>$G$195*PPH_Data_Base28[[#This Row],[Total Condenser Coil Area]]</f>
        <v>541.35</v>
      </c>
      <c r="BV101" s="781">
        <f>$G$199*PPH_Data_Base28[[#This Row],[Total Condenser Coil Area]]</f>
        <v>818.04</v>
      </c>
      <c r="BW101" s="781">
        <f>$E$185*PPH_Data_Base28[[#This Row],[Total Condenser Coil Area]]</f>
        <v>2406</v>
      </c>
      <c r="BX101" s="781">
        <f>$E$188*PPH_Data_Base28[[#This Row],[Total Condenser Coil Area]]</f>
        <v>3368.4</v>
      </c>
      <c r="BY101" s="781">
        <v>133</v>
      </c>
      <c r="BZ101" s="870"/>
      <c r="CA101" s="870"/>
      <c r="CB101" s="870"/>
      <c r="CC101" s="870">
        <f>PPH_Data_Base28[[#This Row],[PPH Unit Basic Price With Cu Tube]]*0.05</f>
        <v>1623.15</v>
      </c>
      <c r="CD101" s="870">
        <f>PPH_Data_Base28[[#This Row],[PPH Unit Basic Price With Cu Tube]]*0.03</f>
        <v>973.89</v>
      </c>
      <c r="CE101" s="870">
        <v>50</v>
      </c>
      <c r="CF101" s="832">
        <v>0</v>
      </c>
      <c r="CG101" s="870">
        <f>PPH_Data_Base28[[#This Row],[PPH Unit Basic Price With Cu Tube]]*0.25</f>
        <v>8115.75</v>
      </c>
      <c r="CH101" s="870">
        <f>PPH_Data_Base28[[#This Row],[DSP Unit Basic Price With Cu Tube]]*0.35</f>
        <v>0</v>
      </c>
      <c r="CI101" s="781">
        <f t="shared" si="11"/>
        <v>534.6</v>
      </c>
      <c r="CJ101" s="781">
        <f t="shared" si="12"/>
        <v>502.20000000000005</v>
      </c>
      <c r="CK101" s="781">
        <f t="shared" si="13"/>
        <v>151.20000000000002</v>
      </c>
      <c r="CL101" s="781">
        <f>110*1.35*PPH_Data_Base28[[#This Row],[No. of Unit  Compressors]]</f>
        <v>594</v>
      </c>
      <c r="CM101" s="870">
        <f>140*1.35*PPH_Data_Base28[[#This Row],[No. of Unit  Compressors]]</f>
        <v>756</v>
      </c>
      <c r="CN101" s="781">
        <f>180*1.35*PPH_Data_Base28[[#This Row],[No. of Unit  Compressors]]</f>
        <v>972.00000000000011</v>
      </c>
      <c r="CO101" s="870">
        <v>0</v>
      </c>
      <c r="CP101" s="781">
        <f>160*1.35*PPH_Data_Base28[[#This Row],[No. of Unit  Compressors]]</f>
        <v>864</v>
      </c>
      <c r="CQ101" s="870"/>
      <c r="CR101" s="781">
        <v>800</v>
      </c>
      <c r="CS101" s="870">
        <f>PPH_Data_Base28[[#This Row],[PPH Unit Basic Price With Cu Tube]]*0.35</f>
        <v>11362.05</v>
      </c>
      <c r="CT101" s="781">
        <f>$L$252*1.35*PPH_Data_Base28[[#This Row],[No. of Unit  Compressors]]</f>
        <v>0</v>
      </c>
      <c r="CU101" s="870"/>
      <c r="CV101" s="870"/>
      <c r="CW101" s="781">
        <f>400*1.35*PPH_Data_Base28[[#This Row],[No. of Unit  Compressors]]</f>
        <v>2160</v>
      </c>
      <c r="CX101" s="835"/>
      <c r="CY101" s="871">
        <f>47*PPH_Data_Base28[[#This Row],[No. of Unit  Compressors]]*1.35</f>
        <v>253.8</v>
      </c>
      <c r="CZ101" s="871">
        <f>30*1.35*PPH_Data_Base28[[#This Row],[NO Condenser Fans]]</f>
        <v>405</v>
      </c>
      <c r="DA101" s="781">
        <f>INDEX($B$136:$F$154,MATCH(PPH_Data_Base28[[#This Row],[STD Supply Fan Motor]],$B$136:$B$154,0),5)*PPH_Data_Base28[[#This Row],[Fan QTY]]</f>
        <v>93.979755367231661</v>
      </c>
      <c r="DB101" s="871">
        <f>47*1.35*PPH_Data_Base28[[#This Row],[No. of Unit  Compressors]]</f>
        <v>253.8</v>
      </c>
      <c r="DC101" s="871">
        <f>28*PPH_Data_Base28[[#This Row],[NO Condenser Fans]]</f>
        <v>280</v>
      </c>
      <c r="DD101" s="781">
        <f>INDEX($B$136:$F$154,MATCH(PPH_Data_Base28[[#This Row],[STD Supply Fan Motor]],$B$136:$B$154,0),3)*PPH_Data_Base28[[#This Row],[Fan QTY]]</f>
        <v>45.747093644067796</v>
      </c>
      <c r="DE101" s="870"/>
      <c r="DF101" s="870"/>
      <c r="DG101" s="870"/>
      <c r="DH101" s="781">
        <v>454</v>
      </c>
      <c r="DI101" s="781">
        <v>395</v>
      </c>
      <c r="DJ101" s="870">
        <v>0</v>
      </c>
      <c r="DK101" s="870">
        <v>9400</v>
      </c>
      <c r="DL101" s="870">
        <v>2840</v>
      </c>
      <c r="DM101" s="870"/>
      <c r="DN101" s="870"/>
      <c r="DO101" s="870"/>
      <c r="DP101" s="781">
        <v>850</v>
      </c>
      <c r="DQ101" s="781">
        <f>PPH_Data_Base28[[#This Row],[NEMA 4X For Electrical Panel]]</f>
        <v>850</v>
      </c>
      <c r="DR101" s="870"/>
      <c r="DS101" s="870"/>
      <c r="DT101" s="870">
        <f>PPH_Data_Base28[[#This Row],[NO Condenser Fans]]*350</f>
        <v>3500</v>
      </c>
      <c r="DU101" s="870"/>
      <c r="DV101" s="870">
        <f>150*PPH_Data_Base28[[#This Row],[NO Condenser Fans]]</f>
        <v>1500</v>
      </c>
      <c r="DW101" s="781">
        <f>720*1.35*PPH_Data_Base28[[#This Row],[NO Condenser Fans]]</f>
        <v>9720.0000000000018</v>
      </c>
      <c r="DX101" s="781">
        <v>250</v>
      </c>
      <c r="DY101" s="870">
        <v>700</v>
      </c>
      <c r="DZ101" s="870"/>
      <c r="EA101" s="870"/>
      <c r="EB101" s="870"/>
      <c r="EC101" s="870"/>
      <c r="ED101" s="870"/>
      <c r="EE101" s="870"/>
      <c r="EF101" s="870"/>
      <c r="EG101" s="870"/>
      <c r="EH101" s="870"/>
      <c r="EI101" s="870"/>
      <c r="EJ101" s="870"/>
      <c r="EK101" s="870"/>
      <c r="EL101" s="870"/>
      <c r="EM101" s="870"/>
      <c r="EN101" s="870"/>
      <c r="EO101" s="870"/>
      <c r="EP101" s="870"/>
      <c r="EQ101" s="870"/>
      <c r="ER101" s="870"/>
      <c r="ES101" s="870"/>
      <c r="ET101" s="870"/>
      <c r="EU101" s="870"/>
      <c r="EV101" s="870"/>
      <c r="EW101" s="847"/>
      <c r="EX101" s="781">
        <f>4*50*1.35*PPH_Data_Base28[[#This Row],[Fan QTY]]</f>
        <v>270</v>
      </c>
      <c r="EY101" s="781">
        <f>4*100*1.35*PPH_Data_Base28[[#This Row],[Fan QTY]]</f>
        <v>540</v>
      </c>
      <c r="EZ101" s="870"/>
      <c r="FA101" s="870">
        <v>40</v>
      </c>
      <c r="FB101" s="870">
        <v>40</v>
      </c>
      <c r="FC101" s="870">
        <v>24</v>
      </c>
      <c r="FD101" s="870">
        <v>24</v>
      </c>
      <c r="FE101" s="870"/>
      <c r="FF101" s="870"/>
      <c r="FG101" s="870"/>
      <c r="FH101" s="870"/>
      <c r="FI101" s="870"/>
      <c r="FJ101" s="870"/>
      <c r="FK101" s="870">
        <f>PPH_Data_Base28[[#This Row],[Differential Pressure Switch]]*2</f>
        <v>0</v>
      </c>
      <c r="FL101" s="870"/>
      <c r="FM101" s="872"/>
      <c r="FN101" s="872"/>
      <c r="FO101" s="872">
        <f>PPH_Data_Base28[[#This Row],[Replaceble Filter Drier ]]</f>
        <v>594</v>
      </c>
      <c r="FP101" s="872">
        <f>PPH_Data_Base28[[#This Row],[2" Pre-Filter]]*2</f>
        <v>408</v>
      </c>
      <c r="FQ101" s="872">
        <f>PPH_Data_Base28[[#This Row],[Bag Filter EU-8]]</f>
        <v>1129</v>
      </c>
      <c r="FR101" s="872"/>
      <c r="FS101" s="872">
        <v>30</v>
      </c>
      <c r="GW101" s="176"/>
      <c r="GX101" s="176"/>
      <c r="HC101" s="176"/>
    </row>
    <row r="102" spans="1:211">
      <c r="A102" s="780" t="s">
        <v>1714</v>
      </c>
      <c r="B102" s="781" t="s">
        <v>1619</v>
      </c>
      <c r="C102" s="781" t="s">
        <v>1619</v>
      </c>
      <c r="D102" s="870"/>
      <c r="E102" s="870"/>
      <c r="F102" s="870"/>
      <c r="G102" s="851">
        <v>0</v>
      </c>
      <c r="H102" s="870" t="s">
        <v>2250</v>
      </c>
      <c r="I102" s="781" t="s">
        <v>768</v>
      </c>
      <c r="J102" s="781" t="s">
        <v>1612</v>
      </c>
      <c r="K102" s="781">
        <v>1</v>
      </c>
      <c r="L102" s="781" t="s">
        <v>568</v>
      </c>
      <c r="M102" s="781">
        <v>10</v>
      </c>
      <c r="N102" s="300">
        <v>10</v>
      </c>
      <c r="O102" s="781">
        <v>120.3</v>
      </c>
      <c r="P102" s="781">
        <v>46.7</v>
      </c>
      <c r="Q102" s="781">
        <v>4</v>
      </c>
      <c r="R102" s="781">
        <v>30</v>
      </c>
      <c r="S102" s="781">
        <v>4</v>
      </c>
      <c r="T102" s="781"/>
      <c r="U102" s="781"/>
      <c r="V102" s="781">
        <v>2113</v>
      </c>
      <c r="W102" s="781">
        <v>1656</v>
      </c>
      <c r="X102" s="870"/>
      <c r="Y102" s="835">
        <v>0</v>
      </c>
      <c r="Z102" s="782" t="s">
        <v>1433</v>
      </c>
      <c r="AA102" s="782">
        <v>34452</v>
      </c>
      <c r="AB102" s="870"/>
      <c r="AC102" s="834">
        <v>0</v>
      </c>
      <c r="AD102" s="781">
        <v>356</v>
      </c>
      <c r="AE102" s="870"/>
      <c r="AF102" s="870"/>
      <c r="AG102" s="870"/>
      <c r="AH102" s="781">
        <v>536</v>
      </c>
      <c r="AI102" s="870"/>
      <c r="AJ102" s="870"/>
      <c r="AK102" s="870"/>
      <c r="AL102" s="870">
        <f>PPH_Data_Base28[[#This Row],[PPH Unit Basic Price With Cu Tube]]*0.05</f>
        <v>1722.6000000000001</v>
      </c>
      <c r="AM102" s="781">
        <v>841</v>
      </c>
      <c r="AN102" s="781"/>
      <c r="AO102" s="781"/>
      <c r="AP102" s="781">
        <v>750</v>
      </c>
      <c r="AQ102" s="781">
        <v>625</v>
      </c>
      <c r="AR102" s="781">
        <v>359</v>
      </c>
      <c r="AS102" s="781">
        <v>1198</v>
      </c>
      <c r="AT102" s="781">
        <v>1797</v>
      </c>
      <c r="AU102" s="781">
        <v>204</v>
      </c>
      <c r="AV102" s="781">
        <v>1129</v>
      </c>
      <c r="AW102" s="870">
        <v>8406</v>
      </c>
      <c r="AX102" s="870">
        <v>363</v>
      </c>
      <c r="AY102" s="870"/>
      <c r="AZ102" s="870"/>
      <c r="BA102" s="870"/>
      <c r="BB102" s="870">
        <f>PPH_Data_Base28[[#This Row],[PPH Unit Basic Price With Cu Tube]]*0.1</f>
        <v>3445.2000000000003</v>
      </c>
      <c r="BC102" s="870"/>
      <c r="BD102" s="870"/>
      <c r="BE102" s="870"/>
      <c r="BF102" s="870"/>
      <c r="BG102" s="870"/>
      <c r="BH102" s="870">
        <f>PPH_Data_Base28[[#This Row],[PPH Unit Basic Price With Cu Tube]]*0.075</f>
        <v>2583.9</v>
      </c>
      <c r="BI102" s="870"/>
      <c r="BJ102" s="870"/>
      <c r="BK102" s="870"/>
      <c r="BL102" s="870"/>
      <c r="BM102" s="781">
        <f>PPH_Data_Base28[[#This Row],[Total Condenser Coil Area]]*Naming!$M$62*4</f>
        <v>10778.88</v>
      </c>
      <c r="BN102" s="781">
        <f>PPH_Data_Base28[[#This Row],[Total Evaporator  Coil Area]]*Naming!$M$62*4</f>
        <v>4184.32</v>
      </c>
      <c r="BO102" s="781">
        <f>PPH_Data_Base28[[#This Row],[Total Condenser Coil Area]]*Naming!$D$61*4</f>
        <v>163.608</v>
      </c>
      <c r="BP102" s="781">
        <f>PPH_Data_Base28[[#This Row],[Total Evaporator  Coil Area]]*Naming!$D$61*6</f>
        <v>95.268000000000015</v>
      </c>
      <c r="BQ102" s="781">
        <f>$G$195*PPH_Data_Base28[[#This Row],[Total Evaporator  Coil Area]]</f>
        <v>210.15</v>
      </c>
      <c r="BR102" s="781">
        <f>$G$199*PPH_Data_Base28[[#This Row],[Total Evaporator  Coil Area]]</f>
        <v>317.56</v>
      </c>
      <c r="BS102" s="781">
        <f>$E$185*PPH_Data_Base28[[#This Row],[Total Evaporator  Coil Area]]</f>
        <v>934</v>
      </c>
      <c r="BT102" s="781">
        <f>$E$188*PPH_Data_Base28[[#This Row],[Total Evaporator  Coil Area]]</f>
        <v>1307.6000000000001</v>
      </c>
      <c r="BU102" s="781">
        <f>$G$195*PPH_Data_Base28[[#This Row],[Total Condenser Coil Area]]</f>
        <v>541.35</v>
      </c>
      <c r="BV102" s="781">
        <f>$G$199*PPH_Data_Base28[[#This Row],[Total Condenser Coil Area]]</f>
        <v>818.04</v>
      </c>
      <c r="BW102" s="781">
        <f>$E$185*PPH_Data_Base28[[#This Row],[Total Condenser Coil Area]]</f>
        <v>2406</v>
      </c>
      <c r="BX102" s="781">
        <f>$E$188*PPH_Data_Base28[[#This Row],[Total Condenser Coil Area]]</f>
        <v>3368.4</v>
      </c>
      <c r="BY102" s="781">
        <v>133</v>
      </c>
      <c r="BZ102" s="870"/>
      <c r="CA102" s="870"/>
      <c r="CB102" s="870"/>
      <c r="CC102" s="870">
        <f>PPH_Data_Base28[[#This Row],[PPH Unit Basic Price With Cu Tube]]*0.05</f>
        <v>1722.6000000000001</v>
      </c>
      <c r="CD102" s="870">
        <f>PPH_Data_Base28[[#This Row],[PPH Unit Basic Price With Cu Tube]]*0.03</f>
        <v>1033.56</v>
      </c>
      <c r="CE102" s="870">
        <v>50</v>
      </c>
      <c r="CF102" s="832">
        <v>0</v>
      </c>
      <c r="CG102" s="870">
        <f>PPH_Data_Base28[[#This Row],[PPH Unit Basic Price With Cu Tube]]*0.25</f>
        <v>8613</v>
      </c>
      <c r="CH102" s="870">
        <f>PPH_Data_Base28[[#This Row],[DSP Unit Basic Price With Cu Tube]]*0.35</f>
        <v>0</v>
      </c>
      <c r="CI102" s="781">
        <f t="shared" si="11"/>
        <v>534.6</v>
      </c>
      <c r="CJ102" s="781">
        <f t="shared" si="12"/>
        <v>502.20000000000005</v>
      </c>
      <c r="CK102" s="781">
        <f t="shared" si="13"/>
        <v>151.20000000000002</v>
      </c>
      <c r="CL102" s="781">
        <f>110*1.35*PPH_Data_Base28[[#This Row],[No. of Unit  Compressors]]</f>
        <v>594</v>
      </c>
      <c r="CM102" s="870">
        <f>140*1.35*PPH_Data_Base28[[#This Row],[No. of Unit  Compressors]]</f>
        <v>756</v>
      </c>
      <c r="CN102" s="781">
        <f>180*1.35*PPH_Data_Base28[[#This Row],[No. of Unit  Compressors]]</f>
        <v>972.00000000000011</v>
      </c>
      <c r="CO102" s="870">
        <v>0</v>
      </c>
      <c r="CP102" s="781">
        <f>160*1.35*PPH_Data_Base28[[#This Row],[No. of Unit  Compressors]]</f>
        <v>864</v>
      </c>
      <c r="CQ102" s="870"/>
      <c r="CR102" s="781">
        <v>800</v>
      </c>
      <c r="CS102" s="870">
        <f>PPH_Data_Base28[[#This Row],[PPH Unit Basic Price With Cu Tube]]*0.35</f>
        <v>12058.199999999999</v>
      </c>
      <c r="CT102" s="781">
        <f>$L$252*1.35*PPH_Data_Base28[[#This Row],[No. of Unit  Compressors]]</f>
        <v>0</v>
      </c>
      <c r="CU102" s="870"/>
      <c r="CV102" s="870"/>
      <c r="CW102" s="781">
        <f>400*1.35*PPH_Data_Base28[[#This Row],[No. of Unit  Compressors]]</f>
        <v>2160</v>
      </c>
      <c r="CX102" s="835"/>
      <c r="CY102" s="871">
        <f>47*PPH_Data_Base28[[#This Row],[No. of Unit  Compressors]]*1.35</f>
        <v>253.8</v>
      </c>
      <c r="CZ102" s="871">
        <f>30*1.35*PPH_Data_Base28[[#This Row],[NO Condenser Fans]]</f>
        <v>405</v>
      </c>
      <c r="DA102" s="781">
        <f>INDEX($B$136:$F$154,MATCH(PPH_Data_Base28[[#This Row],[STD Supply Fan Motor]],$B$136:$B$154,0),5)*PPH_Data_Base28[[#This Row],[Fan QTY]]</f>
        <v>93.979755367231661</v>
      </c>
      <c r="DB102" s="871">
        <f>47*1.35*PPH_Data_Base28[[#This Row],[No. of Unit  Compressors]]</f>
        <v>253.8</v>
      </c>
      <c r="DC102" s="871">
        <f>28*PPH_Data_Base28[[#This Row],[NO Condenser Fans]]</f>
        <v>280</v>
      </c>
      <c r="DD102" s="781">
        <f>INDEX($B$136:$F$154,MATCH(PPH_Data_Base28[[#This Row],[STD Supply Fan Motor]],$B$136:$B$154,0),3)*PPH_Data_Base28[[#This Row],[Fan QTY]]</f>
        <v>45.747093644067796</v>
      </c>
      <c r="DE102" s="870"/>
      <c r="DF102" s="870"/>
      <c r="DG102" s="870"/>
      <c r="DH102" s="781">
        <v>720</v>
      </c>
      <c r="DI102" s="781">
        <v>395</v>
      </c>
      <c r="DJ102" s="870">
        <v>0</v>
      </c>
      <c r="DK102" s="870">
        <v>0</v>
      </c>
      <c r="DL102" s="870">
        <v>2840</v>
      </c>
      <c r="DM102" s="870"/>
      <c r="DN102" s="870"/>
      <c r="DO102" s="870"/>
      <c r="DP102" s="781">
        <v>900</v>
      </c>
      <c r="DQ102" s="781">
        <f>PPH_Data_Base28[[#This Row],[NEMA 4X For Electrical Panel]]</f>
        <v>900</v>
      </c>
      <c r="DR102" s="870"/>
      <c r="DS102" s="870"/>
      <c r="DT102" s="870">
        <f>PPH_Data_Base28[[#This Row],[NO Condenser Fans]]*350</f>
        <v>3500</v>
      </c>
      <c r="DU102" s="870"/>
      <c r="DV102" s="870">
        <f>150*PPH_Data_Base28[[#This Row],[NO Condenser Fans]]</f>
        <v>1500</v>
      </c>
      <c r="DW102" s="781">
        <f>720*1.35*PPH_Data_Base28[[#This Row],[NO Condenser Fans]]</f>
        <v>9720.0000000000018</v>
      </c>
      <c r="DX102" s="781">
        <v>250</v>
      </c>
      <c r="DY102" s="870">
        <v>700</v>
      </c>
      <c r="DZ102" s="870"/>
      <c r="EA102" s="870"/>
      <c r="EB102" s="870"/>
      <c r="EC102" s="870"/>
      <c r="ED102" s="870"/>
      <c r="EE102" s="870"/>
      <c r="EF102" s="870"/>
      <c r="EG102" s="870"/>
      <c r="EH102" s="870"/>
      <c r="EI102" s="870"/>
      <c r="EJ102" s="870"/>
      <c r="EK102" s="870"/>
      <c r="EL102" s="870"/>
      <c r="EM102" s="870"/>
      <c r="EN102" s="870"/>
      <c r="EO102" s="870"/>
      <c r="EP102" s="870"/>
      <c r="EQ102" s="870"/>
      <c r="ER102" s="870"/>
      <c r="ES102" s="870"/>
      <c r="ET102" s="870"/>
      <c r="EU102" s="870"/>
      <c r="EV102" s="870"/>
      <c r="EW102" s="847"/>
      <c r="EX102" s="781">
        <f>4*50*1.35*PPH_Data_Base28[[#This Row],[Fan QTY]]</f>
        <v>270</v>
      </c>
      <c r="EY102" s="781">
        <f>4*100*1.35*PPH_Data_Base28[[#This Row],[Fan QTY]]</f>
        <v>540</v>
      </c>
      <c r="EZ102" s="870"/>
      <c r="FA102" s="870">
        <v>40</v>
      </c>
      <c r="FB102" s="870">
        <v>40</v>
      </c>
      <c r="FC102" s="870">
        <v>24</v>
      </c>
      <c r="FD102" s="870">
        <v>24</v>
      </c>
      <c r="FE102" s="870"/>
      <c r="FF102" s="870"/>
      <c r="FG102" s="870"/>
      <c r="FH102" s="870"/>
      <c r="FI102" s="870"/>
      <c r="FJ102" s="870"/>
      <c r="FK102" s="870">
        <f>PPH_Data_Base28[[#This Row],[Differential Pressure Switch]]*2</f>
        <v>0</v>
      </c>
      <c r="FL102" s="870"/>
      <c r="FM102" s="872"/>
      <c r="FN102" s="872"/>
      <c r="FO102" s="872">
        <f>PPH_Data_Base28[[#This Row],[Replaceble Filter Drier ]]</f>
        <v>594</v>
      </c>
      <c r="FP102" s="872">
        <f>PPH_Data_Base28[[#This Row],[2" Pre-Filter]]*2</f>
        <v>408</v>
      </c>
      <c r="FQ102" s="872">
        <f>PPH_Data_Base28[[#This Row],[Bag Filter EU-8]]</f>
        <v>1129</v>
      </c>
      <c r="FR102" s="872"/>
      <c r="FS102" s="872">
        <v>30</v>
      </c>
      <c r="GW102" s="176"/>
      <c r="GX102" s="176"/>
      <c r="HC102" s="176"/>
    </row>
    <row r="103" spans="1:211">
      <c r="A103" s="176">
        <v>0</v>
      </c>
      <c r="B103" s="881"/>
      <c r="C103" s="881"/>
      <c r="D103" s="882"/>
      <c r="E103" s="882"/>
      <c r="F103" s="882"/>
      <c r="G103" s="851">
        <v>0</v>
      </c>
      <c r="H103" s="882"/>
      <c r="I103" s="881"/>
      <c r="J103" s="881"/>
      <c r="K103" s="881"/>
      <c r="L103" s="881"/>
      <c r="M103" s="881"/>
      <c r="N103" s="882"/>
      <c r="O103" s="881"/>
      <c r="P103" s="881"/>
      <c r="Q103" s="881"/>
      <c r="R103" s="881"/>
      <c r="S103" s="881"/>
      <c r="T103" s="881"/>
      <c r="U103" s="881"/>
      <c r="V103" s="881"/>
      <c r="W103" s="881"/>
      <c r="X103" s="882"/>
      <c r="Y103" s="835"/>
      <c r="Z103" s="883"/>
      <c r="AA103" s="883"/>
      <c r="AB103" s="882"/>
      <c r="AC103" s="834"/>
      <c r="AD103" s="882"/>
      <c r="AE103" s="882"/>
      <c r="AF103" s="882"/>
      <c r="AG103" s="882"/>
      <c r="AH103" s="882"/>
      <c r="AI103" s="882"/>
      <c r="AJ103" s="882"/>
      <c r="AK103" s="882"/>
      <c r="AL103" s="882">
        <f>PPH_Data_Base28[[#This Row],[PPH Unit Basic Price With Cu Tube]]*0.05</f>
        <v>0</v>
      </c>
      <c r="AM103" s="881"/>
      <c r="AN103" s="881"/>
      <c r="AO103" s="881"/>
      <c r="AP103" s="881"/>
      <c r="AQ103" s="881"/>
      <c r="AR103" s="881"/>
      <c r="AS103" s="881"/>
      <c r="AT103" s="881"/>
      <c r="AU103" s="881"/>
      <c r="AV103" s="881"/>
      <c r="AW103" s="882"/>
      <c r="AX103" s="882"/>
      <c r="AY103" s="882"/>
      <c r="AZ103" s="882"/>
      <c r="BA103" s="882"/>
      <c r="BB103" s="882">
        <f>PPH_Data_Base28[[#This Row],[PPH Unit Basic Price With Cu Tube]]*0.1</f>
        <v>0</v>
      </c>
      <c r="BC103" s="882"/>
      <c r="BD103" s="882"/>
      <c r="BE103" s="882"/>
      <c r="BF103" s="882"/>
      <c r="BG103" s="882"/>
      <c r="BH103" s="882">
        <f>PPH_Data_Base28[[#This Row],[PPH Unit Basic Price With Cu Tube]]*0.075</f>
        <v>0</v>
      </c>
      <c r="BI103" s="882"/>
      <c r="BJ103" s="882"/>
      <c r="BK103" s="882"/>
      <c r="BL103" s="882"/>
      <c r="BM103" s="883">
        <f>PPH_Data_Base28[[#This Row],[Total Condenser Coil Area]]*Naming!$M$62*4</f>
        <v>0</v>
      </c>
      <c r="BN103" s="883">
        <f>PPH_Data_Base28[[#This Row],[Total Evaporator  Coil Area]]*Naming!$M$62*4</f>
        <v>0</v>
      </c>
      <c r="BO103" s="881">
        <f>PPH_Data_Base28[[#This Row],[Total Condenser Coil Area]]*Naming!$D$61*4</f>
        <v>0</v>
      </c>
      <c r="BP103" s="881">
        <f>PPH_Data_Base28[[#This Row],[Total Evaporator  Coil Area]]*Naming!$D$61*6</f>
        <v>0</v>
      </c>
      <c r="BQ103" s="881">
        <f>$G$195*PPH_Data_Base28[[#This Row],[Total Evaporator  Coil Area]]</f>
        <v>0</v>
      </c>
      <c r="BR103" s="881">
        <f>$G$199*PPH_Data_Base28[[#This Row],[Total Evaporator  Coil Area]]</f>
        <v>0</v>
      </c>
      <c r="BS103" s="881">
        <f>$E$185*PPH_Data_Base28[[#This Row],[Total Evaporator  Coil Area]]</f>
        <v>0</v>
      </c>
      <c r="BT103" s="881">
        <f>$E$188*PPH_Data_Base28[[#This Row],[Total Evaporator  Coil Area]]</f>
        <v>0</v>
      </c>
      <c r="BU103" s="881">
        <f>$G$195*PPH_Data_Base28[[#This Row],[Total Condenser Coil Area]]</f>
        <v>0</v>
      </c>
      <c r="BV103" s="881">
        <f>$G$199*PPH_Data_Base28[[#This Row],[Total Condenser Coil Area]]</f>
        <v>0</v>
      </c>
      <c r="BW103" s="881">
        <f>$E$185*PPH_Data_Base28[[#This Row],[Total Condenser Coil Area]]</f>
        <v>0</v>
      </c>
      <c r="BX103" s="881">
        <f>$E$188*PPH_Data_Base28[[#This Row],[Total Condenser Coil Area]]</f>
        <v>0</v>
      </c>
      <c r="BY103" s="881"/>
      <c r="BZ103" s="882"/>
      <c r="CA103" s="882"/>
      <c r="CB103" s="882"/>
      <c r="CC103" s="882">
        <f>PPH_Data_Base28[[#This Row],[PPH Unit Basic Price With Cu Tube]]*0.05</f>
        <v>0</v>
      </c>
      <c r="CD103" s="882">
        <f>PPH_Data_Base28[[#This Row],[PPH Unit Basic Price With Cu Tube]]*0.03</f>
        <v>0</v>
      </c>
      <c r="CE103" s="882">
        <f>PPH_Data_Base28[[#This Row],[PPH Unit Basic Price With Cu Tube]]*0.02</f>
        <v>0</v>
      </c>
      <c r="CF103" s="832">
        <v>0</v>
      </c>
      <c r="CG103" s="882">
        <f>PPH_Data_Base28[[#This Row],[PPH Unit Basic Price With Cu Tube]]*0.25</f>
        <v>0</v>
      </c>
      <c r="CH103" s="882">
        <f>PPH_Data_Base28[[#This Row],[DSP Unit Basic Price With Cu Tube]]*0.35</f>
        <v>0</v>
      </c>
      <c r="CI103" s="882">
        <f t="shared" si="11"/>
        <v>0</v>
      </c>
      <c r="CJ103" s="882">
        <f t="shared" si="12"/>
        <v>0</v>
      </c>
      <c r="CK103" s="882">
        <f t="shared" si="13"/>
        <v>0</v>
      </c>
      <c r="CL103" s="881">
        <f>110*1.35*PPH_Data_Base28[[#This Row],[No. of Unit  Compressors]]</f>
        <v>0</v>
      </c>
      <c r="CM103" s="882">
        <f>140*1.35*PPH_Data_Base28[[#This Row],[No. of Unit  Compressors]]</f>
        <v>0</v>
      </c>
      <c r="CN103" s="881">
        <f>180*1.35*PPH_Data_Base28[[#This Row],[No. of Unit  Compressors]]</f>
        <v>0</v>
      </c>
      <c r="CO103" s="882"/>
      <c r="CP103" s="881">
        <f>160*1.35*PPH_Data_Base28[[#This Row],[No. of Unit  Compressors]]</f>
        <v>0</v>
      </c>
      <c r="CQ103" s="882"/>
      <c r="CR103" s="882"/>
      <c r="CS103" s="882">
        <f>PPH_Data_Base28[[#This Row],[PPH Unit Basic Price With Cu Tube]]*0.35</f>
        <v>0</v>
      </c>
      <c r="CT103" s="881">
        <f>$L$252*1.35*PPH_Data_Base28[[#This Row],[No. of Unit  Compressors]]</f>
        <v>0</v>
      </c>
      <c r="CU103" s="882"/>
      <c r="CV103" s="882"/>
      <c r="CW103" s="881">
        <f>400*1.35*PPH_Data_Base28[[#This Row],[No. of Unit  Compressors]]</f>
        <v>0</v>
      </c>
      <c r="CX103" s="835"/>
      <c r="CY103" s="884">
        <f>47*PPH_Data_Base28[[#This Row],[No. of Unit  Compressors]]*1.35</f>
        <v>0</v>
      </c>
      <c r="CZ103" s="884">
        <f>30*1.35*PPH_Data_Base28[[#This Row],[NO Condenser Fans]]</f>
        <v>0</v>
      </c>
      <c r="DA103" s="884" t="e">
        <f>INDEX($B$136:$F$154,MATCH(PPH_Data_Base28[[#This Row],[STD Supply Fan Motor]],$B$136:$B$154,0),5)*PPH_Data_Base28[[#This Row],[Fan QTY]]</f>
        <v>#N/A</v>
      </c>
      <c r="DB103" s="884">
        <f>47*1.35*PPH_Data_Base28[[#This Row],[No. of Unit  Compressors]]</f>
        <v>0</v>
      </c>
      <c r="DC103" s="884">
        <f>28*PPH_Data_Base28[[#This Row],[NO Condenser Fans]]</f>
        <v>0</v>
      </c>
      <c r="DD103" s="884" t="e">
        <f>INDEX($B$136:$F$154,MATCH(PPH_Data_Base28[[#This Row],[STD Supply Fan Motor]],$B$136:$B$154,0),3)*PPH_Data_Base28[[#This Row],[Fan QTY]]</f>
        <v>#N/A</v>
      </c>
      <c r="DE103" s="882"/>
      <c r="DF103" s="882">
        <f>58*PPH_Data_Base28[[#This Row],[NO Condenser Fans]]</f>
        <v>0</v>
      </c>
      <c r="DG103" s="885"/>
      <c r="DH103" s="882"/>
      <c r="DI103" s="882"/>
      <c r="DJ103" s="882"/>
      <c r="DK103" s="882"/>
      <c r="DL103" s="882"/>
      <c r="DM103" s="882"/>
      <c r="DN103" s="882"/>
      <c r="DO103" s="882"/>
      <c r="DP103" s="881"/>
      <c r="DQ103" s="881">
        <f>PPH_Data_Base28[[#This Row],[NEMA 4X For Electrical Panel]]</f>
        <v>0</v>
      </c>
      <c r="DR103" s="882"/>
      <c r="DS103" s="882"/>
      <c r="DT103" s="882">
        <f>PPH_Data_Base28[[#This Row],[NO Condenser Fans]]*350</f>
        <v>0</v>
      </c>
      <c r="DU103" s="882"/>
      <c r="DV103" s="882">
        <f>150*PPH_Data_Base28[[#This Row],[NO Condenser Fans]]</f>
        <v>0</v>
      </c>
      <c r="DW103" s="882">
        <f>720*1.35*PPH_Data_Base28[[#This Row],[NO Condenser Fans]]</f>
        <v>0</v>
      </c>
      <c r="DX103" s="781">
        <v>250</v>
      </c>
      <c r="DY103" s="882"/>
      <c r="DZ103" s="882"/>
      <c r="EA103" s="882"/>
      <c r="EB103" s="882"/>
      <c r="EC103" s="882"/>
      <c r="ED103" s="882"/>
      <c r="EE103" s="882"/>
      <c r="EF103" s="882"/>
      <c r="EG103" s="882"/>
      <c r="EH103" s="882"/>
      <c r="EI103" s="882"/>
      <c r="EJ103" s="882"/>
      <c r="EK103" s="882"/>
      <c r="EL103" s="882"/>
      <c r="EM103" s="882"/>
      <c r="EN103" s="882"/>
      <c r="EO103" s="882"/>
      <c r="EP103" s="882"/>
      <c r="EQ103" s="882"/>
      <c r="ER103" s="882"/>
      <c r="ES103" s="882"/>
      <c r="ET103" s="882"/>
      <c r="EU103" s="882"/>
      <c r="EV103" s="882"/>
      <c r="EW103" s="847"/>
      <c r="EX103" s="881">
        <f>4*50*1.35*PPH_Data_Base28[[#This Row],[Fan QTY]]</f>
        <v>0</v>
      </c>
      <c r="EY103" s="881">
        <f>4*100*1.35*PPH_Data_Base28[[#This Row],[Fan QTY]]</f>
        <v>0</v>
      </c>
      <c r="EZ103" s="882"/>
      <c r="FA103" s="882"/>
      <c r="FB103" s="882"/>
      <c r="FC103" s="882">
        <v>24</v>
      </c>
      <c r="FD103" s="882">
        <v>24</v>
      </c>
      <c r="FE103" s="882"/>
      <c r="FF103" s="882"/>
      <c r="FG103" s="882"/>
      <c r="FH103" s="882"/>
      <c r="FI103" s="882"/>
      <c r="FJ103" s="882"/>
      <c r="FK103" s="882">
        <f>PPH_Data_Base28[[#This Row],[Differential Pressure Switch]]*2</f>
        <v>0</v>
      </c>
      <c r="FL103" s="882"/>
      <c r="FM103" s="886"/>
      <c r="FN103" s="886"/>
      <c r="FO103" s="886">
        <f>PPH_Data_Base28[[#This Row],[Replaceble Filter Drier ]]</f>
        <v>0</v>
      </c>
      <c r="FP103" s="886">
        <f>PPH_Data_Base28[[#This Row],[2" Pre-Filter]]*2</f>
        <v>0</v>
      </c>
      <c r="FQ103" s="886">
        <f>PPH_Data_Base28[[#This Row],[Bag Filter EU-8]]</f>
        <v>0</v>
      </c>
      <c r="FR103" s="886"/>
      <c r="FS103" s="872">
        <v>30</v>
      </c>
      <c r="GW103" s="176"/>
      <c r="GX103" s="176"/>
      <c r="HC103" s="176"/>
    </row>
    <row r="104" spans="1:211">
      <c r="A104" s="176">
        <v>0</v>
      </c>
      <c r="GW104" s="176"/>
      <c r="GX104" s="176"/>
      <c r="HC104" s="176"/>
    </row>
    <row r="105" spans="1:211">
      <c r="A105" s="176">
        <v>0</v>
      </c>
      <c r="GW105" s="176"/>
      <c r="GX105" s="176"/>
      <c r="HC105" s="176"/>
    </row>
    <row r="106" spans="1:211">
      <c r="A106" s="176">
        <v>0</v>
      </c>
      <c r="GW106" s="176"/>
      <c r="GX106" s="176"/>
      <c r="HC106" s="176"/>
    </row>
    <row r="107" spans="1:211">
      <c r="A107" s="176">
        <v>0</v>
      </c>
      <c r="GW107" s="176"/>
      <c r="GX107" s="176"/>
      <c r="HC107" s="176"/>
    </row>
    <row r="108" spans="1:211">
      <c r="A108" s="176">
        <v>0</v>
      </c>
      <c r="B108" s="176"/>
      <c r="GW108" s="176"/>
      <c r="GX108" s="176"/>
      <c r="HC108" s="176"/>
    </row>
    <row r="109" spans="1:211">
      <c r="A109" s="176">
        <v>0</v>
      </c>
      <c r="B109" s="176"/>
      <c r="GW109" s="176"/>
      <c r="GX109" s="176"/>
      <c r="HC109" s="176"/>
    </row>
    <row r="110" spans="1:211">
      <c r="A110" s="176">
        <v>0</v>
      </c>
      <c r="B110" s="176"/>
      <c r="GW110" s="176"/>
      <c r="GX110" s="176"/>
      <c r="HC110" s="176"/>
    </row>
    <row r="111" spans="1:211" ht="17.25" thickBot="1">
      <c r="A111" s="176">
        <v>0</v>
      </c>
      <c r="B111" s="811"/>
      <c r="C111" s="811"/>
      <c r="D111" s="811"/>
      <c r="E111" s="811"/>
      <c r="F111" s="811"/>
      <c r="GW111" s="176"/>
      <c r="GX111" s="176"/>
      <c r="HC111" s="176"/>
    </row>
    <row r="112" spans="1:211" ht="17.25" thickBot="1">
      <c r="A112" s="176">
        <v>0</v>
      </c>
      <c r="B112" s="811"/>
      <c r="C112" s="811"/>
      <c r="D112" s="811"/>
      <c r="E112" s="811"/>
      <c r="F112" s="2582" t="s">
        <v>2836</v>
      </c>
      <c r="G112" s="2583"/>
      <c r="GW112" s="176"/>
      <c r="GX112" s="176"/>
      <c r="HC112" s="176"/>
    </row>
    <row r="113" spans="1:211">
      <c r="A113" s="176">
        <v>0</v>
      </c>
      <c r="B113" s="2584" t="s">
        <v>1715</v>
      </c>
      <c r="C113" s="2584"/>
      <c r="F113" s="1174"/>
      <c r="G113" s="1177" t="s">
        <v>2835</v>
      </c>
      <c r="GW113" s="176"/>
      <c r="GX113" s="176"/>
      <c r="HC113" s="176"/>
    </row>
    <row r="114" spans="1:211">
      <c r="A114" s="176">
        <v>0</v>
      </c>
      <c r="B114" s="795">
        <v>3</v>
      </c>
      <c r="C114" s="796">
        <v>36</v>
      </c>
      <c r="F114" s="1175">
        <v>3</v>
      </c>
      <c r="G114" s="1176">
        <v>2300</v>
      </c>
      <c r="GW114" s="176"/>
      <c r="GX114" s="176"/>
      <c r="HC114" s="176"/>
    </row>
    <row r="115" spans="1:211">
      <c r="A115" s="176">
        <v>0</v>
      </c>
      <c r="B115" s="795">
        <v>3.1</v>
      </c>
      <c r="C115" s="796">
        <v>36</v>
      </c>
      <c r="F115" s="1175">
        <v>4</v>
      </c>
      <c r="G115" s="1176">
        <v>2300</v>
      </c>
      <c r="GW115" s="176"/>
      <c r="GX115" s="176"/>
      <c r="HC115" s="176"/>
    </row>
    <row r="116" spans="1:211">
      <c r="A116" s="176">
        <v>0</v>
      </c>
      <c r="B116" s="795">
        <v>4</v>
      </c>
      <c r="C116" s="796">
        <v>25</v>
      </c>
      <c r="F116" s="1175">
        <v>5</v>
      </c>
      <c r="G116" s="1176">
        <v>2400</v>
      </c>
      <c r="GW116" s="176"/>
      <c r="GX116" s="176"/>
      <c r="HC116" s="176"/>
    </row>
    <row r="117" spans="1:211">
      <c r="A117" s="176">
        <v>0</v>
      </c>
      <c r="B117" s="795">
        <v>4.5</v>
      </c>
      <c r="C117" s="796">
        <v>25</v>
      </c>
      <c r="F117" s="1175">
        <v>8</v>
      </c>
      <c r="G117" s="1176">
        <v>2500</v>
      </c>
      <c r="GW117" s="176"/>
      <c r="GX117" s="176"/>
      <c r="HC117" s="176"/>
    </row>
    <row r="118" spans="1:211">
      <c r="A118" s="176">
        <v>0</v>
      </c>
      <c r="B118" s="795">
        <v>5</v>
      </c>
      <c r="C118" s="796">
        <v>30</v>
      </c>
      <c r="F118" s="1175">
        <v>9</v>
      </c>
      <c r="G118" s="1176">
        <v>2600</v>
      </c>
      <c r="GW118" s="176"/>
      <c r="GX118" s="176"/>
      <c r="HC118" s="176"/>
    </row>
    <row r="119" spans="1:211">
      <c r="A119" s="176">
        <v>0</v>
      </c>
      <c r="B119" s="795">
        <v>7</v>
      </c>
      <c r="C119" s="796">
        <v>30</v>
      </c>
      <c r="F119" s="1175">
        <v>10</v>
      </c>
      <c r="G119" s="1176">
        <v>2600</v>
      </c>
      <c r="GW119" s="176"/>
      <c r="GX119" s="176"/>
      <c r="HC119" s="176"/>
    </row>
    <row r="120" spans="1:211">
      <c r="A120" s="176">
        <v>0</v>
      </c>
      <c r="B120" s="795">
        <v>8</v>
      </c>
      <c r="C120" s="796">
        <v>30</v>
      </c>
      <c r="F120" s="1175">
        <v>12</v>
      </c>
      <c r="G120" s="1176">
        <v>2600</v>
      </c>
      <c r="GW120" s="176"/>
      <c r="GX120" s="176"/>
      <c r="HC120" s="176"/>
    </row>
    <row r="121" spans="1:211">
      <c r="A121" s="176">
        <v>0</v>
      </c>
      <c r="B121" s="795">
        <v>9</v>
      </c>
      <c r="C121" s="796">
        <v>42</v>
      </c>
      <c r="F121" s="1175">
        <v>15</v>
      </c>
      <c r="G121" s="1176">
        <v>3000</v>
      </c>
      <c r="GW121" s="176"/>
      <c r="GX121" s="176"/>
      <c r="HC121" s="176"/>
    </row>
    <row r="122" spans="1:211">
      <c r="A122" s="176">
        <v>0</v>
      </c>
      <c r="B122" s="795">
        <v>10</v>
      </c>
      <c r="C122" s="796">
        <v>42</v>
      </c>
      <c r="F122" s="1175">
        <v>20</v>
      </c>
      <c r="G122" s="1176">
        <v>3200</v>
      </c>
      <c r="GW122" s="176"/>
      <c r="GX122" s="176"/>
      <c r="HC122" s="176"/>
    </row>
    <row r="123" spans="1:211">
      <c r="A123" s="176">
        <v>0</v>
      </c>
      <c r="B123" s="795">
        <v>10.5</v>
      </c>
      <c r="C123" s="796">
        <v>42</v>
      </c>
      <c r="F123" s="1175">
        <v>25</v>
      </c>
      <c r="G123" s="1176">
        <v>3800</v>
      </c>
      <c r="GW123" s="176"/>
      <c r="GX123" s="176"/>
      <c r="HC123" s="176"/>
    </row>
    <row r="124" spans="1:211">
      <c r="A124" s="176">
        <v>0</v>
      </c>
      <c r="B124" s="795">
        <v>12</v>
      </c>
      <c r="C124" s="796">
        <v>54</v>
      </c>
      <c r="F124" s="1175">
        <v>30</v>
      </c>
      <c r="G124" s="1176" t="s">
        <v>1433</v>
      </c>
      <c r="GW124" s="176"/>
      <c r="GX124" s="176"/>
      <c r="HC124" s="176"/>
    </row>
    <row r="125" spans="1:211">
      <c r="A125" s="176">
        <v>0</v>
      </c>
      <c r="B125" s="795">
        <v>13</v>
      </c>
      <c r="C125" s="796">
        <v>54</v>
      </c>
      <c r="GW125" s="176"/>
      <c r="GX125" s="176"/>
      <c r="HC125" s="176"/>
    </row>
    <row r="126" spans="1:211">
      <c r="A126" s="176">
        <v>0</v>
      </c>
      <c r="B126" s="795">
        <v>14.9</v>
      </c>
      <c r="C126" s="796">
        <v>54</v>
      </c>
      <c r="GW126" s="176"/>
      <c r="GX126" s="176"/>
      <c r="HC126" s="176"/>
    </row>
    <row r="127" spans="1:211">
      <c r="A127" s="176">
        <v>0</v>
      </c>
      <c r="B127" s="795">
        <v>15</v>
      </c>
      <c r="C127" s="796">
        <v>45</v>
      </c>
      <c r="GW127" s="176"/>
      <c r="GX127" s="176"/>
      <c r="HC127" s="176"/>
    </row>
    <row r="128" spans="1:211">
      <c r="A128" s="176">
        <v>0</v>
      </c>
      <c r="B128" s="795">
        <v>20</v>
      </c>
      <c r="C128" s="796">
        <v>111.43641666666669</v>
      </c>
      <c r="GW128" s="176"/>
      <c r="GX128" s="176"/>
      <c r="HC128" s="176"/>
    </row>
    <row r="129" spans="1:211">
      <c r="A129" s="176">
        <v>0</v>
      </c>
      <c r="B129" s="795">
        <v>25</v>
      </c>
      <c r="C129" s="796">
        <v>111.43641666666669</v>
      </c>
      <c r="GW129" s="176"/>
      <c r="GX129" s="176"/>
      <c r="HC129" s="176"/>
    </row>
    <row r="130" spans="1:211">
      <c r="A130" s="176">
        <v>0</v>
      </c>
      <c r="B130" s="795">
        <v>25.8</v>
      </c>
      <c r="C130" s="796">
        <v>111.43641666666669</v>
      </c>
      <c r="GW130" s="176"/>
      <c r="GX130" s="176"/>
      <c r="HC130" s="176"/>
    </row>
    <row r="131" spans="1:211">
      <c r="A131" s="176">
        <v>0</v>
      </c>
      <c r="B131" s="795">
        <v>30</v>
      </c>
      <c r="C131" s="796">
        <v>111.43641666666669</v>
      </c>
      <c r="GW131" s="176"/>
      <c r="GX131" s="176"/>
      <c r="HC131" s="176"/>
    </row>
    <row r="132" spans="1:211">
      <c r="A132" s="176">
        <v>0</v>
      </c>
      <c r="GW132" s="176"/>
      <c r="GX132" s="176"/>
      <c r="HC132" s="176"/>
    </row>
    <row r="133" spans="1:211" ht="17.25" thickBot="1">
      <c r="A133" s="176">
        <v>0</v>
      </c>
      <c r="GW133" s="176"/>
      <c r="GX133" s="176"/>
      <c r="HC133" s="176"/>
    </row>
    <row r="134" spans="1:211">
      <c r="A134" s="176">
        <v>0</v>
      </c>
      <c r="B134" s="792" t="s">
        <v>2195</v>
      </c>
      <c r="C134" s="793"/>
      <c r="D134" s="793"/>
      <c r="E134" s="793"/>
      <c r="F134" s="794"/>
      <c r="GW134" s="176"/>
      <c r="GX134" s="176"/>
      <c r="HC134" s="176"/>
    </row>
    <row r="135" spans="1:211">
      <c r="A135" s="176">
        <v>0</v>
      </c>
      <c r="B135" s="797" t="s">
        <v>1716</v>
      </c>
      <c r="C135" s="798"/>
      <c r="D135" s="798" t="s">
        <v>1717</v>
      </c>
      <c r="E135" s="798" t="s">
        <v>1718</v>
      </c>
      <c r="F135" s="799" t="s">
        <v>1719</v>
      </c>
      <c r="GW135" s="176"/>
      <c r="GX135" s="176"/>
      <c r="HC135" s="176"/>
    </row>
    <row r="136" spans="1:211">
      <c r="A136" s="176">
        <v>0</v>
      </c>
      <c r="B136" s="800" t="s">
        <v>1523</v>
      </c>
      <c r="C136" s="801"/>
      <c r="D136" s="802">
        <v>24.627741525423726</v>
      </c>
      <c r="E136" s="803" t="s">
        <v>1433</v>
      </c>
      <c r="F136" s="804">
        <v>38.073067937853111</v>
      </c>
      <c r="GW136" s="176"/>
      <c r="GX136" s="176"/>
      <c r="HC136" s="176"/>
    </row>
    <row r="137" spans="1:211">
      <c r="A137" s="176">
        <v>0</v>
      </c>
      <c r="B137" s="800" t="s">
        <v>1720</v>
      </c>
      <c r="C137" s="801"/>
      <c r="D137" s="802">
        <v>24.627741525423726</v>
      </c>
      <c r="E137" s="803" t="s">
        <v>1433</v>
      </c>
      <c r="F137" s="804">
        <v>38.073067937853111</v>
      </c>
      <c r="GW137" s="176"/>
      <c r="GX137" s="176"/>
      <c r="HC137" s="176"/>
    </row>
    <row r="138" spans="1:211">
      <c r="A138" s="176">
        <v>0</v>
      </c>
      <c r="B138" s="800" t="s">
        <v>1538</v>
      </c>
      <c r="C138" s="801"/>
      <c r="D138" s="802">
        <v>24.627741525423726</v>
      </c>
      <c r="E138" s="803" t="s">
        <v>1433</v>
      </c>
      <c r="F138" s="804">
        <v>36.69975367231639</v>
      </c>
      <c r="GW138" s="176"/>
      <c r="GX138" s="176"/>
      <c r="HC138" s="176"/>
    </row>
    <row r="139" spans="1:211">
      <c r="A139" s="176">
        <v>0</v>
      </c>
      <c r="B139" s="800" t="s">
        <v>1721</v>
      </c>
      <c r="C139" s="801"/>
      <c r="D139" s="802">
        <v>24.627741525423726</v>
      </c>
      <c r="E139" s="803" t="s">
        <v>1433</v>
      </c>
      <c r="F139" s="804">
        <v>36.69975367231639</v>
      </c>
      <c r="GW139" s="176"/>
      <c r="GX139" s="176"/>
      <c r="HC139" s="176"/>
    </row>
    <row r="140" spans="1:211">
      <c r="A140" s="176">
        <v>0</v>
      </c>
      <c r="B140" s="800" t="s">
        <v>1562</v>
      </c>
      <c r="C140" s="801"/>
      <c r="D140" s="802">
        <v>24.627741525423726</v>
      </c>
      <c r="E140" s="803" t="s">
        <v>1433</v>
      </c>
      <c r="F140" s="804">
        <v>36.69975367231639</v>
      </c>
      <c r="GW140" s="176"/>
      <c r="GX140" s="176"/>
      <c r="HC140" s="176"/>
    </row>
    <row r="141" spans="1:211">
      <c r="A141" s="176">
        <v>0</v>
      </c>
      <c r="B141" s="800" t="s">
        <v>1586</v>
      </c>
      <c r="C141" s="801"/>
      <c r="D141" s="802">
        <v>27.333113841807918</v>
      </c>
      <c r="E141" s="803" t="s">
        <v>1433</v>
      </c>
      <c r="F141" s="804">
        <v>43.509511864406782</v>
      </c>
      <c r="GW141" s="176"/>
      <c r="GX141" s="176"/>
      <c r="HC141" s="176"/>
    </row>
    <row r="142" spans="1:211">
      <c r="A142" s="176">
        <v>0</v>
      </c>
      <c r="B142" s="800" t="s">
        <v>1594</v>
      </c>
      <c r="C142" s="801"/>
      <c r="D142" s="802">
        <v>27.333113841807918</v>
      </c>
      <c r="E142" s="803" t="s">
        <v>1433</v>
      </c>
      <c r="F142" s="804">
        <v>49.088431038135589</v>
      </c>
      <c r="T142"/>
      <c r="GW142" s="176"/>
      <c r="GX142" s="176"/>
      <c r="HC142" s="176"/>
    </row>
    <row r="143" spans="1:211">
      <c r="A143" s="176">
        <v>0</v>
      </c>
      <c r="B143" s="800" t="s">
        <v>1597</v>
      </c>
      <c r="C143" s="801"/>
      <c r="D143" s="802">
        <v>31.756799576271195</v>
      </c>
      <c r="E143" s="803" t="s">
        <v>1433</v>
      </c>
      <c r="F143" s="804">
        <v>49.088431038135589</v>
      </c>
      <c r="GW143" s="176"/>
      <c r="GX143" s="176"/>
      <c r="HC143" s="176"/>
    </row>
    <row r="144" spans="1:211">
      <c r="A144" s="176">
        <v>0</v>
      </c>
      <c r="B144" s="800" t="s">
        <v>1604</v>
      </c>
      <c r="C144" s="801"/>
      <c r="D144" s="802">
        <v>31.842349435028254</v>
      </c>
      <c r="E144" s="803" t="s">
        <v>1433</v>
      </c>
      <c r="F144" s="804">
        <v>48.428298587570623</v>
      </c>
      <c r="GW144" s="176"/>
      <c r="GX144" s="176"/>
      <c r="HC144" s="176"/>
    </row>
    <row r="145" spans="1:211">
      <c r="A145" s="176">
        <v>0</v>
      </c>
      <c r="B145" s="800" t="s">
        <v>1722</v>
      </c>
      <c r="C145" s="801"/>
      <c r="D145" s="802">
        <v>31.842349435028254</v>
      </c>
      <c r="E145" s="803" t="s">
        <v>1433</v>
      </c>
      <c r="F145" s="804">
        <v>53.871794632768371</v>
      </c>
      <c r="GW145" s="176"/>
      <c r="GX145" s="176"/>
      <c r="HC145" s="176"/>
    </row>
    <row r="146" spans="1:211">
      <c r="A146" s="176">
        <v>0</v>
      </c>
      <c r="B146" s="800" t="s">
        <v>1608</v>
      </c>
      <c r="C146" s="801"/>
      <c r="D146" s="802">
        <v>34.411195903954805</v>
      </c>
      <c r="E146" s="803" t="s">
        <v>1433</v>
      </c>
      <c r="F146" s="804">
        <v>53.871794632768371</v>
      </c>
      <c r="GW146" s="176"/>
      <c r="GX146" s="176"/>
      <c r="HC146" s="176"/>
    </row>
    <row r="147" spans="1:211">
      <c r="A147" s="176">
        <v>0</v>
      </c>
      <c r="B147" s="800" t="s">
        <v>1612</v>
      </c>
      <c r="C147" s="801"/>
      <c r="D147" s="802">
        <v>45.747093644067796</v>
      </c>
      <c r="E147" s="803" t="s">
        <v>1433</v>
      </c>
      <c r="F147" s="804">
        <v>93.979755367231661</v>
      </c>
      <c r="GW147" s="176"/>
      <c r="GX147" s="176"/>
      <c r="HC147" s="176"/>
    </row>
    <row r="148" spans="1:211">
      <c r="A148" s="176">
        <v>0</v>
      </c>
      <c r="B148" s="800" t="s">
        <v>1624</v>
      </c>
      <c r="C148" s="801"/>
      <c r="D148" s="802">
        <v>98.090216101694921</v>
      </c>
      <c r="E148" s="803" t="s">
        <v>1433</v>
      </c>
      <c r="F148" s="804">
        <v>99.574937994350279</v>
      </c>
      <c r="GW148" s="176"/>
      <c r="GX148" s="176"/>
      <c r="HC148" s="176"/>
    </row>
    <row r="149" spans="1:211">
      <c r="A149" s="176">
        <v>0</v>
      </c>
      <c r="B149" s="800" t="s">
        <v>1723</v>
      </c>
      <c r="C149" s="801"/>
      <c r="D149" s="802">
        <v>102.30677556497177</v>
      </c>
      <c r="E149" s="803" t="s">
        <v>1433</v>
      </c>
      <c r="F149" s="804">
        <v>124.0463984957627</v>
      </c>
      <c r="GW149" s="176"/>
      <c r="GX149" s="176"/>
      <c r="HC149" s="176"/>
    </row>
    <row r="150" spans="1:211">
      <c r="A150" s="176">
        <v>0</v>
      </c>
      <c r="B150" s="800" t="s">
        <v>1724</v>
      </c>
      <c r="C150" s="801"/>
      <c r="D150" s="802">
        <v>223.87853940677968</v>
      </c>
      <c r="E150" s="803" t="s">
        <v>1433</v>
      </c>
      <c r="F150" s="804">
        <v>111.43641666666669</v>
      </c>
      <c r="GW150" s="176"/>
      <c r="GX150" s="176"/>
      <c r="HC150" s="176"/>
    </row>
    <row r="151" spans="1:211">
      <c r="A151" s="176">
        <v>0</v>
      </c>
      <c r="B151" s="800" t="s">
        <v>1725</v>
      </c>
      <c r="C151" s="801"/>
      <c r="D151" s="802">
        <v>291.42563611581926</v>
      </c>
      <c r="E151" s="803" t="s">
        <v>1433</v>
      </c>
      <c r="F151" s="804">
        <v>111.43641666666669</v>
      </c>
      <c r="GW151" s="176"/>
      <c r="GX151" s="176"/>
      <c r="HC151" s="176"/>
    </row>
    <row r="152" spans="1:211">
      <c r="A152" s="176">
        <v>0</v>
      </c>
      <c r="B152" s="800" t="s">
        <v>1726</v>
      </c>
      <c r="C152" s="801"/>
      <c r="D152" s="802">
        <v>353.68757401129943</v>
      </c>
      <c r="E152" s="779">
        <v>87.573420621468941</v>
      </c>
      <c r="F152" s="806">
        <v>441.26099463276836</v>
      </c>
      <c r="GW152" s="176"/>
      <c r="GX152" s="176"/>
      <c r="HC152" s="176"/>
    </row>
    <row r="153" spans="1:211">
      <c r="A153" s="176">
        <v>0</v>
      </c>
      <c r="B153" s="800" t="s">
        <v>1727</v>
      </c>
      <c r="C153" s="801"/>
      <c r="D153" s="802">
        <v>390.17658290960463</v>
      </c>
      <c r="E153" s="779">
        <v>87.573420621468941</v>
      </c>
      <c r="F153" s="806">
        <v>477.75000353107356</v>
      </c>
      <c r="GW153" s="176"/>
      <c r="GX153" s="176"/>
      <c r="HC153" s="176"/>
    </row>
    <row r="154" spans="1:211" ht="17.25" thickBot="1">
      <c r="A154" s="176">
        <v>0</v>
      </c>
      <c r="B154" s="807" t="s">
        <v>1728</v>
      </c>
      <c r="C154" s="808"/>
      <c r="D154" s="809">
        <v>809.28153757062159</v>
      </c>
      <c r="E154" s="810">
        <v>87.573420621468941</v>
      </c>
      <c r="F154" s="806">
        <v>896.85495819209052</v>
      </c>
      <c r="GW154" s="176"/>
      <c r="GX154" s="176"/>
      <c r="HC154" s="176"/>
    </row>
    <row r="155" spans="1:211">
      <c r="A155" s="176">
        <v>0</v>
      </c>
      <c r="GW155" s="176"/>
      <c r="GX155" s="176"/>
      <c r="HC155" s="176"/>
    </row>
    <row r="156" spans="1:211">
      <c r="A156" s="176">
        <v>0</v>
      </c>
      <c r="GW156" s="176"/>
      <c r="GX156" s="176"/>
      <c r="HC156" s="176"/>
    </row>
    <row r="157" spans="1:211" ht="18">
      <c r="A157" s="176">
        <v>0</v>
      </c>
      <c r="B157" s="2574" t="s">
        <v>1729</v>
      </c>
      <c r="C157" s="2574"/>
      <c r="D157" s="2574"/>
      <c r="E157" s="2574"/>
      <c r="F157" s="2574"/>
      <c r="GW157" s="176"/>
      <c r="GX157" s="176"/>
      <c r="HC157" s="176"/>
    </row>
    <row r="158" spans="1:211">
      <c r="A158" s="176">
        <v>0</v>
      </c>
      <c r="B158" s="812" t="s">
        <v>1732</v>
      </c>
      <c r="C158" s="812"/>
      <c r="D158" s="812" t="s">
        <v>980</v>
      </c>
      <c r="E158" s="812" t="s">
        <v>1205</v>
      </c>
      <c r="F158" s="812" t="s">
        <v>1733</v>
      </c>
      <c r="GW158" s="176"/>
      <c r="GX158" s="176"/>
      <c r="HC158" s="176"/>
    </row>
    <row r="159" spans="1:211">
      <c r="A159" s="176">
        <v>0</v>
      </c>
      <c r="B159" s="2563" t="s">
        <v>1737</v>
      </c>
      <c r="C159" s="805"/>
      <c r="D159" s="805">
        <v>1</v>
      </c>
      <c r="E159" s="805">
        <v>8</v>
      </c>
      <c r="F159" s="815">
        <v>12.5</v>
      </c>
      <c r="GW159" s="176"/>
      <c r="GX159" s="176"/>
      <c r="HC159" s="176"/>
    </row>
    <row r="160" spans="1:211">
      <c r="A160" s="176">
        <v>0</v>
      </c>
      <c r="B160" s="2563"/>
      <c r="C160" s="805"/>
      <c r="D160" s="805">
        <v>1</v>
      </c>
      <c r="E160" s="805">
        <v>10</v>
      </c>
      <c r="F160" s="815">
        <v>15.6</v>
      </c>
      <c r="GW160" s="176"/>
      <c r="GX160" s="176"/>
      <c r="HC160" s="176"/>
    </row>
    <row r="161" spans="1:211">
      <c r="A161" s="176">
        <v>0</v>
      </c>
      <c r="B161" s="2563"/>
      <c r="C161" s="805"/>
      <c r="D161" s="805">
        <v>1</v>
      </c>
      <c r="E161" s="805">
        <v>12</v>
      </c>
      <c r="F161" s="815">
        <v>18.7</v>
      </c>
      <c r="GW161" s="176"/>
      <c r="GX161" s="176"/>
      <c r="HC161" s="176"/>
    </row>
    <row r="162" spans="1:211">
      <c r="A162" s="176">
        <v>0</v>
      </c>
      <c r="B162" s="2563"/>
      <c r="C162" s="805"/>
      <c r="D162" s="805">
        <v>1</v>
      </c>
      <c r="E162" s="805">
        <v>14</v>
      </c>
      <c r="F162" s="815">
        <v>21.8</v>
      </c>
      <c r="GW162" s="176"/>
      <c r="GX162" s="176"/>
      <c r="HC162" s="176"/>
    </row>
    <row r="163" spans="1:211">
      <c r="A163" s="176">
        <v>0</v>
      </c>
      <c r="B163" s="2563" t="s">
        <v>1738</v>
      </c>
      <c r="C163" s="805"/>
      <c r="D163" s="805">
        <v>1</v>
      </c>
      <c r="E163" s="805">
        <v>8</v>
      </c>
      <c r="F163" s="815">
        <v>19.3</v>
      </c>
      <c r="GW163" s="176"/>
      <c r="GX163" s="176"/>
      <c r="HC163" s="176"/>
    </row>
    <row r="164" spans="1:211">
      <c r="A164" s="176">
        <v>0</v>
      </c>
      <c r="B164" s="2563"/>
      <c r="C164" s="805"/>
      <c r="D164" s="805">
        <v>1</v>
      </c>
      <c r="E164" s="805">
        <v>10</v>
      </c>
      <c r="F164" s="815">
        <v>24.1</v>
      </c>
      <c r="GW164" s="176"/>
      <c r="GX164" s="176"/>
      <c r="HC164" s="176"/>
    </row>
    <row r="165" spans="1:211">
      <c r="A165" s="176">
        <v>0</v>
      </c>
      <c r="B165" s="2563"/>
      <c r="C165" s="805"/>
      <c r="D165" s="805">
        <v>1</v>
      </c>
      <c r="E165" s="805">
        <v>12</v>
      </c>
      <c r="F165" s="815">
        <v>29</v>
      </c>
      <c r="GW165" s="176"/>
      <c r="GX165" s="176"/>
      <c r="HC165" s="176"/>
    </row>
    <row r="166" spans="1:211">
      <c r="A166" s="176">
        <v>0</v>
      </c>
      <c r="B166" s="2563"/>
      <c r="C166" s="805"/>
      <c r="D166" s="805">
        <v>1</v>
      </c>
      <c r="E166" s="805">
        <v>14</v>
      </c>
      <c r="F166" s="815">
        <v>33.799999999999997</v>
      </c>
      <c r="GW166" s="176"/>
      <c r="GX166" s="176"/>
      <c r="HC166" s="176"/>
    </row>
    <row r="167" spans="1:211">
      <c r="A167" s="176">
        <v>0</v>
      </c>
      <c r="GW167" s="176"/>
      <c r="GX167" s="176"/>
      <c r="HC167" s="176"/>
    </row>
    <row r="168" spans="1:211">
      <c r="A168" s="176">
        <v>0</v>
      </c>
      <c r="B168" s="176"/>
      <c r="F168"/>
      <c r="G168"/>
      <c r="GW168" s="176"/>
      <c r="GX168" s="176"/>
      <c r="HC168" s="176"/>
    </row>
    <row r="169" spans="1:211">
      <c r="A169" s="176">
        <v>0</v>
      </c>
      <c r="B169" s="2539" t="s">
        <v>1730</v>
      </c>
      <c r="C169" s="2540"/>
      <c r="E169" s="2541" t="s">
        <v>1731</v>
      </c>
      <c r="F169" s="2542"/>
      <c r="GW169" s="176"/>
      <c r="GX169" s="176"/>
      <c r="HC169" s="176"/>
    </row>
    <row r="170" spans="1:211">
      <c r="A170" s="176">
        <v>0</v>
      </c>
      <c r="B170" s="813" t="s">
        <v>1734</v>
      </c>
      <c r="C170" s="813" t="s">
        <v>1735</v>
      </c>
      <c r="E170" s="814" t="s">
        <v>1736</v>
      </c>
      <c r="F170" s="814" t="s">
        <v>1735</v>
      </c>
      <c r="GW170" s="176"/>
      <c r="GX170" s="176"/>
      <c r="HC170" s="176"/>
    </row>
    <row r="171" spans="1:211">
      <c r="A171" s="176">
        <v>0</v>
      </c>
      <c r="B171" s="813">
        <v>8</v>
      </c>
      <c r="C171" s="813">
        <v>12.01</v>
      </c>
      <c r="E171" s="814">
        <v>8</v>
      </c>
      <c r="F171" s="814">
        <v>0.2268</v>
      </c>
      <c r="GW171" s="176"/>
      <c r="GX171" s="176"/>
      <c r="HC171" s="176"/>
    </row>
    <row r="172" spans="1:211">
      <c r="A172" s="176">
        <v>0</v>
      </c>
      <c r="B172" s="813">
        <v>10</v>
      </c>
      <c r="C172" s="813">
        <v>12.43</v>
      </c>
      <c r="E172" s="814">
        <v>10</v>
      </c>
      <c r="F172" s="814">
        <v>0.28277777777777774</v>
      </c>
      <c r="GW172" s="176"/>
      <c r="GX172" s="176"/>
      <c r="HC172" s="176"/>
    </row>
    <row r="173" spans="1:211">
      <c r="A173" s="176">
        <v>0</v>
      </c>
      <c r="B173" s="813">
        <v>12</v>
      </c>
      <c r="C173" s="813">
        <v>12.85</v>
      </c>
      <c r="E173" s="814">
        <v>12</v>
      </c>
      <c r="F173" s="814">
        <v>0.34</v>
      </c>
      <c r="HC173" s="176"/>
    </row>
    <row r="174" spans="1:211">
      <c r="A174" s="176">
        <v>0</v>
      </c>
      <c r="B174" s="813">
        <v>14</v>
      </c>
      <c r="C174" s="813">
        <v>13.26</v>
      </c>
      <c r="E174" s="814">
        <v>14</v>
      </c>
      <c r="F174" s="814">
        <v>0.39597222222222223</v>
      </c>
      <c r="HC174" s="176"/>
    </row>
    <row r="175" spans="1:211">
      <c r="A175" s="176">
        <v>0</v>
      </c>
      <c r="B175" s="813">
        <v>16</v>
      </c>
      <c r="C175" s="813">
        <v>13.68</v>
      </c>
      <c r="E175" s="814">
        <v>16</v>
      </c>
      <c r="F175" s="814">
        <v>0.45277777777777778</v>
      </c>
      <c r="HC175" s="176"/>
    </row>
    <row r="176" spans="1:211">
      <c r="A176" s="176">
        <v>0</v>
      </c>
      <c r="B176" s="176"/>
      <c r="HC176" s="176"/>
    </row>
    <row r="177" spans="1:211">
      <c r="A177" s="176">
        <v>0</v>
      </c>
      <c r="B177" s="816" t="s">
        <v>1739</v>
      </c>
      <c r="C177" s="816" t="s">
        <v>1740</v>
      </c>
      <c r="D177" s="816" t="s">
        <v>1741</v>
      </c>
      <c r="E177" s="816" t="s">
        <v>1735</v>
      </c>
      <c r="HC177" s="176"/>
    </row>
    <row r="178" spans="1:211">
      <c r="A178" s="176">
        <v>0</v>
      </c>
      <c r="B178" s="2556" t="s">
        <v>1742</v>
      </c>
      <c r="C178" s="816" t="s">
        <v>1743</v>
      </c>
      <c r="D178" s="817">
        <v>4</v>
      </c>
      <c r="E178" s="816">
        <v>4.3</v>
      </c>
      <c r="HC178" s="176"/>
    </row>
    <row r="179" spans="1:211">
      <c r="A179" s="176">
        <v>0</v>
      </c>
      <c r="B179" s="2557"/>
      <c r="C179" s="816" t="s">
        <v>1744</v>
      </c>
      <c r="D179" s="817">
        <v>6</v>
      </c>
      <c r="E179" s="816">
        <v>4.5</v>
      </c>
      <c r="HC179" s="176"/>
    </row>
    <row r="180" spans="1:211">
      <c r="A180" s="176">
        <v>0</v>
      </c>
      <c r="B180" s="2558"/>
      <c r="C180" s="816" t="s">
        <v>1745</v>
      </c>
      <c r="D180" s="817">
        <v>8</v>
      </c>
      <c r="E180" s="816">
        <v>4.8</v>
      </c>
      <c r="HC180" s="176"/>
    </row>
    <row r="181" spans="1:211">
      <c r="A181" s="176">
        <v>0</v>
      </c>
      <c r="B181" s="2556" t="s">
        <v>1742</v>
      </c>
      <c r="C181" s="2556" t="s">
        <v>1746</v>
      </c>
      <c r="D181" s="817">
        <v>4</v>
      </c>
      <c r="E181" s="816">
        <v>6.5</v>
      </c>
      <c r="HC181" s="176"/>
    </row>
    <row r="182" spans="1:211">
      <c r="A182" s="176">
        <v>0</v>
      </c>
      <c r="B182" s="2557">
        <v>0</v>
      </c>
      <c r="C182" s="2557"/>
      <c r="D182" s="817">
        <v>6</v>
      </c>
      <c r="E182" s="816">
        <v>6.8</v>
      </c>
      <c r="HC182" s="176"/>
    </row>
    <row r="183" spans="1:211">
      <c r="A183" s="176">
        <v>0</v>
      </c>
      <c r="B183" s="2558">
        <v>0</v>
      </c>
      <c r="C183" s="2558"/>
      <c r="D183" s="817">
        <v>8</v>
      </c>
      <c r="E183" s="816">
        <v>7.1</v>
      </c>
      <c r="HC183" s="176"/>
    </row>
    <row r="184" spans="1:211">
      <c r="A184" s="176">
        <v>0</v>
      </c>
      <c r="B184" s="2556" t="s">
        <v>1747</v>
      </c>
      <c r="C184" s="816" t="s">
        <v>1743</v>
      </c>
      <c r="D184" s="817">
        <v>4</v>
      </c>
      <c r="E184" s="816">
        <v>19</v>
      </c>
      <c r="HC184" s="176"/>
    </row>
    <row r="185" spans="1:211">
      <c r="A185" s="176">
        <v>0</v>
      </c>
      <c r="B185" s="2557">
        <v>0</v>
      </c>
      <c r="C185" s="816" t="s">
        <v>1744</v>
      </c>
      <c r="D185" s="817">
        <v>6</v>
      </c>
      <c r="E185" s="816">
        <v>20</v>
      </c>
      <c r="HC185" s="176"/>
    </row>
    <row r="186" spans="1:211">
      <c r="A186" s="176">
        <v>0</v>
      </c>
      <c r="B186" s="2558">
        <v>0</v>
      </c>
      <c r="C186" s="816" t="s">
        <v>1745</v>
      </c>
      <c r="D186" s="817">
        <v>8</v>
      </c>
      <c r="E186" s="816">
        <v>21</v>
      </c>
      <c r="HC186" s="176"/>
    </row>
    <row r="187" spans="1:211">
      <c r="A187" s="176">
        <v>0</v>
      </c>
      <c r="B187" s="2556" t="s">
        <v>1747</v>
      </c>
      <c r="C187" s="2556" t="s">
        <v>1746</v>
      </c>
      <c r="D187" s="817">
        <v>4</v>
      </c>
      <c r="E187" s="816">
        <v>26.6</v>
      </c>
      <c r="HC187" s="176"/>
    </row>
    <row r="188" spans="1:211">
      <c r="A188" s="176">
        <v>0</v>
      </c>
      <c r="B188" s="2557">
        <v>0</v>
      </c>
      <c r="C188" s="2557"/>
      <c r="D188" s="817">
        <v>6</v>
      </c>
      <c r="E188" s="816">
        <v>28</v>
      </c>
      <c r="HC188" s="176"/>
    </row>
    <row r="189" spans="1:211">
      <c r="A189" s="176">
        <v>0</v>
      </c>
      <c r="B189" s="2558">
        <v>0</v>
      </c>
      <c r="C189" s="2558"/>
      <c r="D189" s="817">
        <v>8</v>
      </c>
      <c r="E189" s="816">
        <v>29.4</v>
      </c>
      <c r="M189" s="176"/>
      <c r="HC189" s="176"/>
    </row>
    <row r="190" spans="1:211">
      <c r="A190" s="176">
        <v>0</v>
      </c>
      <c r="B190" s="176"/>
      <c r="M190" s="176"/>
      <c r="HC190" s="176"/>
    </row>
    <row r="191" spans="1:211">
      <c r="A191" s="176">
        <v>0</v>
      </c>
      <c r="B191" s="176"/>
      <c r="M191" s="176"/>
      <c r="HC191" s="176"/>
    </row>
    <row r="192" spans="1:211">
      <c r="A192" s="176">
        <v>0</v>
      </c>
      <c r="B192" s="818" t="s">
        <v>2196</v>
      </c>
      <c r="C192" s="818"/>
      <c r="D192" s="818"/>
      <c r="E192" s="818"/>
      <c r="F192" s="818"/>
      <c r="G192" s="818"/>
      <c r="H192" s="818"/>
      <c r="I192" s="818"/>
      <c r="J192" s="818"/>
      <c r="M192" s="176"/>
      <c r="HC192" s="176"/>
    </row>
    <row r="193" spans="1:211">
      <c r="A193" s="176">
        <v>0</v>
      </c>
      <c r="B193" s="2550"/>
      <c r="C193" s="2550"/>
      <c r="D193" s="2551"/>
      <c r="E193" s="2559" t="s">
        <v>2197</v>
      </c>
      <c r="F193" s="2560"/>
      <c r="G193" s="2561" t="s">
        <v>2198</v>
      </c>
      <c r="H193" s="2562"/>
      <c r="I193" s="818"/>
      <c r="J193" s="818"/>
      <c r="M193" s="176"/>
      <c r="HC193" s="176"/>
    </row>
    <row r="194" spans="1:211">
      <c r="A194" s="176">
        <v>0</v>
      </c>
      <c r="B194" s="2543" t="s">
        <v>1750</v>
      </c>
      <c r="C194" s="2544"/>
      <c r="D194" s="2545"/>
      <c r="E194" s="2554">
        <v>4</v>
      </c>
      <c r="F194" s="2555"/>
      <c r="G194" s="2552">
        <v>4.3</v>
      </c>
      <c r="H194" s="2553"/>
      <c r="I194" s="818"/>
      <c r="J194" s="818"/>
      <c r="M194" s="176"/>
      <c r="HC194" s="176"/>
    </row>
    <row r="195" spans="1:211">
      <c r="A195" s="176">
        <v>0</v>
      </c>
      <c r="B195" s="2546"/>
      <c r="C195" s="2547"/>
      <c r="D195" s="2548"/>
      <c r="E195" s="2554">
        <v>6</v>
      </c>
      <c r="F195" s="2555"/>
      <c r="G195" s="2552">
        <v>4.5</v>
      </c>
      <c r="H195" s="2553"/>
      <c r="I195" s="818"/>
      <c r="J195" s="818"/>
      <c r="M195" s="176"/>
      <c r="HC195" s="176"/>
    </row>
    <row r="196" spans="1:211">
      <c r="A196" s="176">
        <v>0</v>
      </c>
      <c r="B196" s="2549"/>
      <c r="C196" s="2550"/>
      <c r="D196" s="2551"/>
      <c r="E196" s="2554">
        <v>8</v>
      </c>
      <c r="F196" s="2555"/>
      <c r="G196" s="2552">
        <v>4.8</v>
      </c>
      <c r="H196" s="2553"/>
      <c r="I196" s="818"/>
      <c r="J196" s="818"/>
      <c r="M196" s="176"/>
      <c r="HC196" s="176"/>
    </row>
    <row r="197" spans="1:211">
      <c r="A197" s="176">
        <v>0</v>
      </c>
      <c r="B197" s="2564"/>
      <c r="C197" s="2564"/>
      <c r="D197" s="2565"/>
      <c r="E197" s="2566"/>
      <c r="F197" s="2564"/>
      <c r="G197" s="2564"/>
      <c r="H197" s="2565"/>
      <c r="I197" s="818"/>
      <c r="J197" s="818"/>
      <c r="M197" s="176"/>
      <c r="HC197" s="176"/>
    </row>
    <row r="198" spans="1:211">
      <c r="A198" s="176">
        <v>0</v>
      </c>
      <c r="B198" s="2567" t="s">
        <v>2199</v>
      </c>
      <c r="C198" s="2544"/>
      <c r="D198" s="2545"/>
      <c r="E198" s="2568">
        <v>4</v>
      </c>
      <c r="F198" s="2569"/>
      <c r="G198" s="2552">
        <v>6.5</v>
      </c>
      <c r="H198" s="2553"/>
      <c r="I198" s="818"/>
      <c r="J198" s="818"/>
      <c r="M198" s="176"/>
      <c r="HC198" s="176"/>
    </row>
    <row r="199" spans="1:211">
      <c r="A199" s="176">
        <v>0</v>
      </c>
      <c r="B199" s="2546"/>
      <c r="C199" s="2547"/>
      <c r="D199" s="2548"/>
      <c r="E199" s="2568">
        <v>6</v>
      </c>
      <c r="F199" s="2569"/>
      <c r="G199" s="2552">
        <v>6.8</v>
      </c>
      <c r="H199" s="2553"/>
      <c r="I199" s="818"/>
      <c r="J199" s="818"/>
      <c r="M199" s="176"/>
      <c r="HC199" s="176"/>
    </row>
    <row r="200" spans="1:211">
      <c r="A200" s="176">
        <v>0</v>
      </c>
      <c r="B200" s="2549"/>
      <c r="C200" s="2550"/>
      <c r="D200" s="2551"/>
      <c r="E200" s="2568">
        <v>8</v>
      </c>
      <c r="F200" s="2569"/>
      <c r="G200" s="2552">
        <v>7.1</v>
      </c>
      <c r="H200" s="2553"/>
      <c r="I200" s="818"/>
      <c r="J200" s="818"/>
      <c r="M200" s="176"/>
      <c r="HC200" s="176"/>
    </row>
    <row r="201" spans="1:211">
      <c r="A201" s="176">
        <v>0</v>
      </c>
      <c r="B201" s="818" t="s">
        <v>2200</v>
      </c>
      <c r="C201" s="818"/>
      <c r="D201" s="818"/>
      <c r="E201" s="818"/>
      <c r="F201" s="818"/>
      <c r="G201" s="818"/>
      <c r="H201" s="818"/>
      <c r="I201" s="818"/>
      <c r="J201" s="818"/>
      <c r="M201" s="176"/>
      <c r="HC201" s="176"/>
    </row>
    <row r="202" spans="1:211">
      <c r="A202" s="176">
        <v>0</v>
      </c>
      <c r="B202" s="2550"/>
      <c r="C202" s="2550"/>
      <c r="D202" s="2551"/>
      <c r="E202" s="2559" t="s">
        <v>2197</v>
      </c>
      <c r="F202" s="2560"/>
      <c r="G202" s="2561" t="s">
        <v>2198</v>
      </c>
      <c r="H202" s="2562"/>
      <c r="I202" s="818"/>
      <c r="J202" s="818"/>
      <c r="M202" s="176"/>
      <c r="HC202" s="176"/>
    </row>
    <row r="203" spans="1:211" ht="17.25" customHeight="1">
      <c r="A203" s="176">
        <v>0</v>
      </c>
      <c r="B203" s="2543" t="s">
        <v>1753</v>
      </c>
      <c r="C203" s="2544"/>
      <c r="D203" s="2545"/>
      <c r="E203" s="2568">
        <v>4</v>
      </c>
      <c r="F203" s="2569"/>
      <c r="G203" s="2552">
        <v>20.6</v>
      </c>
      <c r="H203" s="2553"/>
      <c r="I203" s="818"/>
      <c r="J203" s="818"/>
      <c r="M203" s="176"/>
      <c r="HC203" s="176"/>
    </row>
    <row r="204" spans="1:211">
      <c r="A204" s="176">
        <v>0</v>
      </c>
      <c r="B204" s="2546"/>
      <c r="C204" s="2547"/>
      <c r="D204" s="2548"/>
      <c r="E204" s="2568">
        <v>6</v>
      </c>
      <c r="F204" s="2569"/>
      <c r="G204" s="2552">
        <v>21.6</v>
      </c>
      <c r="H204" s="2553"/>
      <c r="I204" s="818"/>
      <c r="J204" s="818"/>
      <c r="M204" s="176"/>
      <c r="HC204" s="176"/>
    </row>
    <row r="205" spans="1:211">
      <c r="A205" s="176">
        <v>0</v>
      </c>
      <c r="B205" s="2549"/>
      <c r="C205" s="2550"/>
      <c r="D205" s="2551"/>
      <c r="E205" s="2568">
        <v>8</v>
      </c>
      <c r="F205" s="2569"/>
      <c r="G205" s="2552">
        <v>22.7</v>
      </c>
      <c r="H205" s="2553"/>
      <c r="I205" s="818"/>
      <c r="J205" s="818"/>
      <c r="M205" s="176"/>
      <c r="HC205" s="176"/>
    </row>
    <row r="206" spans="1:211">
      <c r="A206" s="176">
        <v>0</v>
      </c>
      <c r="B206" s="2564"/>
      <c r="C206" s="2564"/>
      <c r="D206" s="2565"/>
      <c r="E206" s="2566"/>
      <c r="F206" s="2564"/>
      <c r="G206" s="2564"/>
      <c r="H206" s="2565"/>
      <c r="I206" s="818"/>
      <c r="J206" s="818"/>
      <c r="M206" s="176"/>
      <c r="HC206" s="176"/>
    </row>
    <row r="207" spans="1:211">
      <c r="A207" s="176">
        <v>0</v>
      </c>
      <c r="B207" s="2567" t="s">
        <v>2201</v>
      </c>
      <c r="C207" s="2544"/>
      <c r="D207" s="2545"/>
      <c r="E207" s="2568">
        <v>4</v>
      </c>
      <c r="F207" s="2569"/>
      <c r="G207" s="2552">
        <v>30.8</v>
      </c>
      <c r="H207" s="2553"/>
      <c r="I207" s="818"/>
      <c r="J207" s="818"/>
      <c r="M207" s="176"/>
      <c r="HC207" s="176"/>
    </row>
    <row r="208" spans="1:211">
      <c r="A208" s="176">
        <v>0</v>
      </c>
      <c r="B208" s="2546"/>
      <c r="C208" s="2547"/>
      <c r="D208" s="2548"/>
      <c r="E208" s="2568">
        <v>6</v>
      </c>
      <c r="F208" s="2569"/>
      <c r="G208" s="2552">
        <v>32.4</v>
      </c>
      <c r="H208" s="2553"/>
      <c r="I208" s="818"/>
      <c r="J208" s="818"/>
      <c r="M208" s="176"/>
      <c r="HC208" s="176"/>
    </row>
    <row r="209" spans="1:211">
      <c r="A209" s="176">
        <v>0</v>
      </c>
      <c r="B209" s="2549"/>
      <c r="C209" s="2550"/>
      <c r="D209" s="2551"/>
      <c r="E209" s="2568">
        <v>8</v>
      </c>
      <c r="F209" s="2569"/>
      <c r="G209" s="2552">
        <v>34</v>
      </c>
      <c r="H209" s="2553"/>
      <c r="I209" s="818"/>
      <c r="J209" s="818"/>
      <c r="M209" s="176"/>
      <c r="HC209" s="176"/>
    </row>
    <row r="210" spans="1:211">
      <c r="A210" s="176">
        <v>0</v>
      </c>
      <c r="B210" s="176"/>
      <c r="M210" s="176"/>
      <c r="HC210" s="176"/>
    </row>
    <row r="211" spans="1:211">
      <c r="A211" s="176">
        <v>0</v>
      </c>
      <c r="B211" s="176"/>
      <c r="M211" s="176"/>
      <c r="HC211" s="176"/>
    </row>
    <row r="212" spans="1:211">
      <c r="A212" s="176">
        <v>0</v>
      </c>
      <c r="B212" s="176"/>
      <c r="M212" s="176"/>
      <c r="HC212" s="176"/>
    </row>
    <row r="213" spans="1:211">
      <c r="A213" s="176">
        <v>0</v>
      </c>
      <c r="B213" s="818" t="s">
        <v>2202</v>
      </c>
      <c r="C213" s="818"/>
      <c r="D213" s="818"/>
      <c r="E213" s="818"/>
      <c r="F213" s="818"/>
      <c r="G213" s="818"/>
      <c r="H213" s="818"/>
      <c r="I213" s="818"/>
      <c r="J213" s="818"/>
      <c r="M213" s="176"/>
      <c r="HC213" s="176"/>
    </row>
    <row r="214" spans="1:211">
      <c r="A214" s="176">
        <v>0</v>
      </c>
      <c r="B214" s="818" t="s">
        <v>2203</v>
      </c>
      <c r="C214" s="818"/>
      <c r="D214" s="818"/>
      <c r="E214" s="818"/>
      <c r="F214" s="818"/>
      <c r="G214" s="818"/>
      <c r="H214" s="818"/>
      <c r="I214" s="818"/>
      <c r="J214" s="818"/>
      <c r="M214" s="176"/>
      <c r="HC214" s="176"/>
    </row>
    <row r="215" spans="1:211">
      <c r="A215" s="176">
        <v>0</v>
      </c>
      <c r="B215" s="819"/>
      <c r="C215" s="820">
        <v>8</v>
      </c>
      <c r="D215" s="2570">
        <v>10</v>
      </c>
      <c r="E215" s="2571"/>
      <c r="F215" s="2570">
        <v>12</v>
      </c>
      <c r="G215" s="2571"/>
      <c r="H215" s="2570">
        <v>14</v>
      </c>
      <c r="I215" s="2571"/>
      <c r="J215" s="820">
        <v>16</v>
      </c>
      <c r="M215" s="176"/>
      <c r="HC215" s="176"/>
    </row>
    <row r="216" spans="1:211">
      <c r="A216" s="176">
        <v>0</v>
      </c>
      <c r="B216" s="821" t="s">
        <v>2197</v>
      </c>
      <c r="C216" s="822" t="s">
        <v>2204</v>
      </c>
      <c r="D216" s="2561" t="s">
        <v>2204</v>
      </c>
      <c r="E216" s="2562"/>
      <c r="F216" s="2561" t="s">
        <v>2204</v>
      </c>
      <c r="G216" s="2562"/>
      <c r="H216" s="2561" t="s">
        <v>2204</v>
      </c>
      <c r="I216" s="2562"/>
      <c r="J216" s="822" t="s">
        <v>2204</v>
      </c>
      <c r="M216" s="176"/>
      <c r="HC216" s="176"/>
    </row>
    <row r="217" spans="1:211">
      <c r="A217" s="176">
        <v>0</v>
      </c>
      <c r="B217" s="818" t="s">
        <v>2205</v>
      </c>
      <c r="C217" s="818"/>
      <c r="D217" s="818"/>
      <c r="E217" s="818"/>
      <c r="F217" s="818"/>
      <c r="G217" s="818"/>
      <c r="H217" s="818"/>
      <c r="I217" s="818"/>
      <c r="J217" s="818"/>
      <c r="M217" s="176"/>
      <c r="HC217" s="176"/>
    </row>
    <row r="218" spans="1:211">
      <c r="A218" s="176">
        <v>0</v>
      </c>
      <c r="B218" s="823">
        <v>4</v>
      </c>
      <c r="C218" s="824">
        <v>0.7</v>
      </c>
      <c r="D218" s="2552">
        <v>0.9</v>
      </c>
      <c r="E218" s="2553"/>
      <c r="F218" s="2552">
        <v>1.1000000000000001</v>
      </c>
      <c r="G218" s="2553"/>
      <c r="H218" s="2552">
        <v>1.3</v>
      </c>
      <c r="I218" s="2553"/>
      <c r="J218" s="824">
        <v>1.4</v>
      </c>
      <c r="M218" s="176"/>
      <c r="HC218" s="176"/>
    </row>
    <row r="219" spans="1:211">
      <c r="A219" s="176">
        <v>0</v>
      </c>
      <c r="B219" s="823">
        <v>6</v>
      </c>
      <c r="C219" s="824">
        <v>1.1000000000000001</v>
      </c>
      <c r="D219" s="2552">
        <v>1.4</v>
      </c>
      <c r="E219" s="2553"/>
      <c r="F219" s="2552">
        <v>1.6</v>
      </c>
      <c r="G219" s="2553"/>
      <c r="H219" s="2552">
        <v>1.9</v>
      </c>
      <c r="I219" s="2553"/>
      <c r="J219" s="824">
        <v>2.2000000000000002</v>
      </c>
      <c r="M219" s="176"/>
      <c r="HC219" s="176"/>
    </row>
    <row r="220" spans="1:211">
      <c r="A220" s="176">
        <v>0</v>
      </c>
      <c r="B220" s="825">
        <v>8</v>
      </c>
      <c r="C220" s="826">
        <v>1.4</v>
      </c>
      <c r="D220" s="2572">
        <v>1.8</v>
      </c>
      <c r="E220" s="2573"/>
      <c r="F220" s="2572">
        <v>2.2000000000000002</v>
      </c>
      <c r="G220" s="2573"/>
      <c r="H220" s="2572">
        <v>2.5</v>
      </c>
      <c r="I220" s="2573"/>
      <c r="J220" s="826">
        <v>2.9</v>
      </c>
      <c r="M220" s="176"/>
      <c r="HC220" s="176"/>
    </row>
    <row r="221" spans="1:211">
      <c r="A221" s="176">
        <v>0</v>
      </c>
      <c r="B221" s="827" t="s">
        <v>1755</v>
      </c>
      <c r="C221" s="828">
        <v>0.2268</v>
      </c>
      <c r="D221" s="828">
        <v>0.28277777777777774</v>
      </c>
      <c r="E221" s="828"/>
      <c r="F221" s="828">
        <v>0.34</v>
      </c>
      <c r="G221" s="828"/>
      <c r="H221" s="828">
        <v>0.39597222222222223</v>
      </c>
      <c r="I221" s="829"/>
      <c r="J221" s="829"/>
      <c r="M221" s="176"/>
      <c r="HC221" s="176"/>
    </row>
    <row r="222" spans="1:211">
      <c r="A222" s="176">
        <v>0</v>
      </c>
      <c r="B222" s="176"/>
      <c r="M222" s="176"/>
      <c r="HC222" s="176"/>
    </row>
    <row r="223" spans="1:211">
      <c r="A223" s="176">
        <v>0</v>
      </c>
      <c r="D223"/>
      <c r="E223"/>
      <c r="F223"/>
      <c r="G223"/>
      <c r="M223" s="176"/>
      <c r="HC223" s="176"/>
    </row>
    <row r="224" spans="1:211">
      <c r="A224" s="176">
        <v>0</v>
      </c>
      <c r="D224"/>
      <c r="E224"/>
      <c r="F224"/>
      <c r="G224"/>
      <c r="M224" s="176"/>
      <c r="HC224" s="176"/>
    </row>
    <row r="225" spans="1:211">
      <c r="A225" s="176">
        <v>0</v>
      </c>
      <c r="D225"/>
      <c r="E225"/>
      <c r="F225"/>
      <c r="G225"/>
      <c r="M225" s="176"/>
      <c r="HC225" s="176"/>
    </row>
    <row r="226" spans="1:211">
      <c r="A226" s="176">
        <v>0</v>
      </c>
      <c r="D226"/>
      <c r="E226"/>
      <c r="F226"/>
      <c r="G226"/>
      <c r="M226" s="176"/>
      <c r="HC226" s="176"/>
    </row>
    <row r="227" spans="1:211" ht="17.25" thickBot="1">
      <c r="A227" s="176">
        <v>0</v>
      </c>
      <c r="B227" s="176"/>
      <c r="M227" s="176"/>
      <c r="HC227" s="176"/>
    </row>
    <row r="228" spans="1:211" ht="17.25" thickBot="1">
      <c r="A228" s="176">
        <v>0</v>
      </c>
      <c r="B228" s="176"/>
      <c r="C228" s="891" t="s">
        <v>2488</v>
      </c>
      <c r="D228" s="892" t="s">
        <v>2481</v>
      </c>
      <c r="E228" s="892" t="s">
        <v>2482</v>
      </c>
      <c r="F228" s="892" t="s">
        <v>2483</v>
      </c>
      <c r="G228" s="892" t="s">
        <v>2484</v>
      </c>
      <c r="M228" s="176"/>
      <c r="HC228" s="176"/>
    </row>
    <row r="229" spans="1:211" ht="17.25" thickBot="1">
      <c r="A229" s="176">
        <v>0</v>
      </c>
      <c r="B229" s="891">
        <v>0</v>
      </c>
      <c r="C229" s="891" t="s">
        <v>2487</v>
      </c>
      <c r="D229" s="891" t="s">
        <v>2487</v>
      </c>
      <c r="E229" s="891" t="s">
        <v>2487</v>
      </c>
      <c r="F229" s="891" t="s">
        <v>2487</v>
      </c>
      <c r="G229" s="891" t="s">
        <v>2487</v>
      </c>
      <c r="M229" s="176"/>
      <c r="HC229" s="176"/>
    </row>
    <row r="230" spans="1:211" ht="18.75" thickBot="1">
      <c r="A230" s="176" t="s">
        <v>2485</v>
      </c>
      <c r="B230" s="889">
        <v>0.5</v>
      </c>
      <c r="C230" s="889">
        <v>1</v>
      </c>
      <c r="D230" s="888">
        <v>134</v>
      </c>
      <c r="E230" s="890">
        <v>0</v>
      </c>
      <c r="F230" s="890">
        <v>0</v>
      </c>
      <c r="G230" s="890">
        <v>0</v>
      </c>
      <c r="M230" s="176"/>
      <c r="HC230" s="176"/>
    </row>
    <row r="231" spans="1:211" ht="18.75" thickBot="1">
      <c r="A231" s="176">
        <v>0</v>
      </c>
      <c r="B231" s="889">
        <f>C230</f>
        <v>1</v>
      </c>
      <c r="C231" s="889">
        <v>2</v>
      </c>
      <c r="D231" s="888">
        <v>140</v>
      </c>
      <c r="E231" s="890">
        <v>0</v>
      </c>
      <c r="F231" s="890">
        <v>0</v>
      </c>
      <c r="G231" s="890">
        <v>0</v>
      </c>
      <c r="M231" s="176"/>
      <c r="HC231" s="176"/>
    </row>
    <row r="232" spans="1:211" ht="18.75" thickBot="1">
      <c r="A232" s="176">
        <v>0</v>
      </c>
      <c r="B232" s="889">
        <f>C231</f>
        <v>2</v>
      </c>
      <c r="C232" s="889">
        <v>3</v>
      </c>
      <c r="D232" s="888">
        <v>140</v>
      </c>
      <c r="E232" s="890">
        <v>0</v>
      </c>
      <c r="F232" s="890">
        <v>0</v>
      </c>
      <c r="G232" s="890">
        <v>0</v>
      </c>
      <c r="M232" s="176"/>
      <c r="HC232" s="176"/>
    </row>
    <row r="233" spans="1:211" ht="18.75" thickBot="1">
      <c r="A233" s="176">
        <v>0</v>
      </c>
      <c r="B233" s="889">
        <f t="shared" ref="B233:B261" si="14">C232</f>
        <v>3</v>
      </c>
      <c r="C233" s="889">
        <v>4</v>
      </c>
      <c r="D233" s="888">
        <v>171</v>
      </c>
      <c r="E233" s="890">
        <v>0</v>
      </c>
      <c r="F233" s="890">
        <v>0</v>
      </c>
      <c r="G233" s="890">
        <v>0</v>
      </c>
      <c r="M233" s="176"/>
      <c r="HC233" s="176"/>
    </row>
    <row r="234" spans="1:211" ht="18.75" thickBot="1">
      <c r="A234" s="176">
        <v>0</v>
      </c>
      <c r="B234" s="889">
        <f t="shared" si="14"/>
        <v>4</v>
      </c>
      <c r="C234" s="889">
        <v>5</v>
      </c>
      <c r="D234" s="888">
        <v>177</v>
      </c>
      <c r="E234" s="888">
        <v>205</v>
      </c>
      <c r="F234" s="888">
        <v>236</v>
      </c>
      <c r="G234" s="890">
        <v>0</v>
      </c>
      <c r="M234" s="176"/>
      <c r="HC234" s="176"/>
    </row>
    <row r="235" spans="1:211" ht="18.75" thickBot="1">
      <c r="A235" s="176">
        <v>0</v>
      </c>
      <c r="B235" s="889">
        <f t="shared" si="14"/>
        <v>5</v>
      </c>
      <c r="C235" s="889">
        <v>6</v>
      </c>
      <c r="D235" s="888">
        <v>180</v>
      </c>
      <c r="E235" s="888">
        <v>208</v>
      </c>
      <c r="F235" s="888">
        <v>239</v>
      </c>
      <c r="G235" s="890">
        <v>0</v>
      </c>
      <c r="M235" s="176"/>
      <c r="HC235" s="176"/>
    </row>
    <row r="236" spans="1:211" ht="18.75" thickBot="1">
      <c r="A236" s="176">
        <v>0</v>
      </c>
      <c r="B236" s="889">
        <f t="shared" si="14"/>
        <v>6</v>
      </c>
      <c r="C236" s="889">
        <v>9</v>
      </c>
      <c r="D236" s="888">
        <v>186</v>
      </c>
      <c r="E236" s="888">
        <v>267</v>
      </c>
      <c r="F236" s="888">
        <v>280</v>
      </c>
      <c r="G236" s="890">
        <v>0</v>
      </c>
      <c r="M236" s="176"/>
      <c r="HC236" s="176"/>
    </row>
    <row r="237" spans="1:211" ht="18.75" thickBot="1">
      <c r="A237" s="176">
        <v>0</v>
      </c>
      <c r="B237" s="889">
        <f t="shared" si="14"/>
        <v>9</v>
      </c>
      <c r="C237" s="889">
        <v>10</v>
      </c>
      <c r="D237" s="888">
        <v>202</v>
      </c>
      <c r="E237" s="888">
        <v>277</v>
      </c>
      <c r="F237" s="888">
        <v>283</v>
      </c>
      <c r="G237" s="890">
        <v>0</v>
      </c>
      <c r="M237" s="176"/>
      <c r="HC237" s="176"/>
    </row>
    <row r="238" spans="1:211" ht="18.75" thickBot="1">
      <c r="A238" s="176">
        <v>0</v>
      </c>
      <c r="B238" s="889">
        <f t="shared" si="14"/>
        <v>10</v>
      </c>
      <c r="C238" s="889">
        <v>12</v>
      </c>
      <c r="D238" s="888">
        <v>202</v>
      </c>
      <c r="E238" s="888">
        <v>277</v>
      </c>
      <c r="F238" s="888">
        <v>283</v>
      </c>
      <c r="G238" s="888">
        <v>314</v>
      </c>
      <c r="M238" s="176"/>
      <c r="HC238" s="176"/>
    </row>
    <row r="239" spans="1:211" ht="18.75" thickBot="1">
      <c r="A239" s="176">
        <v>0</v>
      </c>
      <c r="B239" s="889">
        <f t="shared" si="14"/>
        <v>12</v>
      </c>
      <c r="C239" s="889">
        <v>15</v>
      </c>
      <c r="D239" s="888">
        <v>221</v>
      </c>
      <c r="E239" s="888">
        <v>283</v>
      </c>
      <c r="F239" s="888">
        <v>367</v>
      </c>
      <c r="G239" s="888">
        <v>419</v>
      </c>
      <c r="M239" s="176"/>
      <c r="HC239" s="176"/>
    </row>
    <row r="240" spans="1:211" ht="18.75" thickBot="1">
      <c r="A240" s="176">
        <v>0</v>
      </c>
      <c r="B240" s="889">
        <f t="shared" si="14"/>
        <v>15</v>
      </c>
      <c r="C240" s="889">
        <v>18</v>
      </c>
      <c r="D240" s="888">
        <v>255</v>
      </c>
      <c r="E240" s="888">
        <v>289</v>
      </c>
      <c r="F240" s="888">
        <v>392</v>
      </c>
      <c r="G240" s="888">
        <v>469</v>
      </c>
      <c r="M240" s="176"/>
      <c r="HC240" s="176"/>
    </row>
    <row r="241" spans="1:211" ht="18.75" thickBot="1">
      <c r="A241" s="176">
        <v>0</v>
      </c>
      <c r="B241" s="889">
        <f t="shared" si="14"/>
        <v>18</v>
      </c>
      <c r="C241" s="889">
        <v>20</v>
      </c>
      <c r="D241" s="888">
        <v>308</v>
      </c>
      <c r="E241" s="888">
        <v>317</v>
      </c>
      <c r="F241" s="888">
        <v>413</v>
      </c>
      <c r="G241" s="888">
        <v>475</v>
      </c>
      <c r="M241" s="176"/>
      <c r="HC241" s="176"/>
    </row>
    <row r="242" spans="1:211" ht="18.75" thickBot="1">
      <c r="A242" s="176">
        <v>0</v>
      </c>
      <c r="B242" s="889">
        <f t="shared" si="14"/>
        <v>20</v>
      </c>
      <c r="C242" s="889">
        <v>21</v>
      </c>
      <c r="D242" s="888">
        <v>308</v>
      </c>
      <c r="E242" s="888">
        <v>317</v>
      </c>
      <c r="F242" s="888">
        <v>413</v>
      </c>
      <c r="G242" s="888">
        <v>475</v>
      </c>
      <c r="M242" s="176"/>
      <c r="HC242" s="176"/>
    </row>
    <row r="243" spans="1:211" ht="18.75" thickBot="1">
      <c r="A243" s="176">
        <v>0</v>
      </c>
      <c r="B243" s="889">
        <f t="shared" si="14"/>
        <v>21</v>
      </c>
      <c r="C243" s="889">
        <v>25</v>
      </c>
      <c r="D243" s="888">
        <v>332</v>
      </c>
      <c r="E243" s="888">
        <v>342</v>
      </c>
      <c r="F243" s="888">
        <v>423</v>
      </c>
      <c r="G243" s="888">
        <v>485</v>
      </c>
      <c r="M243" s="176"/>
      <c r="HC243" s="176"/>
    </row>
    <row r="244" spans="1:211" ht="18.75" thickBot="1">
      <c r="A244" s="176">
        <v>0</v>
      </c>
      <c r="B244" s="889">
        <f t="shared" si="14"/>
        <v>25</v>
      </c>
      <c r="C244" s="889">
        <v>30</v>
      </c>
      <c r="D244" s="888">
        <v>364</v>
      </c>
      <c r="E244" s="888">
        <v>404</v>
      </c>
      <c r="F244" s="888">
        <v>435</v>
      </c>
      <c r="G244" s="888">
        <v>503</v>
      </c>
      <c r="M244" s="176"/>
      <c r="HC244" s="176"/>
    </row>
    <row r="245" spans="1:211" ht="18.75" thickBot="1">
      <c r="A245" s="176">
        <v>0</v>
      </c>
      <c r="B245" s="889">
        <f t="shared" si="14"/>
        <v>30</v>
      </c>
      <c r="C245" s="889">
        <v>35</v>
      </c>
      <c r="D245" s="888">
        <v>438</v>
      </c>
      <c r="E245" s="888">
        <v>485</v>
      </c>
      <c r="F245" s="888">
        <v>509</v>
      </c>
      <c r="G245" s="888">
        <v>513</v>
      </c>
      <c r="M245" s="176"/>
      <c r="HC245" s="176"/>
    </row>
    <row r="246" spans="1:211" ht="18.75" thickBot="1">
      <c r="A246" s="176">
        <v>0</v>
      </c>
      <c r="B246" s="889">
        <f t="shared" si="14"/>
        <v>35</v>
      </c>
      <c r="C246" s="889">
        <v>40</v>
      </c>
      <c r="D246" s="888">
        <v>479</v>
      </c>
      <c r="E246" s="888">
        <v>575</v>
      </c>
      <c r="F246" s="888">
        <v>632</v>
      </c>
      <c r="G246" s="888">
        <v>696</v>
      </c>
      <c r="M246" s="176"/>
      <c r="HC246" s="176"/>
    </row>
    <row r="247" spans="1:211" ht="18.75" thickBot="1">
      <c r="A247" s="176">
        <v>0</v>
      </c>
      <c r="B247" s="889">
        <f t="shared" si="14"/>
        <v>40</v>
      </c>
      <c r="C247" s="889">
        <v>45</v>
      </c>
      <c r="D247" s="888">
        <v>503</v>
      </c>
      <c r="E247" s="888">
        <v>594</v>
      </c>
      <c r="F247" s="888">
        <v>653</v>
      </c>
      <c r="G247" s="888">
        <v>718</v>
      </c>
      <c r="M247" s="176"/>
      <c r="HC247" s="176"/>
    </row>
    <row r="248" spans="1:211" ht="18.75" thickBot="1">
      <c r="A248" s="176">
        <v>0</v>
      </c>
      <c r="B248" s="889">
        <f t="shared" si="14"/>
        <v>45</v>
      </c>
      <c r="C248" s="889">
        <v>50</v>
      </c>
      <c r="D248" s="888">
        <v>544</v>
      </c>
      <c r="E248" s="888">
        <v>609</v>
      </c>
      <c r="F248" s="888">
        <v>670</v>
      </c>
      <c r="G248" s="888">
        <v>737</v>
      </c>
      <c r="M248" s="176"/>
      <c r="HC248" s="176"/>
    </row>
    <row r="249" spans="1:211" ht="18.75" thickBot="1">
      <c r="A249" s="176">
        <v>0</v>
      </c>
      <c r="B249" s="889">
        <f t="shared" si="14"/>
        <v>50</v>
      </c>
      <c r="C249" s="889">
        <v>55</v>
      </c>
      <c r="D249" s="890">
        <v>0</v>
      </c>
      <c r="E249" s="888">
        <v>693</v>
      </c>
      <c r="F249" s="888">
        <v>762</v>
      </c>
      <c r="G249" s="888">
        <v>838</v>
      </c>
      <c r="M249" s="176"/>
      <c r="HC249" s="176"/>
    </row>
    <row r="250" spans="1:211" ht="18.75" thickBot="1">
      <c r="A250" s="176">
        <v>0</v>
      </c>
      <c r="B250" s="889">
        <f t="shared" si="14"/>
        <v>55</v>
      </c>
      <c r="C250" s="889">
        <v>60</v>
      </c>
      <c r="D250" s="890">
        <v>0</v>
      </c>
      <c r="E250" s="888">
        <v>743</v>
      </c>
      <c r="F250" s="888">
        <v>842</v>
      </c>
      <c r="G250" s="888">
        <v>926</v>
      </c>
      <c r="M250" s="176"/>
      <c r="HC250" s="176"/>
    </row>
    <row r="251" spans="1:211" ht="18.75" thickBot="1">
      <c r="A251" s="176">
        <v>0</v>
      </c>
      <c r="B251" s="889">
        <f t="shared" si="14"/>
        <v>60</v>
      </c>
      <c r="C251" s="889">
        <v>65</v>
      </c>
      <c r="D251" s="890">
        <v>0</v>
      </c>
      <c r="E251" s="888">
        <v>823</v>
      </c>
      <c r="F251" s="888">
        <v>917</v>
      </c>
      <c r="G251" s="888">
        <v>932</v>
      </c>
      <c r="M251" s="176"/>
      <c r="HC251" s="176"/>
    </row>
    <row r="252" spans="1:211" ht="18.75" thickBot="1">
      <c r="A252" s="176">
        <v>0</v>
      </c>
      <c r="B252" s="889">
        <f t="shared" si="14"/>
        <v>65</v>
      </c>
      <c r="C252" s="889">
        <v>70</v>
      </c>
      <c r="D252" s="890">
        <v>0</v>
      </c>
      <c r="E252" s="888">
        <v>848</v>
      </c>
      <c r="F252" s="888">
        <v>933</v>
      </c>
      <c r="G252" s="888">
        <v>938</v>
      </c>
      <c r="M252" s="176"/>
      <c r="HC252" s="176"/>
    </row>
    <row r="253" spans="1:211" ht="18.75" thickBot="1">
      <c r="A253" s="176">
        <v>0</v>
      </c>
      <c r="B253" s="889">
        <f t="shared" si="14"/>
        <v>70</v>
      </c>
      <c r="C253" s="889">
        <v>75</v>
      </c>
      <c r="D253" s="890">
        <v>0</v>
      </c>
      <c r="E253" s="888">
        <v>901</v>
      </c>
      <c r="F253" s="888">
        <v>994</v>
      </c>
      <c r="G253" s="888">
        <v>1001</v>
      </c>
      <c r="M253" s="176"/>
      <c r="HC253" s="176"/>
    </row>
    <row r="254" spans="1:211" ht="18.75" thickBot="1">
      <c r="A254" s="176">
        <v>0</v>
      </c>
      <c r="B254" s="889">
        <f t="shared" si="14"/>
        <v>75</v>
      </c>
      <c r="C254" s="889">
        <v>80</v>
      </c>
      <c r="D254" s="890">
        <v>0</v>
      </c>
      <c r="E254" s="888">
        <v>942</v>
      </c>
      <c r="F254" s="888">
        <v>997</v>
      </c>
      <c r="G254" s="888">
        <v>1004</v>
      </c>
      <c r="M254" s="176"/>
    </row>
    <row r="255" spans="1:211" ht="18.75" thickBot="1">
      <c r="A255" s="176">
        <v>0</v>
      </c>
      <c r="B255" s="889">
        <f t="shared" si="14"/>
        <v>80</v>
      </c>
      <c r="C255" s="889">
        <v>85</v>
      </c>
      <c r="D255" s="890">
        <v>0</v>
      </c>
      <c r="E255" s="888">
        <v>948</v>
      </c>
      <c r="F255" s="888">
        <v>1072</v>
      </c>
      <c r="G255" s="888">
        <v>1081</v>
      </c>
      <c r="M255" s="176"/>
    </row>
    <row r="256" spans="1:211" ht="18.75" thickBot="1">
      <c r="A256" s="176">
        <v>0</v>
      </c>
      <c r="B256" s="889">
        <f t="shared" si="14"/>
        <v>85</v>
      </c>
      <c r="C256" s="889">
        <v>90</v>
      </c>
      <c r="D256" s="890">
        <v>0</v>
      </c>
      <c r="E256" s="888">
        <v>966</v>
      </c>
      <c r="F256" s="888">
        <v>1084</v>
      </c>
      <c r="G256" s="888">
        <v>1088</v>
      </c>
      <c r="M256" s="176"/>
    </row>
    <row r="257" spans="1:13" ht="18.75" thickBot="1">
      <c r="A257" s="176">
        <v>0</v>
      </c>
      <c r="B257" s="889">
        <f t="shared" si="14"/>
        <v>90</v>
      </c>
      <c r="C257" s="889">
        <v>100</v>
      </c>
      <c r="D257" s="890">
        <v>0</v>
      </c>
      <c r="E257" s="888">
        <v>1060</v>
      </c>
      <c r="F257" s="888">
        <v>1166</v>
      </c>
      <c r="G257" s="888">
        <v>1282</v>
      </c>
      <c r="M257" s="176"/>
    </row>
    <row r="258" spans="1:13" ht="18.75" thickBot="1">
      <c r="A258" s="176">
        <v>0</v>
      </c>
      <c r="B258" s="889">
        <f t="shared" si="14"/>
        <v>100</v>
      </c>
      <c r="C258" s="889">
        <v>110</v>
      </c>
      <c r="D258" s="890">
        <v>0</v>
      </c>
      <c r="E258" s="890">
        <v>0</v>
      </c>
      <c r="F258" s="888">
        <v>1277</v>
      </c>
      <c r="G258" s="888">
        <v>1405</v>
      </c>
      <c r="M258" s="176"/>
    </row>
    <row r="259" spans="1:13" ht="18.75" thickBot="1">
      <c r="A259" s="176">
        <v>0</v>
      </c>
      <c r="B259" s="889">
        <f t="shared" si="14"/>
        <v>110</v>
      </c>
      <c r="C259" s="889">
        <v>120</v>
      </c>
      <c r="D259" s="890">
        <v>0</v>
      </c>
      <c r="E259" s="890">
        <v>0</v>
      </c>
      <c r="F259" s="888">
        <v>1314</v>
      </c>
      <c r="G259" s="888">
        <v>1446</v>
      </c>
      <c r="M259" s="176"/>
    </row>
    <row r="260" spans="1:13" ht="18.75" thickBot="1">
      <c r="A260" s="176">
        <v>0</v>
      </c>
      <c r="B260" s="889">
        <f t="shared" si="14"/>
        <v>120</v>
      </c>
      <c r="C260" s="889">
        <v>130</v>
      </c>
      <c r="D260" s="890">
        <v>0</v>
      </c>
      <c r="E260" s="890">
        <v>0</v>
      </c>
      <c r="F260" s="888">
        <v>1345</v>
      </c>
      <c r="G260" s="888">
        <v>1467</v>
      </c>
      <c r="M260" s="176"/>
    </row>
    <row r="261" spans="1:13" ht="18.75" thickBot="1">
      <c r="A261" s="176" t="s">
        <v>2486</v>
      </c>
      <c r="B261" s="889">
        <f t="shared" si="14"/>
        <v>130</v>
      </c>
      <c r="C261" s="889">
        <v>140</v>
      </c>
      <c r="D261" s="890">
        <v>0</v>
      </c>
      <c r="E261" s="890">
        <v>0</v>
      </c>
      <c r="F261" s="888">
        <v>1625</v>
      </c>
      <c r="G261" s="888">
        <v>1712</v>
      </c>
      <c r="M261" s="176"/>
    </row>
    <row r="262" spans="1:13">
      <c r="A262" s="176">
        <v>0</v>
      </c>
      <c r="D262"/>
      <c r="E262"/>
      <c r="F262"/>
      <c r="G262"/>
      <c r="M262" s="176"/>
    </row>
    <row r="263" spans="1:13">
      <c r="A263" s="176">
        <v>0</v>
      </c>
      <c r="D263"/>
      <c r="E263"/>
      <c r="F263"/>
      <c r="G263"/>
      <c r="M263" s="176"/>
    </row>
    <row r="264" spans="1:13" ht="17.25" thickBot="1">
      <c r="A264" s="176">
        <v>0</v>
      </c>
      <c r="D264"/>
      <c r="E264"/>
      <c r="F264"/>
      <c r="G264"/>
      <c r="M264" s="176"/>
    </row>
    <row r="265" spans="1:13">
      <c r="A265" s="176">
        <v>0</v>
      </c>
      <c r="B265" s="904">
        <v>0</v>
      </c>
      <c r="C265" s="905" t="s">
        <v>2500</v>
      </c>
      <c r="D265" s="905" t="s">
        <v>2500</v>
      </c>
      <c r="E265" s="906" t="s">
        <v>2500</v>
      </c>
      <c r="F265"/>
      <c r="G265"/>
      <c r="M265" s="176"/>
    </row>
    <row r="266" spans="1:13">
      <c r="A266" s="176">
        <v>0</v>
      </c>
      <c r="B266" s="899" t="s">
        <v>2492</v>
      </c>
      <c r="C266" s="898">
        <v>0.5</v>
      </c>
      <c r="D266" s="898">
        <v>3</v>
      </c>
      <c r="E266" s="900">
        <v>1039</v>
      </c>
      <c r="M266" s="176"/>
    </row>
    <row r="267" spans="1:13">
      <c r="A267" s="176">
        <v>0</v>
      </c>
      <c r="B267" s="899" t="s">
        <v>2493</v>
      </c>
      <c r="C267" s="898">
        <v>3</v>
      </c>
      <c r="D267" s="898">
        <v>8</v>
      </c>
      <c r="E267" s="900">
        <v>1086</v>
      </c>
      <c r="M267" s="176"/>
    </row>
    <row r="268" spans="1:13">
      <c r="A268" s="176">
        <v>0</v>
      </c>
      <c r="B268" s="899" t="s">
        <v>2494</v>
      </c>
      <c r="C268" s="898">
        <f>D267</f>
        <v>8</v>
      </c>
      <c r="D268" s="898">
        <v>15</v>
      </c>
      <c r="E268" s="900">
        <v>1206</v>
      </c>
      <c r="M268" s="176"/>
    </row>
    <row r="269" spans="1:13">
      <c r="A269" s="176">
        <v>0</v>
      </c>
      <c r="B269" s="899" t="s">
        <v>2495</v>
      </c>
      <c r="C269" s="898">
        <f t="shared" ref="C269:C273" si="15">D268</f>
        <v>15</v>
      </c>
      <c r="D269" s="898">
        <v>45</v>
      </c>
      <c r="E269" s="900">
        <v>1732</v>
      </c>
      <c r="M269" s="176"/>
    </row>
    <row r="270" spans="1:13">
      <c r="A270" s="176">
        <v>0</v>
      </c>
      <c r="B270" s="899" t="s">
        <v>2496</v>
      </c>
      <c r="C270" s="898">
        <f t="shared" si="15"/>
        <v>45</v>
      </c>
      <c r="D270" s="898">
        <v>45</v>
      </c>
      <c r="E270" s="900">
        <v>3941</v>
      </c>
      <c r="M270" s="176"/>
    </row>
    <row r="271" spans="1:13">
      <c r="A271" s="176">
        <v>0</v>
      </c>
      <c r="B271" s="899" t="s">
        <v>2497</v>
      </c>
      <c r="C271" s="898">
        <f t="shared" si="15"/>
        <v>45</v>
      </c>
      <c r="D271" s="898">
        <v>65</v>
      </c>
      <c r="E271" s="900">
        <v>5171</v>
      </c>
      <c r="M271" s="176"/>
    </row>
    <row r="272" spans="1:13">
      <c r="A272" s="176">
        <v>0</v>
      </c>
      <c r="B272" s="899" t="s">
        <v>2498</v>
      </c>
      <c r="C272" s="898">
        <f t="shared" si="15"/>
        <v>65</v>
      </c>
      <c r="D272" s="898">
        <v>90</v>
      </c>
      <c r="E272" s="900">
        <v>6728</v>
      </c>
      <c r="M272" s="176"/>
    </row>
    <row r="273" spans="1:13" ht="17.25" thickBot="1">
      <c r="A273" s="176">
        <v>0</v>
      </c>
      <c r="B273" s="901" t="s">
        <v>2499</v>
      </c>
      <c r="C273" s="902">
        <f t="shared" si="15"/>
        <v>90</v>
      </c>
      <c r="D273" s="902">
        <v>130</v>
      </c>
      <c r="E273" s="903">
        <v>9540</v>
      </c>
      <c r="M273" s="176"/>
    </row>
    <row r="274" spans="1:13">
      <c r="A274"/>
      <c r="D274"/>
      <c r="E274"/>
      <c r="M274" s="176"/>
    </row>
    <row r="275" spans="1:13">
      <c r="A275"/>
      <c r="D275"/>
      <c r="E275"/>
      <c r="F275"/>
      <c r="G275"/>
      <c r="M275" s="176"/>
    </row>
    <row r="276" spans="1:13">
      <c r="A276"/>
      <c r="D276"/>
      <c r="E276"/>
      <c r="F276"/>
      <c r="G276"/>
      <c r="M276" s="176"/>
    </row>
    <row r="277" spans="1:13">
      <c r="A277"/>
      <c r="D277"/>
      <c r="E277"/>
      <c r="F277"/>
      <c r="G277"/>
      <c r="M277" s="176"/>
    </row>
    <row r="278" spans="1:13">
      <c r="A278"/>
      <c r="D278"/>
      <c r="E278"/>
      <c r="F278"/>
      <c r="G278"/>
      <c r="M278" s="176"/>
    </row>
    <row r="279" spans="1:13">
      <c r="A279"/>
      <c r="D279"/>
      <c r="E279"/>
      <c r="F279"/>
      <c r="G279"/>
      <c r="M279" s="176"/>
    </row>
    <row r="280" spans="1:13">
      <c r="A280"/>
      <c r="D280"/>
      <c r="E280"/>
      <c r="F280"/>
      <c r="G280"/>
      <c r="M280" s="176"/>
    </row>
    <row r="281" spans="1:13">
      <c r="A281"/>
      <c r="D281"/>
      <c r="E281"/>
      <c r="F281"/>
      <c r="G281"/>
      <c r="M281" s="176"/>
    </row>
    <row r="282" spans="1:13">
      <c r="A282"/>
      <c r="D282"/>
      <c r="E282"/>
      <c r="F282"/>
      <c r="G282"/>
      <c r="M282" s="176"/>
    </row>
    <row r="283" spans="1:13">
      <c r="A283"/>
      <c r="D283"/>
      <c r="E283"/>
      <c r="F283"/>
      <c r="G283"/>
      <c r="M283" s="176"/>
    </row>
    <row r="284" spans="1:13">
      <c r="A284"/>
      <c r="D284"/>
      <c r="E284"/>
      <c r="F284"/>
      <c r="G284"/>
      <c r="M284" s="176"/>
    </row>
    <row r="285" spans="1:13">
      <c r="A285"/>
      <c r="D285"/>
      <c r="E285"/>
      <c r="F285"/>
      <c r="G285"/>
      <c r="M285" s="176"/>
    </row>
    <row r="286" spans="1:13">
      <c r="A286"/>
      <c r="D286"/>
      <c r="E286"/>
      <c r="F286"/>
      <c r="G286"/>
      <c r="M286" s="176"/>
    </row>
    <row r="287" spans="1:13">
      <c r="A287"/>
      <c r="D287"/>
      <c r="E287"/>
      <c r="F287"/>
      <c r="G287"/>
      <c r="M287" s="176"/>
    </row>
    <row r="288" spans="1:13">
      <c r="A288"/>
      <c r="D288"/>
      <c r="E288"/>
      <c r="F288"/>
      <c r="G288"/>
      <c r="M288" s="176"/>
    </row>
    <row r="289" spans="1:20">
      <c r="A289"/>
      <c r="D289"/>
      <c r="E289"/>
      <c r="F289"/>
      <c r="G289"/>
      <c r="M289" s="176"/>
    </row>
    <row r="290" spans="1:20">
      <c r="A290"/>
      <c r="D290"/>
      <c r="E290"/>
      <c r="F290"/>
      <c r="G290"/>
      <c r="M290" s="176"/>
    </row>
    <row r="291" spans="1:20">
      <c r="A291"/>
      <c r="D291"/>
      <c r="E291"/>
      <c r="F291"/>
      <c r="G291"/>
      <c r="M291" s="176"/>
    </row>
    <row r="292" spans="1:20">
      <c r="A292"/>
      <c r="D292"/>
      <c r="E292"/>
      <c r="F292"/>
      <c r="G292"/>
      <c r="H292"/>
      <c r="J292"/>
      <c r="L292"/>
      <c r="M292" s="176"/>
      <c r="N292"/>
      <c r="O292"/>
      <c r="P292"/>
      <c r="Q292"/>
      <c r="R292"/>
      <c r="S292"/>
      <c r="T292"/>
    </row>
    <row r="293" spans="1:20">
      <c r="A293"/>
      <c r="D293"/>
      <c r="E293"/>
      <c r="F293"/>
      <c r="G293"/>
      <c r="H293"/>
      <c r="J293"/>
      <c r="L293"/>
      <c r="M293" s="176"/>
      <c r="N293"/>
      <c r="O293"/>
      <c r="P293"/>
      <c r="Q293"/>
      <c r="R293"/>
      <c r="S293"/>
      <c r="T293"/>
    </row>
    <row r="294" spans="1:20">
      <c r="A294"/>
      <c r="D294"/>
      <c r="E294"/>
      <c r="F294"/>
      <c r="G294"/>
      <c r="H294"/>
      <c r="J294"/>
      <c r="L294"/>
      <c r="M294" s="176"/>
      <c r="N294"/>
      <c r="O294"/>
      <c r="P294"/>
      <c r="Q294"/>
      <c r="R294"/>
      <c r="S294"/>
      <c r="T294"/>
    </row>
    <row r="295" spans="1:20">
      <c r="A295"/>
      <c r="D295"/>
      <c r="E295"/>
      <c r="F295"/>
      <c r="G295"/>
      <c r="H295"/>
      <c r="J295"/>
      <c r="L295"/>
      <c r="M295" s="176"/>
      <c r="N295"/>
      <c r="O295"/>
      <c r="P295"/>
      <c r="Q295"/>
      <c r="R295"/>
      <c r="S295"/>
      <c r="T295"/>
    </row>
    <row r="296" spans="1:20">
      <c r="A296"/>
      <c r="D296"/>
      <c r="E296"/>
      <c r="F296"/>
      <c r="G296"/>
      <c r="H296"/>
      <c r="J296"/>
      <c r="L296"/>
      <c r="M296" s="176"/>
      <c r="N296"/>
      <c r="O296"/>
      <c r="P296"/>
      <c r="Q296"/>
      <c r="R296"/>
      <c r="S296"/>
      <c r="T296"/>
    </row>
    <row r="297" spans="1:20">
      <c r="A297"/>
      <c r="D297"/>
      <c r="E297"/>
      <c r="F297"/>
      <c r="G297"/>
      <c r="H297"/>
      <c r="J297"/>
      <c r="L297"/>
      <c r="M297" s="176"/>
      <c r="N297"/>
      <c r="O297"/>
      <c r="P297"/>
      <c r="Q297"/>
      <c r="R297"/>
      <c r="S297"/>
      <c r="T297"/>
    </row>
    <row r="298" spans="1:20">
      <c r="A298"/>
      <c r="D298"/>
      <c r="E298"/>
      <c r="F298"/>
      <c r="G298"/>
      <c r="H298"/>
      <c r="J298"/>
      <c r="L298"/>
      <c r="M298" s="176"/>
      <c r="N298"/>
      <c r="O298"/>
      <c r="P298"/>
      <c r="Q298"/>
      <c r="R298"/>
      <c r="S298"/>
      <c r="T298"/>
    </row>
    <row r="299" spans="1:20">
      <c r="A299"/>
      <c r="D299"/>
      <c r="E299"/>
      <c r="F299"/>
      <c r="G299"/>
      <c r="H299"/>
      <c r="J299"/>
      <c r="L299"/>
      <c r="M299" s="176"/>
      <c r="N299"/>
      <c r="O299"/>
      <c r="P299"/>
      <c r="Q299"/>
      <c r="R299"/>
      <c r="S299"/>
      <c r="T299"/>
    </row>
    <row r="300" spans="1:20">
      <c r="A300"/>
      <c r="D300"/>
      <c r="E300"/>
      <c r="F300"/>
      <c r="G300"/>
      <c r="H300"/>
      <c r="J300"/>
      <c r="L300"/>
      <c r="M300" s="176"/>
      <c r="N300"/>
      <c r="O300"/>
      <c r="P300"/>
      <c r="Q300"/>
      <c r="R300"/>
      <c r="S300"/>
      <c r="T300"/>
    </row>
    <row r="301" spans="1:20">
      <c r="A301"/>
      <c r="D301"/>
      <c r="E301"/>
      <c r="F301"/>
      <c r="G301"/>
      <c r="H301"/>
      <c r="J301"/>
      <c r="L301"/>
      <c r="M301" s="176"/>
      <c r="N301"/>
      <c r="O301"/>
      <c r="P301"/>
      <c r="Q301"/>
      <c r="R301"/>
      <c r="S301"/>
      <c r="T301"/>
    </row>
    <row r="302" spans="1:20">
      <c r="A302"/>
      <c r="D302"/>
      <c r="E302"/>
      <c r="F302"/>
      <c r="G302"/>
      <c r="H302"/>
      <c r="J302"/>
      <c r="L302"/>
      <c r="M302" s="176"/>
      <c r="N302"/>
      <c r="O302"/>
      <c r="P302"/>
      <c r="Q302"/>
      <c r="R302"/>
      <c r="S302"/>
      <c r="T302"/>
    </row>
    <row r="303" spans="1:20">
      <c r="A303"/>
      <c r="D303"/>
      <c r="E303"/>
      <c r="F303"/>
      <c r="G303"/>
      <c r="H303"/>
      <c r="J303"/>
      <c r="L303"/>
      <c r="M303" s="176"/>
      <c r="N303"/>
      <c r="O303"/>
      <c r="P303"/>
      <c r="Q303"/>
      <c r="R303"/>
      <c r="S303"/>
      <c r="T303"/>
    </row>
    <row r="304" spans="1:20">
      <c r="A304"/>
      <c r="D304"/>
      <c r="E304"/>
      <c r="F304"/>
      <c r="G304"/>
      <c r="H304"/>
      <c r="J304"/>
      <c r="L304"/>
      <c r="M304" s="176"/>
      <c r="N304"/>
      <c r="O304"/>
      <c r="P304"/>
      <c r="Q304"/>
      <c r="R304"/>
      <c r="S304"/>
      <c r="T304"/>
    </row>
    <row r="305" spans="1:20">
      <c r="A305"/>
      <c r="D305"/>
      <c r="E305"/>
      <c r="F305"/>
      <c r="G305"/>
      <c r="H305"/>
      <c r="J305"/>
      <c r="L305"/>
      <c r="M305" s="176"/>
      <c r="N305"/>
      <c r="O305"/>
      <c r="P305"/>
      <c r="Q305"/>
      <c r="R305"/>
      <c r="S305"/>
      <c r="T305"/>
    </row>
    <row r="306" spans="1:20">
      <c r="A306"/>
      <c r="D306"/>
      <c r="E306"/>
      <c r="F306"/>
      <c r="G306"/>
      <c r="H306"/>
      <c r="J306"/>
      <c r="L306"/>
      <c r="M306" s="176"/>
      <c r="N306"/>
      <c r="O306"/>
      <c r="P306"/>
      <c r="Q306"/>
      <c r="R306"/>
      <c r="S306"/>
      <c r="T306"/>
    </row>
    <row r="307" spans="1:20">
      <c r="A307"/>
      <c r="D307"/>
      <c r="E307"/>
      <c r="F307"/>
      <c r="G307"/>
      <c r="H307"/>
      <c r="J307"/>
      <c r="L307"/>
      <c r="M307" s="176"/>
      <c r="N307"/>
      <c r="O307"/>
      <c r="P307"/>
      <c r="Q307"/>
      <c r="R307"/>
      <c r="S307"/>
      <c r="T307"/>
    </row>
    <row r="308" spans="1:20">
      <c r="A308"/>
      <c r="D308"/>
      <c r="E308"/>
      <c r="F308"/>
      <c r="G308"/>
      <c r="H308"/>
      <c r="J308"/>
      <c r="L308"/>
      <c r="M308" s="176"/>
      <c r="N308"/>
      <c r="O308"/>
      <c r="P308"/>
      <c r="Q308"/>
      <c r="R308"/>
      <c r="S308"/>
      <c r="T308"/>
    </row>
  </sheetData>
  <mergeCells count="79">
    <mergeCell ref="BY2:BZ2"/>
    <mergeCell ref="AY2:AZ2"/>
    <mergeCell ref="CC2:CE2"/>
    <mergeCell ref="BU2:BX2"/>
    <mergeCell ref="CA2:CB2"/>
    <mergeCell ref="B203:D205"/>
    <mergeCell ref="E203:F203"/>
    <mergeCell ref="G203:H203"/>
    <mergeCell ref="B206:D206"/>
    <mergeCell ref="E206:H206"/>
    <mergeCell ref="B157:F157"/>
    <mergeCell ref="BQ2:BT2"/>
    <mergeCell ref="Z1:AB2"/>
    <mergeCell ref="AP2:AX2"/>
    <mergeCell ref="BM2:BP2"/>
    <mergeCell ref="BI2:BL2"/>
    <mergeCell ref="BD2:BG2"/>
    <mergeCell ref="AD2:AK2"/>
    <mergeCell ref="F112:G112"/>
    <mergeCell ref="BA2:BC2"/>
    <mergeCell ref="B113:C113"/>
    <mergeCell ref="D219:E219"/>
    <mergeCell ref="F219:G219"/>
    <mergeCell ref="H219:I219"/>
    <mergeCell ref="D220:E220"/>
    <mergeCell ref="F220:G220"/>
    <mergeCell ref="H220:I220"/>
    <mergeCell ref="D218:E218"/>
    <mergeCell ref="F218:G218"/>
    <mergeCell ref="H218:I218"/>
    <mergeCell ref="G209:H209"/>
    <mergeCell ref="D215:E215"/>
    <mergeCell ref="F215:G215"/>
    <mergeCell ref="H215:I215"/>
    <mergeCell ref="B207:D209"/>
    <mergeCell ref="E207:F207"/>
    <mergeCell ref="G207:H207"/>
    <mergeCell ref="E208:F208"/>
    <mergeCell ref="G208:H208"/>
    <mergeCell ref="D216:E216"/>
    <mergeCell ref="E209:F209"/>
    <mergeCell ref="F216:G216"/>
    <mergeCell ref="H216:I216"/>
    <mergeCell ref="E200:F200"/>
    <mergeCell ref="E204:F204"/>
    <mergeCell ref="G204:H204"/>
    <mergeCell ref="E205:F205"/>
    <mergeCell ref="G205:H205"/>
    <mergeCell ref="B202:D202"/>
    <mergeCell ref="E202:F202"/>
    <mergeCell ref="G202:H202"/>
    <mergeCell ref="G200:H200"/>
    <mergeCell ref="B159:B162"/>
    <mergeCell ref="B163:B166"/>
    <mergeCell ref="B178:B180"/>
    <mergeCell ref="B181:B183"/>
    <mergeCell ref="C181:C183"/>
    <mergeCell ref="B197:D197"/>
    <mergeCell ref="E197:H197"/>
    <mergeCell ref="B198:D200"/>
    <mergeCell ref="E198:F198"/>
    <mergeCell ref="G198:H198"/>
    <mergeCell ref="E199:F199"/>
    <mergeCell ref="G199:H199"/>
    <mergeCell ref="B169:C169"/>
    <mergeCell ref="E169:F169"/>
    <mergeCell ref="B194:D196"/>
    <mergeCell ref="G194:H194"/>
    <mergeCell ref="E195:F195"/>
    <mergeCell ref="G195:H195"/>
    <mergeCell ref="E196:F196"/>
    <mergeCell ref="B184:B186"/>
    <mergeCell ref="B187:B189"/>
    <mergeCell ref="C187:C189"/>
    <mergeCell ref="G196:H196"/>
    <mergeCell ref="B193:D193"/>
    <mergeCell ref="E193:F193"/>
    <mergeCell ref="G193:H193"/>
    <mergeCell ref="E194:F194"/>
  </mergeCells>
  <phoneticPr fontId="9" type="noConversion"/>
  <pageMargins left="0.7" right="0.7" top="0.75" bottom="0.75" header="0.3" footer="0.3"/>
  <pageSetup orientation="portrait" horizontalDpi="1200" verticalDpi="1200"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J5_PAH_Data_Base"/>
  <dimension ref="A1:CQ18"/>
  <sheetViews>
    <sheetView workbookViewId="0">
      <selection activeCell="D21" sqref="D21"/>
    </sheetView>
  </sheetViews>
  <sheetFormatPr defaultRowHeight="15"/>
  <cols>
    <col min="2" max="2" width="10.140625" customWidth="1"/>
    <col min="3" max="3" width="19.140625" customWidth="1"/>
    <col min="4" max="4" width="21.42578125" customWidth="1"/>
    <col min="5" max="5" width="13" customWidth="1"/>
    <col min="6" max="6" width="14.7109375" customWidth="1"/>
    <col min="7" max="7" width="13.42578125" customWidth="1"/>
    <col min="8" max="8" width="12.140625" customWidth="1"/>
    <col min="9" max="9" width="18.140625" customWidth="1"/>
    <col min="10" max="10" width="11.42578125" customWidth="1"/>
    <col min="11" max="11" width="13" customWidth="1"/>
    <col min="12" max="12" width="16.42578125" customWidth="1"/>
    <col min="13" max="13" width="24.42578125" customWidth="1"/>
    <col min="14" max="14" width="21.28515625" customWidth="1"/>
    <col min="15" max="15" width="11" customWidth="1"/>
    <col min="16" max="16" width="23" customWidth="1"/>
    <col min="17" max="17" width="13.85546875" customWidth="1"/>
    <col min="18" max="18" width="12.42578125" customWidth="1"/>
    <col min="19" max="19" width="28" customWidth="1"/>
    <col min="20" max="20" width="24.5703125" customWidth="1"/>
    <col min="21" max="21" width="28.42578125" customWidth="1"/>
    <col min="22" max="23" width="17.42578125" customWidth="1"/>
    <col min="24" max="24" width="15" customWidth="1"/>
    <col min="25" max="26" width="19.7109375" customWidth="1"/>
    <col min="27" max="27" width="23.140625" customWidth="1"/>
    <col min="28" max="28" width="22.140625" customWidth="1"/>
    <col min="29" max="29" width="12.85546875" customWidth="1"/>
    <col min="30" max="30" width="14.42578125" customWidth="1"/>
    <col min="31" max="32" width="21.85546875" customWidth="1"/>
    <col min="33" max="33" width="12.5703125" customWidth="1"/>
    <col min="34" max="34" width="17.7109375" customWidth="1"/>
    <col min="35" max="35" width="16.28515625" customWidth="1"/>
    <col min="36" max="36" width="16.7109375" customWidth="1"/>
    <col min="37" max="37" width="13.7109375" customWidth="1"/>
    <col min="38" max="38" width="14.28515625" customWidth="1"/>
    <col min="39" max="39" width="15.7109375" customWidth="1"/>
    <col min="40" max="41" width="21.140625" customWidth="1"/>
    <col min="42" max="42" width="16.7109375" customWidth="1"/>
    <col min="43" max="43" width="9.7109375" customWidth="1"/>
    <col min="44" max="44" width="17" customWidth="1"/>
    <col min="45" max="45" width="14" customWidth="1"/>
    <col min="46" max="46" width="20.140625" customWidth="1"/>
    <col min="47" max="47" width="23.42578125" customWidth="1"/>
    <col min="48" max="48" width="16.85546875" customWidth="1"/>
    <col min="49" max="49" width="13.5703125" customWidth="1"/>
    <col min="50" max="50" width="16.7109375" customWidth="1"/>
    <col min="51" max="51" width="17.28515625" customWidth="1"/>
    <col min="52" max="52" width="17" customWidth="1"/>
    <col min="53" max="53" width="16.42578125" customWidth="1"/>
    <col min="54" max="54" width="16.85546875" customWidth="1"/>
    <col min="55" max="56" width="17.28515625" customWidth="1"/>
    <col min="57" max="57" width="17.7109375" customWidth="1"/>
    <col min="58" max="58" width="27.140625" customWidth="1"/>
    <col min="59" max="59" width="27.5703125" customWidth="1"/>
    <col min="60" max="60" width="14.28515625" customWidth="1"/>
    <col min="61" max="61" width="14.85546875" customWidth="1"/>
    <col min="62" max="62" width="15.28515625" customWidth="1"/>
    <col min="63" max="63" width="14" customWidth="1"/>
    <col min="64" max="64" width="23" customWidth="1"/>
    <col min="65" max="65" width="25.7109375" customWidth="1"/>
    <col min="66" max="66" width="12.140625" customWidth="1"/>
    <col min="67" max="67" width="23.5703125" customWidth="1"/>
    <col min="68" max="68" width="14.7109375" customWidth="1"/>
    <col min="69" max="69" width="17.7109375" customWidth="1"/>
    <col min="70" max="70" width="16.85546875" customWidth="1"/>
    <col min="71" max="71" width="32.140625" customWidth="1"/>
    <col min="72" max="72" width="33.42578125" customWidth="1"/>
    <col min="73" max="73" width="34.28515625" customWidth="1"/>
    <col min="74" max="74" width="30.42578125" customWidth="1"/>
    <col min="75" max="75" width="13.5703125" customWidth="1"/>
    <col min="76" max="76" width="32.7109375" customWidth="1"/>
    <col min="77" max="77" width="19.140625" customWidth="1"/>
    <col min="78" max="78" width="23.42578125" customWidth="1"/>
    <col min="79" max="79" width="27" customWidth="1"/>
    <col min="80" max="81" width="22.140625" customWidth="1"/>
    <col min="82" max="82" width="24" customWidth="1"/>
    <col min="83" max="83" width="31.5703125" customWidth="1"/>
    <col min="84" max="84" width="28.140625" customWidth="1"/>
    <col min="85" max="85" width="19" customWidth="1"/>
    <col min="86" max="86" width="10.28515625" customWidth="1"/>
    <col min="87" max="87" width="21" customWidth="1"/>
    <col min="88" max="88" width="12.28515625" customWidth="1"/>
    <col min="89" max="89" width="11.140625" customWidth="1"/>
    <col min="90" max="90" width="17.140625" customWidth="1"/>
    <col min="91" max="91" width="16" customWidth="1"/>
    <col min="92" max="92" width="21.140625" customWidth="1"/>
    <col min="93" max="93" width="19.5703125" customWidth="1"/>
    <col min="94" max="94" width="21.85546875" customWidth="1"/>
    <col min="95" max="95" width="16.42578125" customWidth="1"/>
  </cols>
  <sheetData>
    <row r="1" spans="1:95">
      <c r="A1" s="727" t="s">
        <v>0</v>
      </c>
      <c r="B1" s="728" t="s">
        <v>1787</v>
      </c>
      <c r="C1" s="728" t="s">
        <v>1788</v>
      </c>
      <c r="D1" s="728" t="s">
        <v>1789</v>
      </c>
      <c r="E1" s="728" t="s">
        <v>1491</v>
      </c>
      <c r="F1" s="728" t="s">
        <v>1790</v>
      </c>
      <c r="G1" s="728" t="s">
        <v>1492</v>
      </c>
      <c r="H1" s="728" t="s">
        <v>1493</v>
      </c>
      <c r="I1" s="728" t="s">
        <v>1791</v>
      </c>
      <c r="J1" s="728" t="s">
        <v>1490</v>
      </c>
      <c r="K1" s="728" t="s">
        <v>1501</v>
      </c>
      <c r="L1" s="729" t="s">
        <v>1792</v>
      </c>
      <c r="M1" s="729" t="s">
        <v>1793</v>
      </c>
      <c r="N1" s="729" t="s">
        <v>1763</v>
      </c>
      <c r="O1" s="728" t="s">
        <v>1794</v>
      </c>
      <c r="P1" s="730" t="s">
        <v>1795</v>
      </c>
      <c r="Q1" s="728" t="s">
        <v>1796</v>
      </c>
      <c r="R1" s="728" t="s">
        <v>1797</v>
      </c>
      <c r="S1" s="729" t="s">
        <v>1798</v>
      </c>
      <c r="T1" s="729" t="s">
        <v>1799</v>
      </c>
      <c r="U1" s="729" t="s">
        <v>1800</v>
      </c>
      <c r="V1" s="728" t="s">
        <v>1801</v>
      </c>
      <c r="W1" s="728" t="s">
        <v>1802</v>
      </c>
      <c r="X1" s="728" t="s">
        <v>1803</v>
      </c>
      <c r="Y1" s="728" t="s">
        <v>1804</v>
      </c>
      <c r="Z1" s="728" t="s">
        <v>1805</v>
      </c>
      <c r="AA1" s="728" t="s">
        <v>1806</v>
      </c>
      <c r="AB1" s="728" t="s">
        <v>1807</v>
      </c>
      <c r="AC1" s="728" t="s">
        <v>1808</v>
      </c>
      <c r="AD1" s="728" t="s">
        <v>1809</v>
      </c>
      <c r="AE1" s="728" t="s">
        <v>1810</v>
      </c>
      <c r="AF1" s="728" t="s">
        <v>1811</v>
      </c>
      <c r="AG1" s="728" t="s">
        <v>1812</v>
      </c>
      <c r="AH1" s="728" t="s">
        <v>1813</v>
      </c>
      <c r="AI1" s="728" t="s">
        <v>1814</v>
      </c>
      <c r="AJ1" s="728" t="s">
        <v>1815</v>
      </c>
      <c r="AK1" s="728" t="s">
        <v>1816</v>
      </c>
      <c r="AL1" s="728" t="s">
        <v>1498</v>
      </c>
      <c r="AM1" s="728" t="s">
        <v>1817</v>
      </c>
      <c r="AN1" s="728" t="s">
        <v>1818</v>
      </c>
      <c r="AO1" s="728" t="s">
        <v>1819</v>
      </c>
      <c r="AP1" s="728" t="s">
        <v>1756</v>
      </c>
      <c r="AQ1" s="728" t="s">
        <v>1820</v>
      </c>
      <c r="AR1" s="728" t="s">
        <v>1821</v>
      </c>
      <c r="AS1" s="728" t="s">
        <v>1822</v>
      </c>
      <c r="AT1" s="731" t="s">
        <v>1823</v>
      </c>
      <c r="AU1" s="731" t="s">
        <v>1824</v>
      </c>
      <c r="AV1" s="732" t="s">
        <v>1825</v>
      </c>
      <c r="AW1" s="732" t="s">
        <v>1826</v>
      </c>
      <c r="AX1" s="732" t="s">
        <v>1827</v>
      </c>
      <c r="AY1" s="732" t="s">
        <v>1828</v>
      </c>
      <c r="AZ1" s="732" t="s">
        <v>1829</v>
      </c>
      <c r="BA1" s="732" t="s">
        <v>1830</v>
      </c>
      <c r="BB1" s="732" t="s">
        <v>1831</v>
      </c>
      <c r="BC1" s="732" t="s">
        <v>1832</v>
      </c>
      <c r="BD1" s="732" t="s">
        <v>1833</v>
      </c>
      <c r="BE1" s="732" t="s">
        <v>1834</v>
      </c>
      <c r="BF1" s="732" t="s">
        <v>1835</v>
      </c>
      <c r="BG1" s="732" t="s">
        <v>1762</v>
      </c>
      <c r="BH1" s="732" t="s">
        <v>1836</v>
      </c>
      <c r="BI1" s="732" t="s">
        <v>1837</v>
      </c>
      <c r="BJ1" s="732" t="s">
        <v>1838</v>
      </c>
      <c r="BK1" s="732" t="s">
        <v>1839</v>
      </c>
      <c r="BL1" s="732" t="s">
        <v>1840</v>
      </c>
      <c r="BM1" s="732" t="s">
        <v>1841</v>
      </c>
      <c r="BN1" s="732" t="s">
        <v>1521</v>
      </c>
      <c r="BO1" s="732" t="s">
        <v>1511</v>
      </c>
      <c r="BP1" s="732" t="s">
        <v>1512</v>
      </c>
      <c r="BQ1" s="732" t="s">
        <v>1513</v>
      </c>
      <c r="BR1" s="732" t="s">
        <v>1514</v>
      </c>
      <c r="BS1" s="732" t="s">
        <v>1507</v>
      </c>
      <c r="BT1" s="732" t="s">
        <v>1508</v>
      </c>
      <c r="BU1" s="732" t="s">
        <v>1509</v>
      </c>
      <c r="BV1" s="732" t="s">
        <v>1510</v>
      </c>
      <c r="BW1" s="732" t="s">
        <v>1842</v>
      </c>
      <c r="BX1" s="732" t="s">
        <v>1843</v>
      </c>
      <c r="BY1" s="732" t="s">
        <v>1844</v>
      </c>
      <c r="BZ1" s="732" t="s">
        <v>1845</v>
      </c>
      <c r="CA1" s="732" t="s">
        <v>1846</v>
      </c>
      <c r="CB1" s="732" t="s">
        <v>1847</v>
      </c>
      <c r="CC1" s="732" t="s">
        <v>1848</v>
      </c>
      <c r="CD1" s="732" t="s">
        <v>1849</v>
      </c>
      <c r="CE1" s="732" t="s">
        <v>1850</v>
      </c>
      <c r="CF1" s="732" t="s">
        <v>1851</v>
      </c>
      <c r="CG1" s="732" t="s">
        <v>1852</v>
      </c>
      <c r="CH1" s="732" t="s">
        <v>1853</v>
      </c>
      <c r="CI1" s="732" t="s">
        <v>1854</v>
      </c>
      <c r="CJ1" s="733" t="s">
        <v>1855</v>
      </c>
      <c r="CK1" s="734" t="s">
        <v>1856</v>
      </c>
      <c r="CL1" s="734" t="s">
        <v>1857</v>
      </c>
      <c r="CM1" s="734" t="s">
        <v>1858</v>
      </c>
      <c r="CN1" s="734" t="s">
        <v>1859</v>
      </c>
      <c r="CO1" s="734" t="s">
        <v>1860</v>
      </c>
      <c r="CP1" s="734" t="s">
        <v>1861</v>
      </c>
      <c r="CQ1" s="733" t="s">
        <v>1862</v>
      </c>
    </row>
    <row r="2" spans="1:95">
      <c r="A2" s="725" t="s">
        <v>408</v>
      </c>
      <c r="B2" s="715">
        <v>2.5099999999999998</v>
      </c>
      <c r="C2" s="715" t="s">
        <v>1538</v>
      </c>
      <c r="D2" s="716">
        <v>3031.5600000000004</v>
      </c>
      <c r="E2" s="716">
        <v>510.64412655643071</v>
      </c>
      <c r="F2" s="716">
        <v>192.1764705882353</v>
      </c>
      <c r="G2" s="716">
        <v>2301.8960062789229</v>
      </c>
      <c r="H2" s="716">
        <v>257.29411764705884</v>
      </c>
      <c r="I2" s="716">
        <v>270.15882352941179</v>
      </c>
      <c r="J2" s="716">
        <v>430.11727757313565</v>
      </c>
      <c r="K2" s="716">
        <v>1203.1200000000001</v>
      </c>
      <c r="L2" s="716">
        <v>3335.294117647059</v>
      </c>
      <c r="M2" s="716">
        <v>484.92</v>
      </c>
      <c r="N2" s="716">
        <v>6670.588235294118</v>
      </c>
      <c r="O2" s="716">
        <v>422.47058823529409</v>
      </c>
      <c r="P2" s="716">
        <v>810</v>
      </c>
      <c r="Q2" s="716">
        <v>264.64886948895503</v>
      </c>
      <c r="R2" s="716">
        <v>749.37839640702896</v>
      </c>
      <c r="S2" s="716">
        <v>6726.1764705882351</v>
      </c>
      <c r="T2" s="716">
        <v>14853.176470588236</v>
      </c>
      <c r="U2" s="716">
        <v>8100.0000000000009</v>
      </c>
      <c r="V2" s="716">
        <v>110.8178060392373</v>
      </c>
      <c r="W2" s="716">
        <v>179.00873882014577</v>
      </c>
      <c r="X2" s="716">
        <v>643.23529411764696</v>
      </c>
      <c r="Y2" s="716">
        <v>85.350035639578905</v>
      </c>
      <c r="Z2" s="716">
        <v>140.96956373479924</v>
      </c>
      <c r="AA2" s="716">
        <v>63.529411764705884</v>
      </c>
      <c r="AB2" s="716">
        <v>63.529411764705884</v>
      </c>
      <c r="AC2" s="716">
        <v>38.117647058823529</v>
      </c>
      <c r="AD2" s="716">
        <v>38.117647058823529</v>
      </c>
      <c r="AE2" s="716">
        <v>73.66942372881357</v>
      </c>
      <c r="AF2" s="716">
        <v>529.07255353938194</v>
      </c>
      <c r="AG2" s="716">
        <v>41.500498504486544</v>
      </c>
      <c r="AH2" s="716">
        <v>46.184974488299808</v>
      </c>
      <c r="AI2" s="716">
        <v>41.294117647058826</v>
      </c>
      <c r="AJ2" s="716">
        <v>82.588235294117652</v>
      </c>
      <c r="AK2" s="716">
        <v>114.40677966101704</v>
      </c>
      <c r="AL2" s="716">
        <v>117.77168494516451</v>
      </c>
      <c r="AM2" s="716">
        <v>58.28784406779662</v>
      </c>
      <c r="AN2" s="716">
        <v>66.705882352941174</v>
      </c>
      <c r="AO2" s="716">
        <v>133.41176470588235</v>
      </c>
      <c r="AP2" s="716">
        <v>41.294117647058826</v>
      </c>
      <c r="AQ2" s="716">
        <v>47.647058823529413</v>
      </c>
      <c r="AR2" s="716">
        <v>47.647058823529413</v>
      </c>
      <c r="AS2" s="716">
        <v>47.321738308467189</v>
      </c>
      <c r="AT2" s="717">
        <v>228.81355932203408</v>
      </c>
      <c r="AU2" s="717">
        <v>38.117647058823529</v>
      </c>
      <c r="AV2" s="717">
        <v>8.1324000000000005</v>
      </c>
      <c r="AW2" s="717">
        <v>404.22811764705875</v>
      </c>
      <c r="AX2" s="717">
        <v>180.36</v>
      </c>
      <c r="AY2" s="717">
        <v>43.011727757313572</v>
      </c>
      <c r="AZ2" s="717">
        <v>45.957971390078761</v>
      </c>
      <c r="BA2" s="717">
        <v>115.09480031394615</v>
      </c>
      <c r="BB2" s="717" t="s">
        <v>1721</v>
      </c>
      <c r="BC2" s="717" t="s">
        <v>1562</v>
      </c>
      <c r="BD2" s="717">
        <v>58.28784406779662</v>
      </c>
      <c r="BE2" s="717">
        <v>58.28784406779662</v>
      </c>
      <c r="BF2" s="717">
        <v>90.946799999999996</v>
      </c>
      <c r="BG2" s="717">
        <v>303.15600000000001</v>
      </c>
      <c r="BH2" s="717">
        <v>1437.3529411764705</v>
      </c>
      <c r="BI2" s="717">
        <v>2560.2352941176473</v>
      </c>
      <c r="BJ2" s="717">
        <v>2698.4117647058824</v>
      </c>
      <c r="BK2" s="717">
        <v>119.11764705882352</v>
      </c>
      <c r="BL2" s="717">
        <v>145.80000000000001</v>
      </c>
      <c r="BM2" s="717">
        <v>378</v>
      </c>
      <c r="BN2" s="717" t="s">
        <v>1433</v>
      </c>
      <c r="BO2" s="717">
        <v>157.73912769489061</v>
      </c>
      <c r="BP2" s="717">
        <v>52.579709231630204</v>
      </c>
      <c r="BQ2" s="717">
        <v>52.579709231630204</v>
      </c>
      <c r="BR2" s="717">
        <v>52.579709231630204</v>
      </c>
      <c r="BS2" s="717">
        <v>52.579709231630204</v>
      </c>
      <c r="BT2" s="717">
        <v>52.579709231630204</v>
      </c>
      <c r="BU2" s="717">
        <v>52.579709231630204</v>
      </c>
      <c r="BV2" s="717">
        <v>157.73912769489061</v>
      </c>
      <c r="BW2" s="717">
        <v>909.46800000000007</v>
      </c>
      <c r="BX2" s="717">
        <v>63.529411764705884</v>
      </c>
      <c r="BY2" s="717">
        <v>1374.8400000000001</v>
      </c>
      <c r="BZ2" s="717">
        <v>41.294117647058826</v>
      </c>
      <c r="CA2" s="717">
        <v>66.705882352941174</v>
      </c>
      <c r="CB2" s="717">
        <v>73.66942372881357</v>
      </c>
      <c r="CC2" s="717">
        <v>529.07255353938194</v>
      </c>
      <c r="CD2" s="717">
        <v>41.500498504486544</v>
      </c>
      <c r="CE2" s="717">
        <v>46.184974488299808</v>
      </c>
      <c r="CF2" s="717">
        <v>41.294117647058826</v>
      </c>
      <c r="CG2" s="717">
        <v>264.60000000000002</v>
      </c>
      <c r="CH2" s="717">
        <v>333.72</v>
      </c>
      <c r="CI2" s="717">
        <v>45.36</v>
      </c>
      <c r="CJ2" s="718">
        <v>3937.6800000000003</v>
      </c>
      <c r="CK2" s="715">
        <v>3745.44</v>
      </c>
      <c r="CL2" s="716">
        <v>5342.76</v>
      </c>
      <c r="CM2" s="716">
        <v>5150.5200000000004</v>
      </c>
      <c r="CN2" s="719">
        <v>3</v>
      </c>
      <c r="CO2" s="719">
        <v>1</v>
      </c>
      <c r="CP2" s="719" t="s">
        <v>1863</v>
      </c>
      <c r="CQ2" s="719">
        <v>0</v>
      </c>
    </row>
    <row r="3" spans="1:95">
      <c r="A3" s="726" t="s">
        <v>411</v>
      </c>
      <c r="B3" s="720">
        <v>3.03</v>
      </c>
      <c r="C3" s="720" t="s">
        <v>1721</v>
      </c>
      <c r="D3" s="720">
        <v>3042.36</v>
      </c>
      <c r="E3" s="720">
        <v>510.64412655643071</v>
      </c>
      <c r="F3" s="720">
        <v>192.1764705882353</v>
      </c>
      <c r="G3" s="720">
        <v>2301.8960062789229</v>
      </c>
      <c r="H3" s="720">
        <v>257.29411764705884</v>
      </c>
      <c r="I3" s="720">
        <v>270.15882352941179</v>
      </c>
      <c r="J3" s="720">
        <v>430.11727757313565</v>
      </c>
      <c r="K3" s="720">
        <v>1267.92</v>
      </c>
      <c r="L3" s="720">
        <v>4447.0588235294117</v>
      </c>
      <c r="M3" s="720">
        <v>743.04000000000008</v>
      </c>
      <c r="N3" s="720">
        <v>8894.1176470588234</v>
      </c>
      <c r="O3" s="720">
        <v>422.47058823529409</v>
      </c>
      <c r="P3" s="720">
        <v>810</v>
      </c>
      <c r="Q3" s="720">
        <v>264.64886948895503</v>
      </c>
      <c r="R3" s="720">
        <v>749.37839640702896</v>
      </c>
      <c r="S3" s="721">
        <v>6726.1764705882351</v>
      </c>
      <c r="T3" s="721">
        <v>14853.176470588236</v>
      </c>
      <c r="U3" s="720">
        <v>8100.0000000000009</v>
      </c>
      <c r="V3" s="720">
        <v>110.8178060392373</v>
      </c>
      <c r="W3" s="720">
        <v>179.00873882014577</v>
      </c>
      <c r="X3" s="720">
        <v>643.23529411764696</v>
      </c>
      <c r="Y3" s="720">
        <v>85.350035639578905</v>
      </c>
      <c r="Z3" s="720">
        <v>140.96956373479924</v>
      </c>
      <c r="AA3" s="720">
        <v>63.529411764705884</v>
      </c>
      <c r="AB3" s="720">
        <v>63.529411764705884</v>
      </c>
      <c r="AC3" s="720">
        <v>38.117647058823529</v>
      </c>
      <c r="AD3" s="720">
        <v>38.117647058823529</v>
      </c>
      <c r="AE3" s="720">
        <v>73.66942372881357</v>
      </c>
      <c r="AF3" s="720">
        <v>529.07255353938194</v>
      </c>
      <c r="AG3" s="720">
        <v>41.500498504486544</v>
      </c>
      <c r="AH3" s="720">
        <v>46.184974488299808</v>
      </c>
      <c r="AI3" s="720">
        <v>41.294117647058826</v>
      </c>
      <c r="AJ3" s="720">
        <v>82.588235294117652</v>
      </c>
      <c r="AK3" s="720">
        <v>114.40677966101704</v>
      </c>
      <c r="AL3" s="720">
        <v>117.77168494516451</v>
      </c>
      <c r="AM3" s="720">
        <v>58.28784406779662</v>
      </c>
      <c r="AN3" s="720">
        <v>66.705882352941174</v>
      </c>
      <c r="AO3" s="720">
        <v>133.41176470588235</v>
      </c>
      <c r="AP3" s="720">
        <v>41.294117647058826</v>
      </c>
      <c r="AQ3" s="721">
        <v>47.647058823529413</v>
      </c>
      <c r="AR3" s="721">
        <v>47.647058823529413</v>
      </c>
      <c r="AS3" s="720">
        <v>52.942134701630188</v>
      </c>
      <c r="AT3" s="722">
        <v>228.81355932203408</v>
      </c>
      <c r="AU3" s="722">
        <v>38.117647058823529</v>
      </c>
      <c r="AV3" s="722">
        <v>9.8171999999999997</v>
      </c>
      <c r="AW3" s="722">
        <v>487.9725882352941</v>
      </c>
      <c r="AX3" s="722">
        <v>180.36</v>
      </c>
      <c r="AY3" s="722">
        <v>43.011727757313572</v>
      </c>
      <c r="AZ3" s="722">
        <v>45.957971390078761</v>
      </c>
      <c r="BA3" s="722">
        <v>115.09480031394615</v>
      </c>
      <c r="BB3" s="722" t="s">
        <v>1562</v>
      </c>
      <c r="BC3" s="722" t="s">
        <v>1586</v>
      </c>
      <c r="BD3" s="722">
        <v>58.28784406779662</v>
      </c>
      <c r="BE3" s="722">
        <v>69.103342372881357</v>
      </c>
      <c r="BF3" s="723">
        <v>91.270799999999994</v>
      </c>
      <c r="BG3" s="722">
        <v>304.23599999999999</v>
      </c>
      <c r="BH3" s="722">
        <v>2560.2352941176473</v>
      </c>
      <c r="BI3" s="722">
        <v>2698.4117647058824</v>
      </c>
      <c r="BJ3" s="722">
        <v>2698.4117647058824</v>
      </c>
      <c r="BK3" s="723">
        <v>119.11764705882352</v>
      </c>
      <c r="BL3" s="723">
        <v>145.80000000000001</v>
      </c>
      <c r="BM3" s="723">
        <v>378</v>
      </c>
      <c r="BN3" s="723" t="s">
        <v>1433</v>
      </c>
      <c r="BO3" s="723">
        <v>176.47378233876728</v>
      </c>
      <c r="BP3" s="723">
        <v>58.824594112922433</v>
      </c>
      <c r="BQ3" s="723">
        <v>58.824594112922433</v>
      </c>
      <c r="BR3" s="723">
        <v>58.824594112922433</v>
      </c>
      <c r="BS3" s="723">
        <v>58.824594112922433</v>
      </c>
      <c r="BT3" s="723">
        <v>58.824594112922433</v>
      </c>
      <c r="BU3" s="723">
        <v>58.824594112922433</v>
      </c>
      <c r="BV3" s="723">
        <v>176.47378233876728</v>
      </c>
      <c r="BW3" s="723">
        <v>912.70800000000008</v>
      </c>
      <c r="BX3" s="723">
        <v>63.529411764705884</v>
      </c>
      <c r="BY3" s="723">
        <v>1500.1200000000001</v>
      </c>
      <c r="BZ3" s="723">
        <v>41.294117647058826</v>
      </c>
      <c r="CA3" s="723">
        <v>66.705882352941174</v>
      </c>
      <c r="CB3" s="723">
        <v>73.66942372881357</v>
      </c>
      <c r="CC3" s="723">
        <v>529.07255353938194</v>
      </c>
      <c r="CD3" s="723">
        <v>41.500498504486544</v>
      </c>
      <c r="CE3" s="723">
        <v>46.184974488299808</v>
      </c>
      <c r="CF3" s="723">
        <v>41.294117647058826</v>
      </c>
      <c r="CG3" s="723">
        <v>264.60000000000002</v>
      </c>
      <c r="CH3" s="723">
        <v>417.96000000000004</v>
      </c>
      <c r="CI3" s="723">
        <v>45.36</v>
      </c>
      <c r="CJ3" s="722">
        <v>3997.0800000000004</v>
      </c>
      <c r="CK3" s="720">
        <v>3804.84</v>
      </c>
      <c r="CL3" s="720">
        <v>5458.3200000000006</v>
      </c>
      <c r="CM3" s="720">
        <v>5266.08</v>
      </c>
      <c r="CN3" s="724">
        <v>4</v>
      </c>
      <c r="CO3" s="724">
        <v>1</v>
      </c>
      <c r="CP3" s="724" t="s">
        <v>1863</v>
      </c>
      <c r="CQ3" s="724">
        <v>0</v>
      </c>
    </row>
    <row r="4" spans="1:95">
      <c r="A4" s="725" t="s">
        <v>409</v>
      </c>
      <c r="B4" s="715">
        <v>4.8600000000000003</v>
      </c>
      <c r="C4" s="715" t="s">
        <v>1562</v>
      </c>
      <c r="D4" s="715">
        <v>3504.6000000000004</v>
      </c>
      <c r="E4" s="715">
        <v>510.64412655643071</v>
      </c>
      <c r="F4" s="715">
        <v>192.1764705882353</v>
      </c>
      <c r="G4" s="715">
        <v>2301.8960062789229</v>
      </c>
      <c r="H4" s="715">
        <v>321.61764705882348</v>
      </c>
      <c r="I4" s="715">
        <v>270.15882352941179</v>
      </c>
      <c r="J4" s="715">
        <v>430.11727757313565</v>
      </c>
      <c r="K4" s="715">
        <v>1429.92</v>
      </c>
      <c r="L4" s="715">
        <v>5558.8235294117649</v>
      </c>
      <c r="M4" s="715">
        <v>960.12000000000012</v>
      </c>
      <c r="N4" s="715">
        <v>11117.64705882353</v>
      </c>
      <c r="O4" s="715">
        <v>422.47058823529409</v>
      </c>
      <c r="P4" s="715">
        <v>972.00000000000011</v>
      </c>
      <c r="Q4" s="715">
        <v>264.64886948895503</v>
      </c>
      <c r="R4" s="715">
        <v>749.37839640702896</v>
      </c>
      <c r="S4" s="716">
        <v>7165.3235294117649</v>
      </c>
      <c r="T4" s="716">
        <v>15292.323529411764</v>
      </c>
      <c r="U4" s="715">
        <v>8100.0000000000009</v>
      </c>
      <c r="V4" s="715">
        <v>110.8178060392373</v>
      </c>
      <c r="W4" s="715">
        <v>179.00873882014577</v>
      </c>
      <c r="X4" s="715">
        <v>643.23529411764696</v>
      </c>
      <c r="Y4" s="715">
        <v>85.350035639578905</v>
      </c>
      <c r="Z4" s="715">
        <v>140.96956373479924</v>
      </c>
      <c r="AA4" s="715">
        <v>63.529411764705884</v>
      </c>
      <c r="AB4" s="715">
        <v>63.529411764705884</v>
      </c>
      <c r="AC4" s="715">
        <v>38.117647058823529</v>
      </c>
      <c r="AD4" s="715">
        <v>38.117647058823529</v>
      </c>
      <c r="AE4" s="715">
        <v>73.66942372881357</v>
      </c>
      <c r="AF4" s="715">
        <v>529.07255353938194</v>
      </c>
      <c r="AG4" s="715">
        <v>41.500498504486544</v>
      </c>
      <c r="AH4" s="715">
        <v>46.184974488299808</v>
      </c>
      <c r="AI4" s="715">
        <v>41.294117647058826</v>
      </c>
      <c r="AJ4" s="715">
        <v>82.588235294117652</v>
      </c>
      <c r="AK4" s="715">
        <v>114.40677966101704</v>
      </c>
      <c r="AL4" s="715">
        <v>117.77168494516451</v>
      </c>
      <c r="AM4" s="715">
        <v>58.28784406779662</v>
      </c>
      <c r="AN4" s="715">
        <v>66.705882352941174</v>
      </c>
      <c r="AO4" s="715">
        <v>133.41176470588235</v>
      </c>
      <c r="AP4" s="715">
        <v>41.294117647058826</v>
      </c>
      <c r="AQ4" s="716">
        <v>47.647058823529413</v>
      </c>
      <c r="AR4" s="716">
        <v>47.647058823529413</v>
      </c>
      <c r="AS4" s="715">
        <v>78.985043164248751</v>
      </c>
      <c r="AT4" s="718">
        <v>228.81355932203408</v>
      </c>
      <c r="AU4" s="718">
        <v>38.117647058823529</v>
      </c>
      <c r="AV4" s="718">
        <v>15.746400000000003</v>
      </c>
      <c r="AW4" s="718">
        <v>782.68870588235302</v>
      </c>
      <c r="AX4" s="718">
        <v>219.24</v>
      </c>
      <c r="AY4" s="718">
        <v>43.011727757313572</v>
      </c>
      <c r="AZ4" s="718">
        <v>45.957971390078761</v>
      </c>
      <c r="BA4" s="718">
        <v>115.09480031394615</v>
      </c>
      <c r="BB4" s="718" t="s">
        <v>1586</v>
      </c>
      <c r="BC4" s="718" t="s">
        <v>1594</v>
      </c>
      <c r="BD4" s="718">
        <v>69.103342372881357</v>
      </c>
      <c r="BE4" s="718">
        <v>77.96397870762712</v>
      </c>
      <c r="BF4" s="717">
        <v>105.13800000000001</v>
      </c>
      <c r="BG4" s="718">
        <v>420.55200000000002</v>
      </c>
      <c r="BH4" s="718">
        <v>2698.4117647058824</v>
      </c>
      <c r="BI4" s="718">
        <v>2698.4117647058824</v>
      </c>
      <c r="BJ4" s="718">
        <v>2711.1176470588234</v>
      </c>
      <c r="BK4" s="717">
        <v>119.11764705882352</v>
      </c>
      <c r="BL4" s="717">
        <v>145.80000000000001</v>
      </c>
      <c r="BM4" s="717">
        <v>378</v>
      </c>
      <c r="BN4" s="717" t="s">
        <v>1433</v>
      </c>
      <c r="BO4" s="717">
        <v>263.28347721416247</v>
      </c>
      <c r="BP4" s="717">
        <v>87.761159071387496</v>
      </c>
      <c r="BQ4" s="717">
        <v>87.761159071387496</v>
      </c>
      <c r="BR4" s="717">
        <v>87.761159071387496</v>
      </c>
      <c r="BS4" s="717">
        <v>87.761159071387496</v>
      </c>
      <c r="BT4" s="717">
        <v>87.761159071387496</v>
      </c>
      <c r="BU4" s="717">
        <v>87.761159071387496</v>
      </c>
      <c r="BV4" s="717">
        <v>263.28347721416247</v>
      </c>
      <c r="BW4" s="717">
        <v>1051.3800000000001</v>
      </c>
      <c r="BX4" s="717">
        <v>63.529411764705884</v>
      </c>
      <c r="BY4" s="717">
        <v>1939.68</v>
      </c>
      <c r="BZ4" s="717">
        <v>41.294117647058826</v>
      </c>
      <c r="CA4" s="717">
        <v>66.705882352941174</v>
      </c>
      <c r="CB4" s="717">
        <v>73.66942372881357</v>
      </c>
      <c r="CC4" s="717">
        <v>529.07255353938194</v>
      </c>
      <c r="CD4" s="717">
        <v>41.500498504486544</v>
      </c>
      <c r="CE4" s="717">
        <v>46.184974488299808</v>
      </c>
      <c r="CF4" s="717">
        <v>41.294117647058826</v>
      </c>
      <c r="CG4" s="717">
        <v>244.08</v>
      </c>
      <c r="CH4" s="717">
        <v>474.12</v>
      </c>
      <c r="CI4" s="717">
        <v>55.080000000000005</v>
      </c>
      <c r="CJ4" s="718">
        <v>5029.5600000000004</v>
      </c>
      <c r="CK4" s="715">
        <v>4631.04</v>
      </c>
      <c r="CL4" s="715">
        <v>6780.2400000000007</v>
      </c>
      <c r="CM4" s="715">
        <v>6381.72</v>
      </c>
      <c r="CN4" s="719">
        <v>5</v>
      </c>
      <c r="CO4" s="719">
        <v>1</v>
      </c>
      <c r="CP4" s="719" t="s">
        <v>1863</v>
      </c>
      <c r="CQ4" s="719">
        <v>0</v>
      </c>
    </row>
    <row r="5" spans="1:95">
      <c r="A5" s="726" t="s">
        <v>410</v>
      </c>
      <c r="B5" s="720">
        <v>6.67</v>
      </c>
      <c r="C5" s="720" t="s">
        <v>1562</v>
      </c>
      <c r="D5" s="720">
        <v>4605.12</v>
      </c>
      <c r="E5" s="720">
        <v>709.07855342697917</v>
      </c>
      <c r="F5" s="720">
        <v>288.26470588235293</v>
      </c>
      <c r="G5" s="720">
        <v>2589.5107303485706</v>
      </c>
      <c r="H5" s="720">
        <v>321.61764705882348</v>
      </c>
      <c r="I5" s="720">
        <v>270.15882352941179</v>
      </c>
      <c r="J5" s="720">
        <v>593.05805038038648</v>
      </c>
      <c r="K5" s="720">
        <v>1993.6800000000003</v>
      </c>
      <c r="L5" s="720">
        <v>6670.588235294118</v>
      </c>
      <c r="M5" s="720">
        <v>1209.6000000000001</v>
      </c>
      <c r="N5" s="720">
        <v>13341.176470588236</v>
      </c>
      <c r="O5" s="720">
        <v>422.47058823529409</v>
      </c>
      <c r="P5" s="720">
        <v>1296</v>
      </c>
      <c r="Q5" s="720">
        <v>538.53335789272808</v>
      </c>
      <c r="R5" s="720">
        <v>1550.5519557203388</v>
      </c>
      <c r="S5" s="721">
        <v>8705.1176470588234</v>
      </c>
      <c r="T5" s="721">
        <v>17143.411764705881</v>
      </c>
      <c r="U5" s="720">
        <v>8850.6</v>
      </c>
      <c r="V5" s="720">
        <v>161.73409530050847</v>
      </c>
      <c r="W5" s="720">
        <v>261.25599719696953</v>
      </c>
      <c r="X5" s="720">
        <v>643.23529411764696</v>
      </c>
      <c r="Y5" s="720">
        <v>140.84693550119172</v>
      </c>
      <c r="Z5" s="720">
        <v>231.77118011305615</v>
      </c>
      <c r="AA5" s="720">
        <v>63.529411764705884</v>
      </c>
      <c r="AB5" s="720">
        <v>63.529411764705884</v>
      </c>
      <c r="AC5" s="720">
        <v>38.117647058823529</v>
      </c>
      <c r="AD5" s="720">
        <v>38.117647058823529</v>
      </c>
      <c r="AE5" s="720">
        <v>73.66942372881357</v>
      </c>
      <c r="AF5" s="720">
        <v>529.07255353938194</v>
      </c>
      <c r="AG5" s="720">
        <v>41.500498504486544</v>
      </c>
      <c r="AH5" s="720">
        <v>46.184974488299808</v>
      </c>
      <c r="AI5" s="720">
        <v>41.294117647058826</v>
      </c>
      <c r="AJ5" s="720">
        <v>82.588235294117652</v>
      </c>
      <c r="AK5" s="720">
        <v>114.40677966101704</v>
      </c>
      <c r="AL5" s="720">
        <v>117.77168494516451</v>
      </c>
      <c r="AM5" s="720">
        <v>58.28784406779662</v>
      </c>
      <c r="AN5" s="720">
        <v>66.705882352941174</v>
      </c>
      <c r="AO5" s="720">
        <v>133.41176470588235</v>
      </c>
      <c r="AP5" s="720">
        <v>41.294117647058826</v>
      </c>
      <c r="AQ5" s="721">
        <v>47.647058823529413</v>
      </c>
      <c r="AR5" s="721">
        <v>47.647058823529413</v>
      </c>
      <c r="AS5" s="720">
        <v>81.478581313996628</v>
      </c>
      <c r="AT5" s="722">
        <v>228.81355932203408</v>
      </c>
      <c r="AU5" s="722">
        <v>38.117647058823529</v>
      </c>
      <c r="AV5" s="722">
        <v>21.610800000000005</v>
      </c>
      <c r="AW5" s="722">
        <v>1074.1838823529408</v>
      </c>
      <c r="AX5" s="722">
        <v>302.40000000000003</v>
      </c>
      <c r="AY5" s="722">
        <v>59.305805038038649</v>
      </c>
      <c r="AZ5" s="722">
        <v>63.817069808428123</v>
      </c>
      <c r="BA5" s="722">
        <v>129.47553651742854</v>
      </c>
      <c r="BB5" s="722" t="s">
        <v>1586</v>
      </c>
      <c r="BC5" s="722" t="s">
        <v>1594</v>
      </c>
      <c r="BD5" s="722">
        <v>69.103342372881357</v>
      </c>
      <c r="BE5" s="722">
        <v>77.96397870762712</v>
      </c>
      <c r="BF5" s="723">
        <v>138.15360000000001</v>
      </c>
      <c r="BG5" s="722">
        <v>552.61440000000005</v>
      </c>
      <c r="BH5" s="722">
        <v>2698.4117647058824</v>
      </c>
      <c r="BI5" s="722">
        <v>2698.4117647058824</v>
      </c>
      <c r="BJ5" s="722">
        <v>2711.1176470588234</v>
      </c>
      <c r="BK5" s="723">
        <v>119.11764705882352</v>
      </c>
      <c r="BL5" s="723">
        <v>145.80000000000001</v>
      </c>
      <c r="BM5" s="723">
        <v>378</v>
      </c>
      <c r="BN5" s="723" t="s">
        <v>1433</v>
      </c>
      <c r="BO5" s="723">
        <v>271.59527104665545</v>
      </c>
      <c r="BP5" s="723">
        <v>90.531757015551833</v>
      </c>
      <c r="BQ5" s="723">
        <v>90.531757015551833</v>
      </c>
      <c r="BR5" s="723">
        <v>90.531757015551833</v>
      </c>
      <c r="BS5" s="723">
        <v>90.531757015551833</v>
      </c>
      <c r="BT5" s="723">
        <v>90.531757015551833</v>
      </c>
      <c r="BU5" s="723">
        <v>90.531757015551833</v>
      </c>
      <c r="BV5" s="723">
        <v>271.59527104665545</v>
      </c>
      <c r="BW5" s="723">
        <v>1381.5360000000001</v>
      </c>
      <c r="BX5" s="723">
        <v>63.529411764705884</v>
      </c>
      <c r="BY5" s="723">
        <v>3007.8</v>
      </c>
      <c r="BZ5" s="723">
        <v>41.294117647058826</v>
      </c>
      <c r="CA5" s="723">
        <v>66.705882352941174</v>
      </c>
      <c r="CB5" s="723">
        <v>73.66942372881357</v>
      </c>
      <c r="CC5" s="723">
        <v>529.07255353938194</v>
      </c>
      <c r="CD5" s="723">
        <v>41.500498504486544</v>
      </c>
      <c r="CE5" s="723">
        <v>46.184974488299808</v>
      </c>
      <c r="CF5" s="723">
        <v>41.294117647058826</v>
      </c>
      <c r="CG5" s="723">
        <v>344.52000000000004</v>
      </c>
      <c r="CH5" s="723">
        <v>937.44</v>
      </c>
      <c r="CI5" s="723">
        <v>68.040000000000006</v>
      </c>
      <c r="CJ5" s="722">
        <v>6342.84</v>
      </c>
      <c r="CK5" s="720">
        <v>5991.84</v>
      </c>
      <c r="CL5" s="720">
        <v>8117.2800000000007</v>
      </c>
      <c r="CM5" s="720">
        <v>7766.2800000000007</v>
      </c>
      <c r="CN5" s="724">
        <v>6</v>
      </c>
      <c r="CO5" s="724">
        <v>1</v>
      </c>
      <c r="CP5" s="724" t="s">
        <v>1863</v>
      </c>
      <c r="CQ5" s="724">
        <v>0</v>
      </c>
    </row>
    <row r="6" spans="1:95">
      <c r="A6" s="725" t="s">
        <v>412</v>
      </c>
      <c r="B6" s="715">
        <v>8.33</v>
      </c>
      <c r="C6" s="715" t="s">
        <v>1586</v>
      </c>
      <c r="D6" s="715">
        <v>5236.92</v>
      </c>
      <c r="E6" s="715">
        <v>720.05337708101695</v>
      </c>
      <c r="F6" s="715">
        <v>288.26470588235293</v>
      </c>
      <c r="G6" s="715">
        <v>2607.0704481950306</v>
      </c>
      <c r="H6" s="715">
        <v>471.70588235294122</v>
      </c>
      <c r="I6" s="715">
        <v>428.8235294117647</v>
      </c>
      <c r="J6" s="715">
        <v>593.05805038038648</v>
      </c>
      <c r="K6" s="715">
        <v>2257.2000000000003</v>
      </c>
      <c r="L6" s="715">
        <v>8894.1176470588234</v>
      </c>
      <c r="M6" s="715">
        <v>1325.16</v>
      </c>
      <c r="N6" s="715">
        <v>17788.235294117647</v>
      </c>
      <c r="O6" s="715">
        <v>422.47058823529409</v>
      </c>
      <c r="P6" s="715">
        <v>1296</v>
      </c>
      <c r="Q6" s="715">
        <v>538.53335789272808</v>
      </c>
      <c r="R6" s="715">
        <v>1550.5519557203388</v>
      </c>
      <c r="S6" s="716">
        <v>9205.4117647058811</v>
      </c>
      <c r="T6" s="716">
        <v>17643.705882352941</v>
      </c>
      <c r="U6" s="715">
        <v>9298.8000000000011</v>
      </c>
      <c r="V6" s="715">
        <v>161.73409530050847</v>
      </c>
      <c r="W6" s="715">
        <v>261.25599719696953</v>
      </c>
      <c r="X6" s="715">
        <v>643.23529411764696</v>
      </c>
      <c r="Y6" s="715">
        <v>140.84693550119172</v>
      </c>
      <c r="Z6" s="715">
        <v>231.77118011305615</v>
      </c>
      <c r="AA6" s="715">
        <v>63.529411764705884</v>
      </c>
      <c r="AB6" s="715">
        <v>63.529411764705884</v>
      </c>
      <c r="AC6" s="715">
        <v>38.117647058823529</v>
      </c>
      <c r="AD6" s="715">
        <v>38.117647058823529</v>
      </c>
      <c r="AE6" s="715">
        <v>73.66942372881357</v>
      </c>
      <c r="AF6" s="715">
        <v>529.07255353938194</v>
      </c>
      <c r="AG6" s="715">
        <v>41.500498504486544</v>
      </c>
      <c r="AH6" s="715">
        <v>46.184974488299808</v>
      </c>
      <c r="AI6" s="715">
        <v>41.294117647058826</v>
      </c>
      <c r="AJ6" s="715">
        <v>82.588235294117652</v>
      </c>
      <c r="AK6" s="715">
        <v>114.40677966101704</v>
      </c>
      <c r="AL6" s="715">
        <v>117.77168494516451</v>
      </c>
      <c r="AM6" s="715">
        <v>69.103342372881357</v>
      </c>
      <c r="AN6" s="715">
        <v>66.705882352941174</v>
      </c>
      <c r="AO6" s="715">
        <v>133.41176470588235</v>
      </c>
      <c r="AP6" s="715">
        <v>41.294117647058826</v>
      </c>
      <c r="AQ6" s="716">
        <v>47.647058823529413</v>
      </c>
      <c r="AR6" s="716">
        <v>47.647058823529413</v>
      </c>
      <c r="AS6" s="715">
        <v>88.156048645721654</v>
      </c>
      <c r="AT6" s="718">
        <v>228.81355932203408</v>
      </c>
      <c r="AU6" s="718">
        <v>38.117647058823529</v>
      </c>
      <c r="AV6" s="718">
        <v>26.989200000000004</v>
      </c>
      <c r="AW6" s="718">
        <v>1341.5219999999999</v>
      </c>
      <c r="AX6" s="718">
        <v>303.48</v>
      </c>
      <c r="AY6" s="718">
        <v>59.305805038038649</v>
      </c>
      <c r="AZ6" s="718">
        <v>64.804803937291524</v>
      </c>
      <c r="BA6" s="718">
        <v>130.35352240975155</v>
      </c>
      <c r="BB6" s="718" t="s">
        <v>1594</v>
      </c>
      <c r="BC6" s="718" t="s">
        <v>1597</v>
      </c>
      <c r="BD6" s="718">
        <v>77.96397870762712</v>
      </c>
      <c r="BE6" s="718">
        <v>77.96397870762712</v>
      </c>
      <c r="BF6" s="717">
        <v>157.10760000000002</v>
      </c>
      <c r="BG6" s="718">
        <v>733.16880000000003</v>
      </c>
      <c r="BH6" s="718">
        <v>2698.4117647058824</v>
      </c>
      <c r="BI6" s="718">
        <v>2711.1176470588234</v>
      </c>
      <c r="BJ6" s="718">
        <v>2827.0588235294117</v>
      </c>
      <c r="BK6" s="717">
        <v>119.11764705882352</v>
      </c>
      <c r="BL6" s="717">
        <v>145.80000000000001</v>
      </c>
      <c r="BM6" s="717">
        <v>378</v>
      </c>
      <c r="BN6" s="717" t="s">
        <v>1433</v>
      </c>
      <c r="BO6" s="717">
        <v>293.85349548573885</v>
      </c>
      <c r="BP6" s="717">
        <v>97.951165161912954</v>
      </c>
      <c r="BQ6" s="717">
        <v>97.951165161912954</v>
      </c>
      <c r="BR6" s="717">
        <v>97.951165161912954</v>
      </c>
      <c r="BS6" s="717">
        <v>97.951165161912954</v>
      </c>
      <c r="BT6" s="717">
        <v>97.951165161912954</v>
      </c>
      <c r="BU6" s="717">
        <v>97.951165161912954</v>
      </c>
      <c r="BV6" s="717">
        <v>293.85349548573885</v>
      </c>
      <c r="BW6" s="717">
        <v>1571.0760000000002</v>
      </c>
      <c r="BX6" s="717">
        <v>63.529411764705884</v>
      </c>
      <c r="BY6" s="717">
        <v>2715.1200000000003</v>
      </c>
      <c r="BZ6" s="717">
        <v>41.294117647058826</v>
      </c>
      <c r="CA6" s="717">
        <v>66.705882352941174</v>
      </c>
      <c r="CB6" s="717">
        <v>73.66942372881357</v>
      </c>
      <c r="CC6" s="717">
        <v>529.07255353938194</v>
      </c>
      <c r="CD6" s="717">
        <v>41.500498504486544</v>
      </c>
      <c r="CE6" s="717">
        <v>46.184974488299808</v>
      </c>
      <c r="CF6" s="717">
        <v>41.294117647058826</v>
      </c>
      <c r="CG6" s="717">
        <v>344.52000000000004</v>
      </c>
      <c r="CH6" s="717">
        <v>667.44</v>
      </c>
      <c r="CI6" s="717">
        <v>65.88000000000001</v>
      </c>
      <c r="CJ6" s="718">
        <v>6747.84</v>
      </c>
      <c r="CK6" s="715">
        <v>6525.3600000000006</v>
      </c>
      <c r="CL6" s="715">
        <v>8569.8000000000011</v>
      </c>
      <c r="CM6" s="715">
        <v>8347.32</v>
      </c>
      <c r="CN6" s="719">
        <v>8</v>
      </c>
      <c r="CO6" s="719">
        <v>1</v>
      </c>
      <c r="CP6" s="719" t="s">
        <v>1863</v>
      </c>
      <c r="CQ6" s="719">
        <v>0</v>
      </c>
    </row>
    <row r="7" spans="1:95">
      <c r="A7" s="726" t="s">
        <v>413</v>
      </c>
      <c r="B7" s="720">
        <v>10</v>
      </c>
      <c r="C7" s="720" t="s">
        <v>1594</v>
      </c>
      <c r="D7" s="720">
        <v>6001.56</v>
      </c>
      <c r="E7" s="720">
        <v>720.05337708101695</v>
      </c>
      <c r="F7" s="720">
        <v>288.26470588235293</v>
      </c>
      <c r="G7" s="720">
        <v>2607.0704481950306</v>
      </c>
      <c r="H7" s="720">
        <v>471.70588235294122</v>
      </c>
      <c r="I7" s="720">
        <v>469.56176470588241</v>
      </c>
      <c r="J7" s="720">
        <v>593.05805038038648</v>
      </c>
      <c r="K7" s="720">
        <v>2312.2800000000002</v>
      </c>
      <c r="L7" s="720">
        <v>11117.64705882353</v>
      </c>
      <c r="M7" s="720">
        <v>2161.08</v>
      </c>
      <c r="N7" s="720">
        <v>22235.294117647059</v>
      </c>
      <c r="O7" s="720">
        <v>422.47058823529409</v>
      </c>
      <c r="P7" s="720">
        <v>1296</v>
      </c>
      <c r="Q7" s="720">
        <v>538.53335789272808</v>
      </c>
      <c r="R7" s="720">
        <v>1550.5519557203388</v>
      </c>
      <c r="S7" s="721">
        <v>9205.4117647058811</v>
      </c>
      <c r="T7" s="721">
        <v>20067.352941176468</v>
      </c>
      <c r="U7" s="720">
        <v>10098</v>
      </c>
      <c r="V7" s="720">
        <v>161.73409530050847</v>
      </c>
      <c r="W7" s="720">
        <v>261.25599719696953</v>
      </c>
      <c r="X7" s="720">
        <v>643.23529411764696</v>
      </c>
      <c r="Y7" s="720">
        <v>140.84693550119172</v>
      </c>
      <c r="Z7" s="720">
        <v>231.77118011305615</v>
      </c>
      <c r="AA7" s="720">
        <v>63.529411764705884</v>
      </c>
      <c r="AB7" s="720">
        <v>63.529411764705884</v>
      </c>
      <c r="AC7" s="720">
        <v>38.117647058823529</v>
      </c>
      <c r="AD7" s="720">
        <v>38.117647058823529</v>
      </c>
      <c r="AE7" s="720">
        <v>73.66942372881357</v>
      </c>
      <c r="AF7" s="720">
        <v>529.07255353938194</v>
      </c>
      <c r="AG7" s="720">
        <v>83.000997008973087</v>
      </c>
      <c r="AH7" s="720">
        <v>46.184974488299808</v>
      </c>
      <c r="AI7" s="720">
        <v>41.294117647058826</v>
      </c>
      <c r="AJ7" s="720">
        <v>82.588235294117652</v>
      </c>
      <c r="AK7" s="720">
        <v>152.54237288135596</v>
      </c>
      <c r="AL7" s="720">
        <v>157.02891326021933</v>
      </c>
      <c r="AM7" s="720">
        <v>77.96397870762712</v>
      </c>
      <c r="AN7" s="720">
        <v>66.705882352941174</v>
      </c>
      <c r="AO7" s="720">
        <v>133.41176470588235</v>
      </c>
      <c r="AP7" s="720">
        <v>41.294117647058826</v>
      </c>
      <c r="AQ7" s="721">
        <v>47.647058823529413</v>
      </c>
      <c r="AR7" s="721">
        <v>47.647058823529413</v>
      </c>
      <c r="AS7" s="720">
        <v>115.64270465432176</v>
      </c>
      <c r="AT7" s="722">
        <v>305.08474576271192</v>
      </c>
      <c r="AU7" s="722">
        <v>38.117647058823529</v>
      </c>
      <c r="AV7" s="722">
        <v>32.400000000000006</v>
      </c>
      <c r="AW7" s="722">
        <v>1610.4705882352939</v>
      </c>
      <c r="AX7" s="722">
        <v>365.04</v>
      </c>
      <c r="AY7" s="722">
        <v>59.305805038038649</v>
      </c>
      <c r="AZ7" s="722">
        <v>64.804803937291524</v>
      </c>
      <c r="BA7" s="722">
        <v>130.35352240975155</v>
      </c>
      <c r="BB7" s="722" t="s">
        <v>1597</v>
      </c>
      <c r="BC7" s="722" t="s">
        <v>1597</v>
      </c>
      <c r="BD7" s="722">
        <v>77.96397870762712</v>
      </c>
      <c r="BE7" s="722">
        <v>77.96397870762712</v>
      </c>
      <c r="BF7" s="723">
        <v>180.04680000000002</v>
      </c>
      <c r="BG7" s="722">
        <v>840.21840000000009</v>
      </c>
      <c r="BH7" s="722">
        <v>2711.1176470588234</v>
      </c>
      <c r="BI7" s="722">
        <v>2827.0588235294117</v>
      </c>
      <c r="BJ7" s="722">
        <v>2827.0588235294117</v>
      </c>
      <c r="BK7" s="723">
        <v>119.11764705882352</v>
      </c>
      <c r="BL7" s="723">
        <v>145.80000000000001</v>
      </c>
      <c r="BM7" s="723">
        <v>378</v>
      </c>
      <c r="BN7" s="723">
        <v>108</v>
      </c>
      <c r="BO7" s="723">
        <v>385.47568218107261</v>
      </c>
      <c r="BP7" s="723">
        <v>128.49189406035754</v>
      </c>
      <c r="BQ7" s="723">
        <v>128.49189406035754</v>
      </c>
      <c r="BR7" s="723">
        <v>128.49189406035754</v>
      </c>
      <c r="BS7" s="723">
        <v>128.49189406035754</v>
      </c>
      <c r="BT7" s="723">
        <v>128.49189406035754</v>
      </c>
      <c r="BU7" s="723">
        <v>128.49189406035754</v>
      </c>
      <c r="BV7" s="723">
        <v>385.47568218107261</v>
      </c>
      <c r="BW7" s="723">
        <v>1800.4680000000001</v>
      </c>
      <c r="BX7" s="723">
        <v>63.529411764705884</v>
      </c>
      <c r="BY7" s="723">
        <v>3838.32</v>
      </c>
      <c r="BZ7" s="723">
        <v>41.294117647058826</v>
      </c>
      <c r="CA7" s="723">
        <v>66.705882352941174</v>
      </c>
      <c r="CB7" s="723">
        <v>73.66942372881357</v>
      </c>
      <c r="CC7" s="723">
        <v>529.07255353938194</v>
      </c>
      <c r="CD7" s="723">
        <v>83.000997008973087</v>
      </c>
      <c r="CE7" s="723">
        <v>46.184974488299808</v>
      </c>
      <c r="CF7" s="723">
        <v>41.294117647058826</v>
      </c>
      <c r="CG7" s="723">
        <v>427.68</v>
      </c>
      <c r="CH7" s="723">
        <v>853.2</v>
      </c>
      <c r="CI7" s="723">
        <v>77.760000000000005</v>
      </c>
      <c r="CJ7" s="722">
        <v>7896.9600000000009</v>
      </c>
      <c r="CK7" s="720">
        <v>7689.6</v>
      </c>
      <c r="CL7" s="720">
        <v>10568.880000000001</v>
      </c>
      <c r="CM7" s="720">
        <v>10361.52</v>
      </c>
      <c r="CN7" s="724">
        <v>10</v>
      </c>
      <c r="CO7" s="724">
        <v>1</v>
      </c>
      <c r="CP7" s="724" t="s">
        <v>1863</v>
      </c>
      <c r="CQ7" s="724">
        <v>0</v>
      </c>
    </row>
    <row r="8" spans="1:95">
      <c r="A8" s="725" t="s">
        <v>414</v>
      </c>
      <c r="B8" s="715">
        <v>12.5</v>
      </c>
      <c r="C8" s="715" t="s">
        <v>1594</v>
      </c>
      <c r="D8" s="715">
        <v>6598.8</v>
      </c>
      <c r="E8" s="715">
        <v>1056.3155638337623</v>
      </c>
      <c r="F8" s="715">
        <v>576.52941176470586</v>
      </c>
      <c r="G8" s="715">
        <v>3105.2494684351168</v>
      </c>
      <c r="H8" s="715">
        <v>696.83823529411768</v>
      </c>
      <c r="I8" s="715">
        <v>531.74117647058824</v>
      </c>
      <c r="J8" s="715">
        <v>843.52494164337861</v>
      </c>
      <c r="K8" s="715">
        <v>3448.44</v>
      </c>
      <c r="L8" s="715">
        <v>13341.176470588236</v>
      </c>
      <c r="M8" s="715">
        <v>1832.7600000000002</v>
      </c>
      <c r="N8" s="715">
        <v>26682.352941176472</v>
      </c>
      <c r="O8" s="715">
        <v>576.52941176470586</v>
      </c>
      <c r="P8" s="715">
        <v>1296</v>
      </c>
      <c r="Q8" s="715">
        <v>790.80463692126762</v>
      </c>
      <c r="R8" s="715">
        <v>2646.3611704262212</v>
      </c>
      <c r="S8" s="716">
        <v>10939.764705882353</v>
      </c>
      <c r="T8" s="716">
        <v>25459.411764705881</v>
      </c>
      <c r="U8" s="715">
        <v>14569.2</v>
      </c>
      <c r="V8" s="715">
        <v>227.62576375627114</v>
      </c>
      <c r="W8" s="715">
        <v>367.69362568462378</v>
      </c>
      <c r="X8" s="715">
        <v>643.23529411764696</v>
      </c>
      <c r="Y8" s="715">
        <v>399.41466336943859</v>
      </c>
      <c r="Z8" s="715">
        <v>657.58656335520118</v>
      </c>
      <c r="AA8" s="715">
        <v>63.529411764705884</v>
      </c>
      <c r="AB8" s="715">
        <v>63.529411764705884</v>
      </c>
      <c r="AC8" s="715">
        <v>38.117647058823529</v>
      </c>
      <c r="AD8" s="715">
        <v>38.117647058823529</v>
      </c>
      <c r="AE8" s="720">
        <v>73.66942372881357</v>
      </c>
      <c r="AF8" s="720">
        <v>529.07255353938194</v>
      </c>
      <c r="AG8" s="715">
        <v>83.000997008973087</v>
      </c>
      <c r="AH8" s="715">
        <v>92.369948976599616</v>
      </c>
      <c r="AI8" s="715">
        <v>41.294117647058826</v>
      </c>
      <c r="AJ8" s="715">
        <v>82.588235294117652</v>
      </c>
      <c r="AK8" s="715">
        <v>152.54237288135596</v>
      </c>
      <c r="AL8" s="715">
        <v>157.02891326021933</v>
      </c>
      <c r="AM8" s="715">
        <v>77.96397870762712</v>
      </c>
      <c r="AN8" s="715">
        <v>66.705882352941174</v>
      </c>
      <c r="AO8" s="715">
        <v>133.41176470588235</v>
      </c>
      <c r="AP8" s="715">
        <v>41.294117647058826</v>
      </c>
      <c r="AQ8" s="716">
        <v>47.647058823529413</v>
      </c>
      <c r="AR8" s="716">
        <v>47.647058823529413</v>
      </c>
      <c r="AS8" s="715">
        <v>139.2495058374584</v>
      </c>
      <c r="AT8" s="718">
        <v>305.08474576271192</v>
      </c>
      <c r="AU8" s="718">
        <v>38.117647058823529</v>
      </c>
      <c r="AV8" s="718">
        <v>40.5</v>
      </c>
      <c r="AW8" s="718">
        <v>2013.0882352941176</v>
      </c>
      <c r="AX8" s="718">
        <v>363.96000000000004</v>
      </c>
      <c r="AY8" s="718">
        <v>84.35249416433787</v>
      </c>
      <c r="AZ8" s="718">
        <v>95.068400745038616</v>
      </c>
      <c r="BA8" s="718">
        <v>155.26247342175586</v>
      </c>
      <c r="BB8" s="718" t="s">
        <v>1597</v>
      </c>
      <c r="BC8" s="718" t="s">
        <v>1604</v>
      </c>
      <c r="BD8" s="718">
        <v>77.96397870762712</v>
      </c>
      <c r="BE8" s="718">
        <v>76.915533050847472</v>
      </c>
      <c r="BF8" s="718">
        <v>329.94</v>
      </c>
      <c r="BG8" s="718">
        <v>923.83200000000011</v>
      </c>
      <c r="BH8" s="718">
        <v>2711.1176470588234</v>
      </c>
      <c r="BI8" s="718">
        <v>2827.0588235294117</v>
      </c>
      <c r="BJ8" s="718">
        <v>3451.2352941176473</v>
      </c>
      <c r="BK8" s="718">
        <v>158.82352941176472</v>
      </c>
      <c r="BL8" s="718">
        <v>145.80000000000001</v>
      </c>
      <c r="BM8" s="717">
        <v>378</v>
      </c>
      <c r="BN8" s="717">
        <v>108</v>
      </c>
      <c r="BO8" s="717">
        <v>464.16501945819471</v>
      </c>
      <c r="BP8" s="717">
        <v>154.7216731527316</v>
      </c>
      <c r="BQ8" s="717">
        <v>154.7216731527316</v>
      </c>
      <c r="BR8" s="718">
        <v>154.7216731527316</v>
      </c>
      <c r="BS8" s="718">
        <v>154.7216731527316</v>
      </c>
      <c r="BT8" s="718">
        <v>154.7216731527316</v>
      </c>
      <c r="BU8" s="718">
        <v>154.7216731527316</v>
      </c>
      <c r="BV8" s="718">
        <v>464.16501945819471</v>
      </c>
      <c r="BW8" s="717">
        <v>1979.64</v>
      </c>
      <c r="BX8" s="717">
        <v>63.529411764705884</v>
      </c>
      <c r="BY8" s="717">
        <v>3784.32</v>
      </c>
      <c r="BZ8" s="717">
        <v>41.294117647058826</v>
      </c>
      <c r="CA8" s="717">
        <v>66.705882352941174</v>
      </c>
      <c r="CB8" s="717">
        <v>147.33884745762714</v>
      </c>
      <c r="CC8" s="717">
        <v>1058.1451070787639</v>
      </c>
      <c r="CD8" s="717">
        <v>83.000997008973087</v>
      </c>
      <c r="CE8" s="717">
        <v>92.369948976599616</v>
      </c>
      <c r="CF8" s="717">
        <v>41.294117647058826</v>
      </c>
      <c r="CG8" s="717">
        <v>770.04000000000008</v>
      </c>
      <c r="CH8" s="717">
        <v>793.80000000000007</v>
      </c>
      <c r="CI8" s="717">
        <v>78.84</v>
      </c>
      <c r="CJ8" s="718">
        <v>8453.16</v>
      </c>
      <c r="CK8" s="715">
        <v>8090.2800000000007</v>
      </c>
      <c r="CL8" s="715">
        <v>10904.76</v>
      </c>
      <c r="CM8" s="715">
        <v>10541.880000000001</v>
      </c>
      <c r="CN8" s="719">
        <v>12</v>
      </c>
      <c r="CO8" s="719">
        <v>1</v>
      </c>
      <c r="CP8" s="719" t="s">
        <v>1864</v>
      </c>
      <c r="CQ8" s="719">
        <v>0</v>
      </c>
    </row>
    <row r="9" spans="1:95">
      <c r="A9" s="726" t="s">
        <v>415</v>
      </c>
      <c r="B9" s="720">
        <v>16.5</v>
      </c>
      <c r="C9" s="720" t="s">
        <v>1597</v>
      </c>
      <c r="D9" s="720">
        <v>8574.1200000000008</v>
      </c>
      <c r="E9" s="720">
        <v>1056.3155638337623</v>
      </c>
      <c r="F9" s="720">
        <v>576.52941176470586</v>
      </c>
      <c r="G9" s="720">
        <v>3105.2494684351168</v>
      </c>
      <c r="H9" s="720">
        <v>900.52941176470586</v>
      </c>
      <c r="I9" s="720">
        <v>570.33529411764709</v>
      </c>
      <c r="J9" s="720">
        <v>843.52494164337861</v>
      </c>
      <c r="K9" s="720">
        <v>3410.6400000000003</v>
      </c>
      <c r="L9" s="720">
        <v>17788.235294117647</v>
      </c>
      <c r="M9" s="720">
        <v>1744.2</v>
      </c>
      <c r="N9" s="720">
        <v>35576.470588235294</v>
      </c>
      <c r="O9" s="720">
        <v>576.52941176470586</v>
      </c>
      <c r="P9" s="720">
        <v>1404</v>
      </c>
      <c r="Q9" s="720">
        <v>790.80463692126762</v>
      </c>
      <c r="R9" s="720">
        <v>2646.3611704262212</v>
      </c>
      <c r="S9" s="721">
        <v>17504.735294117647</v>
      </c>
      <c r="T9" s="721">
        <v>27232.676470588238</v>
      </c>
      <c r="U9" s="720">
        <v>14904.000000000002</v>
      </c>
      <c r="V9" s="720">
        <v>227.62576375627114</v>
      </c>
      <c r="W9" s="720">
        <v>367.69362568462378</v>
      </c>
      <c r="X9" s="720">
        <v>643.23529411764696</v>
      </c>
      <c r="Y9" s="720">
        <v>399.41466336943859</v>
      </c>
      <c r="Z9" s="720">
        <v>657.58656335520118</v>
      </c>
      <c r="AA9" s="720">
        <v>63.529411764705884</v>
      </c>
      <c r="AB9" s="720">
        <v>63.529411764705884</v>
      </c>
      <c r="AC9" s="720">
        <v>38.117647058823529</v>
      </c>
      <c r="AD9" s="720">
        <v>38.117647058823529</v>
      </c>
      <c r="AE9" s="720">
        <v>73.66942372881357</v>
      </c>
      <c r="AF9" s="720">
        <v>529.07255353938194</v>
      </c>
      <c r="AG9" s="720">
        <v>83.000997008973087</v>
      </c>
      <c r="AH9" s="720">
        <v>92.369948976599616</v>
      </c>
      <c r="AI9" s="720">
        <v>41.294117647058826</v>
      </c>
      <c r="AJ9" s="720">
        <v>82.588235294117652</v>
      </c>
      <c r="AK9" s="720">
        <v>152.54237288135596</v>
      </c>
      <c r="AL9" s="720">
        <v>157.02891326021933</v>
      </c>
      <c r="AM9" s="720">
        <v>77.96397870762712</v>
      </c>
      <c r="AN9" s="720">
        <v>66.705882352941174</v>
      </c>
      <c r="AO9" s="720">
        <v>133.41176470588235</v>
      </c>
      <c r="AP9" s="720">
        <v>41.294117647058826</v>
      </c>
      <c r="AQ9" s="721">
        <v>47.647058823529413</v>
      </c>
      <c r="AR9" s="721">
        <v>47.647058823529413</v>
      </c>
      <c r="AS9" s="720">
        <v>145.59485589808722</v>
      </c>
      <c r="AT9" s="722">
        <v>305.08474576271192</v>
      </c>
      <c r="AU9" s="722">
        <v>38.117647058823529</v>
      </c>
      <c r="AV9" s="722">
        <v>53.46</v>
      </c>
      <c r="AW9" s="722">
        <v>2657.276470588235</v>
      </c>
      <c r="AX9" s="722">
        <v>416.88000000000005</v>
      </c>
      <c r="AY9" s="722">
        <v>84.35249416433787</v>
      </c>
      <c r="AZ9" s="722">
        <v>95.068400745038616</v>
      </c>
      <c r="BA9" s="722">
        <v>155.26247342175586</v>
      </c>
      <c r="BB9" s="722" t="s">
        <v>1604</v>
      </c>
      <c r="BC9" s="722" t="s">
        <v>1722</v>
      </c>
      <c r="BD9" s="722">
        <v>76.915533050847472</v>
      </c>
      <c r="BE9" s="722">
        <v>85.561085593220355</v>
      </c>
      <c r="BF9" s="722">
        <v>428.70600000000007</v>
      </c>
      <c r="BG9" s="722">
        <v>1286.1179999999999</v>
      </c>
      <c r="BH9" s="722">
        <v>2827.0588235294117</v>
      </c>
      <c r="BI9" s="722">
        <v>3451.2352941176473</v>
      </c>
      <c r="BJ9" s="722">
        <v>3451.2352941176473</v>
      </c>
      <c r="BK9" s="722">
        <v>158.82352941176472</v>
      </c>
      <c r="BL9" s="722">
        <v>145.80000000000001</v>
      </c>
      <c r="BM9" s="723">
        <v>378</v>
      </c>
      <c r="BN9" s="723">
        <v>108</v>
      </c>
      <c r="BO9" s="723">
        <v>485.31618632695739</v>
      </c>
      <c r="BP9" s="723">
        <v>161.77206210898581</v>
      </c>
      <c r="BQ9" s="723">
        <v>161.77206210898581</v>
      </c>
      <c r="BR9" s="722">
        <v>161.77206210898581</v>
      </c>
      <c r="BS9" s="722">
        <v>161.77206210898581</v>
      </c>
      <c r="BT9" s="722">
        <v>161.77206210898581</v>
      </c>
      <c r="BU9" s="722">
        <v>161.77206210898581</v>
      </c>
      <c r="BV9" s="722">
        <v>485.31618632695739</v>
      </c>
      <c r="BW9" s="723">
        <v>2572.2359999999999</v>
      </c>
      <c r="BX9" s="723">
        <v>63.529411764705884</v>
      </c>
      <c r="BY9" s="723">
        <v>4764.96</v>
      </c>
      <c r="BZ9" s="723">
        <v>41.294117647058826</v>
      </c>
      <c r="CA9" s="723">
        <v>66.705882352941174</v>
      </c>
      <c r="CB9" s="723">
        <v>147.33884745762714</v>
      </c>
      <c r="CC9" s="723">
        <v>1058.1451070787639</v>
      </c>
      <c r="CD9" s="723">
        <v>83.000997008973087</v>
      </c>
      <c r="CE9" s="723">
        <v>92.369948976599616</v>
      </c>
      <c r="CF9" s="723">
        <v>41.294117647058826</v>
      </c>
      <c r="CG9" s="723">
        <v>717.12</v>
      </c>
      <c r="CH9" s="723">
        <v>1080</v>
      </c>
      <c r="CI9" s="723">
        <v>130.68</v>
      </c>
      <c r="CJ9" s="722">
        <v>10419.84</v>
      </c>
      <c r="CK9" s="720">
        <v>9999.7200000000012</v>
      </c>
      <c r="CL9" s="720">
        <v>13872.6</v>
      </c>
      <c r="CM9" s="720">
        <v>13452.480000000001</v>
      </c>
      <c r="CN9" s="724">
        <v>16</v>
      </c>
      <c r="CO9" s="724">
        <v>1</v>
      </c>
      <c r="CP9" s="724" t="s">
        <v>1864</v>
      </c>
      <c r="CQ9" s="724">
        <v>0</v>
      </c>
    </row>
    <row r="10" spans="1:95">
      <c r="A10" s="725" t="s">
        <v>416</v>
      </c>
      <c r="B10" s="715">
        <v>20.13</v>
      </c>
      <c r="C10" s="715" t="s">
        <v>1604</v>
      </c>
      <c r="D10" s="715">
        <v>10008.36</v>
      </c>
      <c r="E10" s="715">
        <v>1169.4721118533955</v>
      </c>
      <c r="F10" s="715">
        <v>768.70588235294122</v>
      </c>
      <c r="G10" s="715">
        <v>3286.2999452665299</v>
      </c>
      <c r="H10" s="715">
        <v>911.24999999999989</v>
      </c>
      <c r="I10" s="715">
        <v>713.99117647058836</v>
      </c>
      <c r="J10" s="715">
        <v>983.55496025301943</v>
      </c>
      <c r="K10" s="715">
        <v>4865.4000000000005</v>
      </c>
      <c r="L10" s="715">
        <v>23347.058823529413</v>
      </c>
      <c r="M10" s="715">
        <v>2684.88</v>
      </c>
      <c r="N10" s="715">
        <v>46694.117647058825</v>
      </c>
      <c r="O10" s="715">
        <v>576.52941176470586</v>
      </c>
      <c r="P10" s="715">
        <v>1672.92</v>
      </c>
      <c r="Q10" s="715">
        <v>790.80463692126762</v>
      </c>
      <c r="R10" s="715">
        <v>2646.3611704262212</v>
      </c>
      <c r="S10" s="716">
        <v>17504.735294117647</v>
      </c>
      <c r="T10" s="716">
        <v>27232.676470588238</v>
      </c>
      <c r="U10" s="715">
        <v>16740</v>
      </c>
      <c r="V10" s="715">
        <v>227.62576375627114</v>
      </c>
      <c r="W10" s="715">
        <v>367.69362568462378</v>
      </c>
      <c r="X10" s="715">
        <v>643.23529411764696</v>
      </c>
      <c r="Y10" s="715">
        <v>399.41466336943859</v>
      </c>
      <c r="Z10" s="715">
        <v>657.58656335520118</v>
      </c>
      <c r="AA10" s="715">
        <v>63.529411764705884</v>
      </c>
      <c r="AB10" s="715">
        <v>63.529411764705884</v>
      </c>
      <c r="AC10" s="715">
        <v>38.117647058823529</v>
      </c>
      <c r="AD10" s="715">
        <v>38.117647058823529</v>
      </c>
      <c r="AE10" s="720">
        <v>73.66942372881357</v>
      </c>
      <c r="AF10" s="720">
        <v>529.07255353938194</v>
      </c>
      <c r="AG10" s="715">
        <v>83.000997008973087</v>
      </c>
      <c r="AH10" s="715">
        <v>92.369948976599616</v>
      </c>
      <c r="AI10" s="715">
        <v>41.294117647058826</v>
      </c>
      <c r="AJ10" s="715">
        <v>82.588235294117652</v>
      </c>
      <c r="AK10" s="715">
        <v>152.54237288135596</v>
      </c>
      <c r="AL10" s="715">
        <v>157.02891326021933</v>
      </c>
      <c r="AM10" s="715">
        <v>76.915533050847472</v>
      </c>
      <c r="AN10" s="715">
        <v>66.705882352941174</v>
      </c>
      <c r="AO10" s="715">
        <v>133.41176470588235</v>
      </c>
      <c r="AP10" s="715">
        <v>41.294117647058826</v>
      </c>
      <c r="AQ10" s="716">
        <v>47.647058823529413</v>
      </c>
      <c r="AR10" s="716">
        <v>47.647058823529413</v>
      </c>
      <c r="AS10" s="715">
        <v>162.67927962048495</v>
      </c>
      <c r="AT10" s="718">
        <v>305.08474576271192</v>
      </c>
      <c r="AU10" s="718">
        <v>38.117647058823529</v>
      </c>
      <c r="AV10" s="718">
        <v>65.221199999999996</v>
      </c>
      <c r="AW10" s="718">
        <v>3241.8772941176467</v>
      </c>
      <c r="AX10" s="718">
        <v>527.04000000000008</v>
      </c>
      <c r="AY10" s="718">
        <v>98.355496025301932</v>
      </c>
      <c r="AZ10" s="718">
        <v>105.25249006680559</v>
      </c>
      <c r="BA10" s="718">
        <v>164.31499726332649</v>
      </c>
      <c r="BB10" s="718" t="s">
        <v>1722</v>
      </c>
      <c r="BC10" s="718" t="s">
        <v>1608</v>
      </c>
      <c r="BD10" s="718">
        <v>85.561085593220355</v>
      </c>
      <c r="BE10" s="718">
        <v>85.561085593220355</v>
      </c>
      <c r="BF10" s="718">
        <v>500.41800000000006</v>
      </c>
      <c r="BG10" s="718">
        <v>1501.2540000000001</v>
      </c>
      <c r="BH10" s="718">
        <v>3451.2352941176473</v>
      </c>
      <c r="BI10" s="718">
        <v>3451.2352941176473</v>
      </c>
      <c r="BJ10" s="718">
        <v>3907.0588235294117</v>
      </c>
      <c r="BK10" s="718">
        <v>158.82352941176472</v>
      </c>
      <c r="BL10" s="718">
        <v>145.80000000000001</v>
      </c>
      <c r="BM10" s="717">
        <v>378</v>
      </c>
      <c r="BN10" s="717">
        <v>108</v>
      </c>
      <c r="BO10" s="717">
        <v>542.26426540161651</v>
      </c>
      <c r="BP10" s="717">
        <v>180.75475513387215</v>
      </c>
      <c r="BQ10" s="717">
        <v>180.75475513387215</v>
      </c>
      <c r="BR10" s="718">
        <v>180.75475513387215</v>
      </c>
      <c r="BS10" s="718">
        <v>180.75475513387215</v>
      </c>
      <c r="BT10" s="718">
        <v>180.75475513387215</v>
      </c>
      <c r="BU10" s="718">
        <v>180.75475513387215</v>
      </c>
      <c r="BV10" s="718">
        <v>542.26426540161651</v>
      </c>
      <c r="BW10" s="718">
        <v>2001.6720000000003</v>
      </c>
      <c r="BX10" s="718">
        <v>63.529411764705884</v>
      </c>
      <c r="BY10" s="718">
        <v>5303.88</v>
      </c>
      <c r="BZ10" s="718">
        <v>41.294117647058826</v>
      </c>
      <c r="CA10" s="718">
        <v>66.705882352941174</v>
      </c>
      <c r="CB10" s="718">
        <v>147.33884745762714</v>
      </c>
      <c r="CC10" s="718">
        <v>1058.1451070787639</v>
      </c>
      <c r="CD10" s="718">
        <v>83.000997008973087</v>
      </c>
      <c r="CE10" s="718">
        <v>92.369948976599616</v>
      </c>
      <c r="CF10" s="718">
        <v>41.294117647058826</v>
      </c>
      <c r="CG10" s="718">
        <v>857.5200000000001</v>
      </c>
      <c r="CH10" s="718">
        <v>1275.48</v>
      </c>
      <c r="CI10" s="718">
        <v>146.88</v>
      </c>
      <c r="CJ10" s="718">
        <v>12505.320000000002</v>
      </c>
      <c r="CK10" s="715">
        <v>11715.84</v>
      </c>
      <c r="CL10" s="715">
        <v>15364.080000000002</v>
      </c>
      <c r="CM10" s="715">
        <v>14574.6</v>
      </c>
      <c r="CN10" s="719">
        <v>21</v>
      </c>
      <c r="CO10" s="719">
        <v>1</v>
      </c>
      <c r="CP10" s="719" t="s">
        <v>1864</v>
      </c>
      <c r="CQ10" s="719">
        <v>1620</v>
      </c>
    </row>
    <row r="11" spans="1:95">
      <c r="A11" s="726" t="s">
        <v>417</v>
      </c>
      <c r="B11" s="720">
        <v>24.44</v>
      </c>
      <c r="C11" s="720" t="s">
        <v>1722</v>
      </c>
      <c r="D11" s="720">
        <v>11370.240000000002</v>
      </c>
      <c r="E11" s="720">
        <v>1502.1200482437766</v>
      </c>
      <c r="F11" s="720">
        <v>1229.9294117647062</v>
      </c>
      <c r="G11" s="720">
        <v>3798.6164042089858</v>
      </c>
      <c r="H11" s="720">
        <v>911.24999999999989</v>
      </c>
      <c r="I11" s="720">
        <v>793.32352941176487</v>
      </c>
      <c r="J11" s="720">
        <v>1225.2257962534788</v>
      </c>
      <c r="K11" s="720">
        <v>4970.1600000000008</v>
      </c>
      <c r="L11" s="720">
        <v>26682.352941176472</v>
      </c>
      <c r="M11" s="720">
        <v>2005.5600000000002</v>
      </c>
      <c r="N11" s="720">
        <v>53364.705882352944</v>
      </c>
      <c r="O11" s="720">
        <v>576.52941176470586</v>
      </c>
      <c r="P11" s="720">
        <v>1672.92</v>
      </c>
      <c r="Q11" s="720">
        <v>1797.400230300505</v>
      </c>
      <c r="R11" s="720">
        <v>5395.6116510343973</v>
      </c>
      <c r="S11" s="721">
        <v>20912.294117647059</v>
      </c>
      <c r="T11" s="721">
        <v>31624.147058823528</v>
      </c>
      <c r="U11" s="720">
        <v>17436.600000000002</v>
      </c>
      <c r="V11" s="720">
        <v>227.62576375627114</v>
      </c>
      <c r="W11" s="720">
        <v>367.69362568462378</v>
      </c>
      <c r="X11" s="720">
        <v>643.23529411764696</v>
      </c>
      <c r="Y11" s="720">
        <v>399.41466336943859</v>
      </c>
      <c r="Z11" s="720">
        <v>657.58656335520118</v>
      </c>
      <c r="AA11" s="720">
        <v>63.529411764705884</v>
      </c>
      <c r="AB11" s="720">
        <v>63.529411764705884</v>
      </c>
      <c r="AC11" s="720">
        <v>38.117647058823529</v>
      </c>
      <c r="AD11" s="720">
        <v>38.117647058823529</v>
      </c>
      <c r="AE11" s="720">
        <v>73.66942372881357</v>
      </c>
      <c r="AF11" s="720">
        <v>529.07255353938194</v>
      </c>
      <c r="AG11" s="720">
        <v>145.25174476570291</v>
      </c>
      <c r="AH11" s="720">
        <v>92.369948976599616</v>
      </c>
      <c r="AI11" s="720">
        <v>41.294117647058826</v>
      </c>
      <c r="AJ11" s="720">
        <v>82.588235294117652</v>
      </c>
      <c r="AK11" s="720">
        <v>270.74044511084753</v>
      </c>
      <c r="AL11" s="720">
        <v>196.28614157527417</v>
      </c>
      <c r="AM11" s="720">
        <v>85.561085593220355</v>
      </c>
      <c r="AN11" s="720">
        <v>66.705882352941174</v>
      </c>
      <c r="AO11" s="720">
        <v>133.41176470588235</v>
      </c>
      <c r="AP11" s="720">
        <v>41.294117647058826</v>
      </c>
      <c r="AQ11" s="721">
        <v>47.647058823529413</v>
      </c>
      <c r="AR11" s="721">
        <v>47.647058823529413</v>
      </c>
      <c r="AS11" s="720">
        <v>309.90431825710471</v>
      </c>
      <c r="AT11" s="722">
        <v>541.48089022169506</v>
      </c>
      <c r="AU11" s="722">
        <v>38.117647058823529</v>
      </c>
      <c r="AV11" s="722">
        <v>79.185600000000008</v>
      </c>
      <c r="AW11" s="722">
        <v>3935.9901176470585</v>
      </c>
      <c r="AX11" s="722">
        <v>561.6</v>
      </c>
      <c r="AY11" s="722">
        <v>122.52257962534789</v>
      </c>
      <c r="AZ11" s="722">
        <v>135.1908043419399</v>
      </c>
      <c r="BA11" s="722">
        <v>189.9308202104493</v>
      </c>
      <c r="BB11" s="722" t="s">
        <v>1608</v>
      </c>
      <c r="BC11" s="722" t="s">
        <v>1612</v>
      </c>
      <c r="BD11" s="722">
        <v>85.561085593220355</v>
      </c>
      <c r="BE11" s="722">
        <v>149.2619644067797</v>
      </c>
      <c r="BF11" s="722">
        <v>568.51200000000006</v>
      </c>
      <c r="BG11" s="722">
        <v>1705.5360000000001</v>
      </c>
      <c r="BH11" s="722">
        <v>3451.2352941176473</v>
      </c>
      <c r="BI11" s="722">
        <v>3907.0588235294117</v>
      </c>
      <c r="BJ11" s="722">
        <v>4510.5882352941171</v>
      </c>
      <c r="BK11" s="722">
        <v>158.82352941176472</v>
      </c>
      <c r="BL11" s="722">
        <v>145.80000000000001</v>
      </c>
      <c r="BM11" s="723">
        <v>378</v>
      </c>
      <c r="BN11" s="723">
        <v>108</v>
      </c>
      <c r="BO11" s="723">
        <v>1033.0143941903491</v>
      </c>
      <c r="BP11" s="723">
        <v>344.33813139678301</v>
      </c>
      <c r="BQ11" s="723">
        <v>344.33813139678301</v>
      </c>
      <c r="BR11" s="722">
        <v>344.33813139678301</v>
      </c>
      <c r="BS11" s="722">
        <v>344.33813139678301</v>
      </c>
      <c r="BT11" s="722">
        <v>344.33813139678301</v>
      </c>
      <c r="BU11" s="722">
        <v>344.33813139678301</v>
      </c>
      <c r="BV11" s="722">
        <v>1033.0143941903491</v>
      </c>
      <c r="BW11" s="722">
        <v>2274.0480000000002</v>
      </c>
      <c r="BX11" s="722">
        <v>63.529411764705884</v>
      </c>
      <c r="BY11" s="722">
        <v>6408.72</v>
      </c>
      <c r="BZ11" s="722">
        <v>41.294117647058826</v>
      </c>
      <c r="CA11" s="722">
        <v>66.705882352941174</v>
      </c>
      <c r="CB11" s="722">
        <v>147.33884745762714</v>
      </c>
      <c r="CC11" s="722">
        <v>1058.1451070787639</v>
      </c>
      <c r="CD11" s="722">
        <v>145.25174476570291</v>
      </c>
      <c r="CE11" s="722">
        <v>92.369948976599616</v>
      </c>
      <c r="CF11" s="722">
        <v>41.294117647058826</v>
      </c>
      <c r="CG11" s="722">
        <v>938.5200000000001</v>
      </c>
      <c r="CH11" s="722">
        <v>892.08</v>
      </c>
      <c r="CI11" s="722">
        <v>155.52000000000001</v>
      </c>
      <c r="CJ11" s="722">
        <v>14410.44</v>
      </c>
      <c r="CK11" s="720">
        <v>13005.36</v>
      </c>
      <c r="CL11" s="720">
        <v>16964.64</v>
      </c>
      <c r="CM11" s="720">
        <v>15559.560000000001</v>
      </c>
      <c r="CN11" s="724">
        <v>24</v>
      </c>
      <c r="CO11" s="724">
        <v>1</v>
      </c>
      <c r="CP11" s="724" t="s">
        <v>1864</v>
      </c>
      <c r="CQ11" s="724">
        <v>1620</v>
      </c>
    </row>
    <row r="12" spans="1:95">
      <c r="A12" s="725" t="s">
        <v>418</v>
      </c>
      <c r="B12" s="715">
        <v>30.19</v>
      </c>
      <c r="C12" s="715" t="s">
        <v>1608</v>
      </c>
      <c r="D12" s="715">
        <v>13559.400000000001</v>
      </c>
      <c r="E12" s="715">
        <v>1502.1200482437766</v>
      </c>
      <c r="F12" s="715">
        <v>1229.9294117647062</v>
      </c>
      <c r="G12" s="715">
        <v>3798.6164042089858</v>
      </c>
      <c r="H12" s="715">
        <v>1350.794117647059</v>
      </c>
      <c r="I12" s="715">
        <v>964.85294117647049</v>
      </c>
      <c r="J12" s="715">
        <v>1225.2257962534788</v>
      </c>
      <c r="K12" s="715">
        <v>5678.64</v>
      </c>
      <c r="L12" s="715">
        <v>33352.941176470587</v>
      </c>
      <c r="M12" s="715">
        <v>3608.28</v>
      </c>
      <c r="N12" s="715">
        <v>66705.882352941175</v>
      </c>
      <c r="O12" s="715">
        <v>576.52941176470586</v>
      </c>
      <c r="P12" s="715">
        <v>2120.04</v>
      </c>
      <c r="Q12" s="715">
        <v>1797.400230300505</v>
      </c>
      <c r="R12" s="715">
        <v>5395.6116510343973</v>
      </c>
      <c r="S12" s="716">
        <v>22674.441176470587</v>
      </c>
      <c r="T12" s="716">
        <v>33386.294117647056</v>
      </c>
      <c r="U12" s="715">
        <v>31903.200000000001</v>
      </c>
      <c r="V12" s="715">
        <v>227.62576375627114</v>
      </c>
      <c r="W12" s="715">
        <v>367.69362568462378</v>
      </c>
      <c r="X12" s="715">
        <v>643.23529411764696</v>
      </c>
      <c r="Y12" s="715">
        <v>399.41466336943859</v>
      </c>
      <c r="Z12" s="715">
        <v>657.58656335520118</v>
      </c>
      <c r="AA12" s="715">
        <v>63.529411764705884</v>
      </c>
      <c r="AB12" s="715">
        <v>63.529411764705884</v>
      </c>
      <c r="AC12" s="715">
        <v>38.117647058823529</v>
      </c>
      <c r="AD12" s="715">
        <v>38.117647058823529</v>
      </c>
      <c r="AE12" s="720">
        <v>73.66942372881357</v>
      </c>
      <c r="AF12" s="720">
        <v>529.07255353938194</v>
      </c>
      <c r="AG12" s="715">
        <v>145.25174476570291</v>
      </c>
      <c r="AH12" s="715">
        <v>92.369948976599616</v>
      </c>
      <c r="AI12" s="715">
        <v>41.294117647058826</v>
      </c>
      <c r="AJ12" s="715">
        <v>82.588235294117652</v>
      </c>
      <c r="AK12" s="715">
        <v>270.74044511084753</v>
      </c>
      <c r="AL12" s="715">
        <v>196.28614157527417</v>
      </c>
      <c r="AM12" s="715">
        <v>85.561085593220355</v>
      </c>
      <c r="AN12" s="715">
        <v>66.705882352941174</v>
      </c>
      <c r="AO12" s="715">
        <v>133.41176470588235</v>
      </c>
      <c r="AP12" s="715">
        <v>41.294117647058826</v>
      </c>
      <c r="AQ12" s="716">
        <v>47.647058823529413</v>
      </c>
      <c r="AR12" s="716">
        <v>47.647058823529413</v>
      </c>
      <c r="AS12" s="715">
        <v>380.47381477651834</v>
      </c>
      <c r="AT12" s="718">
        <v>541.48089022169506</v>
      </c>
      <c r="AU12" s="718">
        <v>38.117647058823529</v>
      </c>
      <c r="AV12" s="718">
        <v>97.815600000000018</v>
      </c>
      <c r="AW12" s="718">
        <v>4862.0107058823523</v>
      </c>
      <c r="AX12" s="718">
        <v>666.36</v>
      </c>
      <c r="AY12" s="718">
        <v>122.52257962534789</v>
      </c>
      <c r="AZ12" s="718">
        <v>135.1908043419399</v>
      </c>
      <c r="BA12" s="718">
        <v>189.9308202104493</v>
      </c>
      <c r="BB12" s="718" t="s">
        <v>1612</v>
      </c>
      <c r="BC12" s="718" t="s">
        <v>1624</v>
      </c>
      <c r="BD12" s="718">
        <v>149.2619644067797</v>
      </c>
      <c r="BE12" s="718">
        <v>158.14843093220338</v>
      </c>
      <c r="BF12" s="718">
        <v>1084.752</v>
      </c>
      <c r="BG12" s="718">
        <v>2440.6920000000005</v>
      </c>
      <c r="BH12" s="718">
        <v>3907.0588235294117</v>
      </c>
      <c r="BI12" s="718">
        <v>4510.5882352941171</v>
      </c>
      <c r="BJ12" s="718">
        <v>5490.5294117647054</v>
      </c>
      <c r="BK12" s="718">
        <v>158.82352941176472</v>
      </c>
      <c r="BL12" s="718">
        <v>145.80000000000001</v>
      </c>
      <c r="BM12" s="717">
        <v>378</v>
      </c>
      <c r="BN12" s="717">
        <v>108</v>
      </c>
      <c r="BO12" s="717">
        <v>1268.2460492550613</v>
      </c>
      <c r="BP12" s="717">
        <v>422.74868308502039</v>
      </c>
      <c r="BQ12" s="717">
        <v>422.74868308502039</v>
      </c>
      <c r="BR12" s="718">
        <v>422.74868308502039</v>
      </c>
      <c r="BS12" s="718">
        <v>422.74868308502039</v>
      </c>
      <c r="BT12" s="718">
        <v>422.74868308502039</v>
      </c>
      <c r="BU12" s="718">
        <v>422.74868308502039</v>
      </c>
      <c r="BV12" s="718">
        <v>1268.2460492550613</v>
      </c>
      <c r="BW12" s="718">
        <v>2711.88</v>
      </c>
      <c r="BX12" s="718">
        <v>63.529411764705884</v>
      </c>
      <c r="BY12" s="718">
        <v>9401.4000000000015</v>
      </c>
      <c r="BZ12" s="718">
        <v>41.294117647058826</v>
      </c>
      <c r="CA12" s="718">
        <v>66.705882352941174</v>
      </c>
      <c r="CB12" s="718">
        <v>147.33884745762714</v>
      </c>
      <c r="CC12" s="718">
        <v>1058.1451070787639</v>
      </c>
      <c r="CD12" s="718">
        <v>145.25174476570291</v>
      </c>
      <c r="CE12" s="718">
        <v>92.369948976599616</v>
      </c>
      <c r="CF12" s="718">
        <v>41.294117647058826</v>
      </c>
      <c r="CG12" s="718">
        <v>1407.24</v>
      </c>
      <c r="CH12" s="718">
        <v>1429.92</v>
      </c>
      <c r="CI12" s="718">
        <v>169.56</v>
      </c>
      <c r="CJ12" s="718">
        <v>17162.280000000002</v>
      </c>
      <c r="CK12" s="715">
        <v>16099.560000000001</v>
      </c>
      <c r="CL12" s="715">
        <v>21082.68</v>
      </c>
      <c r="CM12" s="715">
        <v>20019.960000000003</v>
      </c>
      <c r="CN12" s="719">
        <v>30</v>
      </c>
      <c r="CO12" s="719">
        <v>2</v>
      </c>
      <c r="CP12" s="719" t="s">
        <v>1863</v>
      </c>
      <c r="CQ12" s="719">
        <v>2160</v>
      </c>
    </row>
    <row r="13" spans="1:95">
      <c r="A13" s="726" t="s">
        <v>419</v>
      </c>
      <c r="B13" s="720">
        <v>34.5</v>
      </c>
      <c r="C13" s="720" t="s">
        <v>1612</v>
      </c>
      <c r="D13" s="720">
        <v>15053.04</v>
      </c>
      <c r="E13" s="720">
        <v>2222.749496191725</v>
      </c>
      <c r="F13" s="720">
        <v>1729.5882352941176</v>
      </c>
      <c r="G13" s="720">
        <v>5110.9854351829317</v>
      </c>
      <c r="H13" s="720">
        <v>1608.0882352941178</v>
      </c>
      <c r="I13" s="720">
        <v>1340.0735294117646</v>
      </c>
      <c r="J13" s="720">
        <v>1895.6155449360479</v>
      </c>
      <c r="K13" s="720">
        <v>6337.4400000000005</v>
      </c>
      <c r="L13" s="720">
        <v>40023.529411764706</v>
      </c>
      <c r="M13" s="720">
        <v>3620.1600000000003</v>
      </c>
      <c r="N13" s="720">
        <v>80047.058823529413</v>
      </c>
      <c r="O13" s="720">
        <v>576.52941176470586</v>
      </c>
      <c r="P13" s="720">
        <v>2216.1600000000003</v>
      </c>
      <c r="Q13" s="720">
        <v>2336.6202993906559</v>
      </c>
      <c r="R13" s="720">
        <v>6650.5982819379378</v>
      </c>
      <c r="S13" s="721">
        <v>31335.088235294119</v>
      </c>
      <c r="T13" s="721">
        <v>44881.941176470587</v>
      </c>
      <c r="U13" s="720">
        <v>33431.4</v>
      </c>
      <c r="V13" s="720">
        <v>239.60606711186443</v>
      </c>
      <c r="W13" s="720">
        <v>387.04592177328817</v>
      </c>
      <c r="X13" s="720">
        <v>643.23529411764696</v>
      </c>
      <c r="Y13" s="720">
        <v>679.22261073543439</v>
      </c>
      <c r="Z13" s="720">
        <v>1119.7029796879767</v>
      </c>
      <c r="AA13" s="720">
        <v>63.529411764705884</v>
      </c>
      <c r="AB13" s="720">
        <v>63.529411764705884</v>
      </c>
      <c r="AC13" s="720">
        <v>38.117647058823529</v>
      </c>
      <c r="AD13" s="720">
        <v>38.117647058823529</v>
      </c>
      <c r="AE13" s="720">
        <v>73.66942372881357</v>
      </c>
      <c r="AF13" s="720">
        <v>529.07255353938194</v>
      </c>
      <c r="AG13" s="720">
        <v>145.25174476570291</v>
      </c>
      <c r="AH13" s="720">
        <v>46.184974488299808</v>
      </c>
      <c r="AI13" s="720">
        <v>41.294117647058826</v>
      </c>
      <c r="AJ13" s="720">
        <v>82.588235294117652</v>
      </c>
      <c r="AK13" s="720">
        <v>270.74044511084753</v>
      </c>
      <c r="AL13" s="720">
        <v>314.05782652043865</v>
      </c>
      <c r="AM13" s="720">
        <v>149.2619644067797</v>
      </c>
      <c r="AN13" s="720">
        <v>66.705882352941174</v>
      </c>
      <c r="AO13" s="720">
        <v>133.41176470588235</v>
      </c>
      <c r="AP13" s="720">
        <v>41.294117647058826</v>
      </c>
      <c r="AQ13" s="721">
        <v>47.647058823529413</v>
      </c>
      <c r="AR13" s="721">
        <v>47.647058823529413</v>
      </c>
      <c r="AS13" s="720">
        <v>456.14554898625539</v>
      </c>
      <c r="AT13" s="722">
        <v>541.48089022169506</v>
      </c>
      <c r="AU13" s="722">
        <v>38.117647058823529</v>
      </c>
      <c r="AV13" s="722">
        <v>111.77999999999999</v>
      </c>
      <c r="AW13" s="722">
        <v>5556.1235294117641</v>
      </c>
      <c r="AX13" s="722">
        <v>716.04000000000008</v>
      </c>
      <c r="AY13" s="722">
        <v>189.5615544936048</v>
      </c>
      <c r="AZ13" s="722">
        <v>200.04745465725526</v>
      </c>
      <c r="BA13" s="722">
        <v>255.54927175914659</v>
      </c>
      <c r="BB13" s="722" t="s">
        <v>1624</v>
      </c>
      <c r="BC13" s="722" t="s">
        <v>1624</v>
      </c>
      <c r="BD13" s="722">
        <v>158.14843093220338</v>
      </c>
      <c r="BE13" s="722">
        <v>158.14843093220338</v>
      </c>
      <c r="BF13" s="722">
        <v>1204.2432000000001</v>
      </c>
      <c r="BG13" s="722">
        <v>2709.5472</v>
      </c>
      <c r="BH13" s="722">
        <v>4510.5882352941171</v>
      </c>
      <c r="BI13" s="722">
        <v>5490.5294117647054</v>
      </c>
      <c r="BJ13" s="722">
        <v>5490.5294117647054</v>
      </c>
      <c r="BK13" s="722">
        <v>158.82352941176472</v>
      </c>
      <c r="BL13" s="722">
        <v>145.80000000000001</v>
      </c>
      <c r="BM13" s="723">
        <v>378</v>
      </c>
      <c r="BN13" s="723">
        <v>108</v>
      </c>
      <c r="BO13" s="723">
        <v>1520.4851632875182</v>
      </c>
      <c r="BP13" s="723">
        <v>506.82838776250611</v>
      </c>
      <c r="BQ13" s="723">
        <v>506.82838776250611</v>
      </c>
      <c r="BR13" s="722">
        <v>506.82838776250611</v>
      </c>
      <c r="BS13" s="722">
        <v>506.82838776250611</v>
      </c>
      <c r="BT13" s="722">
        <v>506.82838776250611</v>
      </c>
      <c r="BU13" s="722">
        <v>506.82838776250611</v>
      </c>
      <c r="BV13" s="722">
        <v>1520.4851632875182</v>
      </c>
      <c r="BW13" s="722">
        <v>3010.6080000000006</v>
      </c>
      <c r="BX13" s="722">
        <v>63.529411764705884</v>
      </c>
      <c r="BY13" s="722">
        <v>11563.560000000001</v>
      </c>
      <c r="BZ13" s="722">
        <v>41.294117647058826</v>
      </c>
      <c r="CA13" s="722">
        <v>66.705882352941174</v>
      </c>
      <c r="CB13" s="722">
        <v>73.66942372881357</v>
      </c>
      <c r="CC13" s="722">
        <v>529.07255353938194</v>
      </c>
      <c r="CD13" s="722">
        <v>145.25174476570291</v>
      </c>
      <c r="CE13" s="722">
        <v>46.184974488299808</v>
      </c>
      <c r="CF13" s="722">
        <v>41.294117647058826</v>
      </c>
      <c r="CG13" s="722">
        <v>1551.96</v>
      </c>
      <c r="CH13" s="722">
        <v>2388.96</v>
      </c>
      <c r="CI13" s="722">
        <v>179.28</v>
      </c>
      <c r="CJ13" s="722">
        <v>19676.52</v>
      </c>
      <c r="CK13" s="720">
        <v>18556.560000000001</v>
      </c>
      <c r="CL13" s="720">
        <v>22916.52</v>
      </c>
      <c r="CM13" s="720">
        <v>21796.560000000001</v>
      </c>
      <c r="CN13" s="724">
        <v>36</v>
      </c>
      <c r="CO13" s="724">
        <v>2</v>
      </c>
      <c r="CP13" s="724" t="s">
        <v>1863</v>
      </c>
      <c r="CQ13" s="724">
        <v>2160</v>
      </c>
    </row>
    <row r="14" spans="1:95">
      <c r="A14" s="725" t="s">
        <v>420</v>
      </c>
      <c r="B14" s="715">
        <v>37.380000000000003</v>
      </c>
      <c r="C14" s="715" t="s">
        <v>1624</v>
      </c>
      <c r="D14" s="715">
        <v>16212.960000000001</v>
      </c>
      <c r="E14" s="715">
        <v>2222.749496191725</v>
      </c>
      <c r="F14" s="715">
        <v>1729.5882352941176</v>
      </c>
      <c r="G14" s="715">
        <v>5110.9854351829317</v>
      </c>
      <c r="H14" s="715">
        <v>1608.0882352941178</v>
      </c>
      <c r="I14" s="715">
        <v>1340.0735294117646</v>
      </c>
      <c r="J14" s="715">
        <v>1895.6155449360479</v>
      </c>
      <c r="K14" s="715">
        <v>7178.76</v>
      </c>
      <c r="L14" s="715">
        <v>46694.117647058825</v>
      </c>
      <c r="M14" s="715">
        <v>5383.8</v>
      </c>
      <c r="N14" s="715">
        <v>93388.23529411765</v>
      </c>
      <c r="O14" s="715">
        <v>576.52941176470586</v>
      </c>
      <c r="P14" s="715">
        <v>2937.6000000000004</v>
      </c>
      <c r="Q14" s="715">
        <v>2336.6202993906559</v>
      </c>
      <c r="R14" s="715">
        <v>6650.5982819379378</v>
      </c>
      <c r="S14" s="716">
        <v>34498.058823529413</v>
      </c>
      <c r="T14" s="716">
        <v>47355.617647058825</v>
      </c>
      <c r="U14" s="715">
        <v>39895.200000000004</v>
      </c>
      <c r="V14" s="715">
        <v>239.60606711186443</v>
      </c>
      <c r="W14" s="715">
        <v>387.04592177328817</v>
      </c>
      <c r="X14" s="715">
        <v>643.23529411764696</v>
      </c>
      <c r="Y14" s="715">
        <v>679.22261073543439</v>
      </c>
      <c r="Z14" s="715">
        <v>1119.7029796879767</v>
      </c>
      <c r="AA14" s="715">
        <v>63.529411764705884</v>
      </c>
      <c r="AB14" s="715">
        <v>63.529411764705884</v>
      </c>
      <c r="AC14" s="715">
        <v>38.117647058823529</v>
      </c>
      <c r="AD14" s="715">
        <v>38.117647058823529</v>
      </c>
      <c r="AE14" s="720">
        <v>73.66942372881357</v>
      </c>
      <c r="AF14" s="720">
        <v>529.07255353938194</v>
      </c>
      <c r="AG14" s="715">
        <v>145.25174476570291</v>
      </c>
      <c r="AH14" s="715">
        <v>46.184974488299808</v>
      </c>
      <c r="AI14" s="715">
        <v>41.294117647058826</v>
      </c>
      <c r="AJ14" s="715">
        <v>82.588235294117652</v>
      </c>
      <c r="AK14" s="715">
        <v>270.74044511084753</v>
      </c>
      <c r="AL14" s="715">
        <v>314.05782652043865</v>
      </c>
      <c r="AM14" s="715">
        <v>158.14843093220338</v>
      </c>
      <c r="AN14" s="715">
        <v>66.705882352941174</v>
      </c>
      <c r="AO14" s="715">
        <v>133.41176470588235</v>
      </c>
      <c r="AP14" s="715">
        <v>41.294117647058826</v>
      </c>
      <c r="AQ14" s="716">
        <v>47.647058823529413</v>
      </c>
      <c r="AR14" s="716">
        <v>47.647058823529413</v>
      </c>
      <c r="AS14" s="715">
        <v>514.12770564757716</v>
      </c>
      <c r="AT14" s="718">
        <v>541.48089022169506</v>
      </c>
      <c r="AU14" s="718">
        <v>38.117647058823529</v>
      </c>
      <c r="AV14" s="718">
        <v>121.11120000000001</v>
      </c>
      <c r="AW14" s="718">
        <v>6019.9390588235301</v>
      </c>
      <c r="AX14" s="718">
        <v>746.28000000000009</v>
      </c>
      <c r="AY14" s="718">
        <v>189.5615544936048</v>
      </c>
      <c r="AZ14" s="718">
        <v>200.04745465725526</v>
      </c>
      <c r="BA14" s="718">
        <v>255.54927175914659</v>
      </c>
      <c r="BB14" s="718" t="s">
        <v>1624</v>
      </c>
      <c r="BC14" s="718" t="s">
        <v>1723</v>
      </c>
      <c r="BD14" s="718">
        <v>158.14843093220338</v>
      </c>
      <c r="BE14" s="718">
        <v>197.01486819915252</v>
      </c>
      <c r="BF14" s="718">
        <v>1297.0368000000001</v>
      </c>
      <c r="BG14" s="718">
        <v>3242.5920000000001</v>
      </c>
      <c r="BH14" s="718">
        <v>5490.5294117647054</v>
      </c>
      <c r="BI14" s="718">
        <v>5490.5294117647054</v>
      </c>
      <c r="BJ14" s="718">
        <v>6689.6470588235297</v>
      </c>
      <c r="BK14" s="718">
        <v>238.23529411764704</v>
      </c>
      <c r="BL14" s="718">
        <v>145.80000000000001</v>
      </c>
      <c r="BM14" s="717">
        <v>378</v>
      </c>
      <c r="BN14" s="717">
        <v>108</v>
      </c>
      <c r="BO14" s="717">
        <v>1713.7590188252573</v>
      </c>
      <c r="BP14" s="717">
        <v>571.25300627508568</v>
      </c>
      <c r="BQ14" s="717">
        <v>571.25300627508568</v>
      </c>
      <c r="BR14" s="718">
        <v>571.25300627508568</v>
      </c>
      <c r="BS14" s="718">
        <v>571.25300627508568</v>
      </c>
      <c r="BT14" s="718">
        <v>571.25300627508568</v>
      </c>
      <c r="BU14" s="718">
        <v>571.25300627508568</v>
      </c>
      <c r="BV14" s="718">
        <v>1713.7590188252573</v>
      </c>
      <c r="BW14" s="718">
        <v>3242.5920000000001</v>
      </c>
      <c r="BX14" s="718">
        <v>63.529411764705884</v>
      </c>
      <c r="BY14" s="718">
        <v>9917.6400000000012</v>
      </c>
      <c r="BZ14" s="718">
        <v>41.294117647058826</v>
      </c>
      <c r="CA14" s="718">
        <v>66.705882352941174</v>
      </c>
      <c r="CB14" s="718">
        <v>73.66942372881357</v>
      </c>
      <c r="CC14" s="718">
        <v>529.07255353938194</v>
      </c>
      <c r="CD14" s="718">
        <v>145.25174476570291</v>
      </c>
      <c r="CE14" s="718">
        <v>46.184974488299808</v>
      </c>
      <c r="CF14" s="718">
        <v>41.294117647058826</v>
      </c>
      <c r="CG14" s="718">
        <v>1820.88</v>
      </c>
      <c r="CH14" s="718">
        <v>2505.6000000000004</v>
      </c>
      <c r="CI14" s="718">
        <v>237.60000000000002</v>
      </c>
      <c r="CJ14" s="718">
        <v>20959.560000000001</v>
      </c>
      <c r="CK14" s="715">
        <v>19801.800000000003</v>
      </c>
      <c r="CL14" s="715">
        <v>27048.600000000002</v>
      </c>
      <c r="CM14" s="715">
        <v>25890.84</v>
      </c>
      <c r="CN14" s="719">
        <v>42</v>
      </c>
      <c r="CO14" s="719">
        <v>2</v>
      </c>
      <c r="CP14" s="719" t="s">
        <v>1864</v>
      </c>
      <c r="CQ14" s="719">
        <v>2700</v>
      </c>
    </row>
    <row r="15" spans="1:95">
      <c r="A15" s="726" t="s">
        <v>421</v>
      </c>
      <c r="B15" s="720">
        <v>48.75</v>
      </c>
      <c r="C15" s="720" t="s">
        <v>1624</v>
      </c>
      <c r="D15" s="720">
        <v>19698.120000000003</v>
      </c>
      <c r="E15" s="720">
        <v>2222.749496191725</v>
      </c>
      <c r="F15" s="720">
        <v>1729.5882352941176</v>
      </c>
      <c r="G15" s="720">
        <v>5110.9854351829317</v>
      </c>
      <c r="H15" s="720">
        <v>1608.0882352941178</v>
      </c>
      <c r="I15" s="720">
        <v>1340.0735294117646</v>
      </c>
      <c r="J15" s="720">
        <v>1895.6155449360479</v>
      </c>
      <c r="K15" s="720">
        <v>9024.4800000000014</v>
      </c>
      <c r="L15" s="720">
        <v>57811.764705882357</v>
      </c>
      <c r="M15" s="720">
        <v>6500.52</v>
      </c>
      <c r="N15" s="720">
        <v>115623.52941176471</v>
      </c>
      <c r="O15" s="720">
        <v>576.52941176470586</v>
      </c>
      <c r="P15" s="720">
        <v>2937.6000000000004</v>
      </c>
      <c r="Q15" s="720">
        <v>2336.6202993906559</v>
      </c>
      <c r="R15" s="720">
        <v>6650.5982819379378</v>
      </c>
      <c r="S15" s="721">
        <v>44364.970588235294</v>
      </c>
      <c r="T15" s="721">
        <v>58695.617647058825</v>
      </c>
      <c r="U15" s="720">
        <v>39895.200000000004</v>
      </c>
      <c r="V15" s="720">
        <v>239.60606711186443</v>
      </c>
      <c r="W15" s="720">
        <v>387.04592177328817</v>
      </c>
      <c r="X15" s="720">
        <v>643.23529411764696</v>
      </c>
      <c r="Y15" s="720">
        <v>679.22261073543439</v>
      </c>
      <c r="Z15" s="720">
        <v>1119.7029796879767</v>
      </c>
      <c r="AA15" s="720">
        <v>63.529411764705884</v>
      </c>
      <c r="AB15" s="720">
        <v>63.529411764705884</v>
      </c>
      <c r="AC15" s="720">
        <v>38.117647058823529</v>
      </c>
      <c r="AD15" s="720">
        <v>38.117647058823529</v>
      </c>
      <c r="AE15" s="720">
        <v>73.66942372881357</v>
      </c>
      <c r="AF15" s="720">
        <v>529.07255353938194</v>
      </c>
      <c r="AG15" s="720">
        <v>145.25174476570291</v>
      </c>
      <c r="AH15" s="720">
        <v>46.184974488299808</v>
      </c>
      <c r="AI15" s="720">
        <v>41.294117647058826</v>
      </c>
      <c r="AJ15" s="720">
        <v>82.588235294117652</v>
      </c>
      <c r="AK15" s="720">
        <v>270.74044511084753</v>
      </c>
      <c r="AL15" s="720">
        <v>314.05782652043865</v>
      </c>
      <c r="AM15" s="720">
        <v>158.14843093220338</v>
      </c>
      <c r="AN15" s="720">
        <v>66.705882352941174</v>
      </c>
      <c r="AO15" s="720">
        <v>133.41176470588235</v>
      </c>
      <c r="AP15" s="720">
        <v>41.294117647058826</v>
      </c>
      <c r="AQ15" s="721">
        <v>47.647058823529413</v>
      </c>
      <c r="AR15" s="721">
        <v>47.647058823529413</v>
      </c>
      <c r="AS15" s="720">
        <v>581.19794885271358</v>
      </c>
      <c r="AT15" s="722">
        <v>541.48089022169506</v>
      </c>
      <c r="AU15" s="722">
        <v>38.117647058823529</v>
      </c>
      <c r="AV15" s="722">
        <v>157.95000000000005</v>
      </c>
      <c r="AW15" s="722">
        <v>7851.0441176470595</v>
      </c>
      <c r="AX15" s="722">
        <v>860.7600000000001</v>
      </c>
      <c r="AY15" s="722">
        <v>189.5615544936048</v>
      </c>
      <c r="AZ15" s="722">
        <v>200.04745465725526</v>
      </c>
      <c r="BA15" s="722">
        <v>255.54927175914659</v>
      </c>
      <c r="BB15" s="722" t="s">
        <v>1723</v>
      </c>
      <c r="BC15" s="722" t="s">
        <v>1724</v>
      </c>
      <c r="BD15" s="722">
        <v>197.01486819915252</v>
      </c>
      <c r="BE15" s="722">
        <v>176.98725000000005</v>
      </c>
      <c r="BF15" s="722">
        <v>1575.8496000000002</v>
      </c>
      <c r="BG15" s="722">
        <v>3939.6240000000003</v>
      </c>
      <c r="BH15" s="722">
        <v>5490.5294117647054</v>
      </c>
      <c r="BI15" s="722">
        <v>6689.6470588235297</v>
      </c>
      <c r="BJ15" s="722">
        <v>7842.7058823529405</v>
      </c>
      <c r="BK15" s="722">
        <v>238.23529411764704</v>
      </c>
      <c r="BL15" s="722">
        <v>145.80000000000001</v>
      </c>
      <c r="BM15" s="723">
        <v>378</v>
      </c>
      <c r="BN15" s="723">
        <v>108</v>
      </c>
      <c r="BO15" s="723">
        <v>1937.3264961757118</v>
      </c>
      <c r="BP15" s="723">
        <v>645.7754987252373</v>
      </c>
      <c r="BQ15" s="723">
        <v>645.7754987252373</v>
      </c>
      <c r="BR15" s="722">
        <v>645.7754987252373</v>
      </c>
      <c r="BS15" s="722">
        <v>645.7754987252373</v>
      </c>
      <c r="BT15" s="722">
        <v>645.7754987252373</v>
      </c>
      <c r="BU15" s="722">
        <v>645.7754987252373</v>
      </c>
      <c r="BV15" s="722">
        <v>1937.3264961757118</v>
      </c>
      <c r="BW15" s="722">
        <v>4333.5864000000001</v>
      </c>
      <c r="BX15" s="722">
        <v>63.529411764705884</v>
      </c>
      <c r="BY15" s="722">
        <v>12424.320000000002</v>
      </c>
      <c r="BZ15" s="722">
        <v>41.294117647058826</v>
      </c>
      <c r="CA15" s="722">
        <v>66.705882352941174</v>
      </c>
      <c r="CB15" s="722">
        <v>73.66942372881357</v>
      </c>
      <c r="CC15" s="722">
        <v>529.07255353938194</v>
      </c>
      <c r="CD15" s="722">
        <v>145.25174476570291</v>
      </c>
      <c r="CE15" s="722">
        <v>46.184974488299808</v>
      </c>
      <c r="CF15" s="722">
        <v>41.294117647058826</v>
      </c>
      <c r="CG15" s="722">
        <v>1842.48</v>
      </c>
      <c r="CH15" s="722">
        <v>2917.0800000000004</v>
      </c>
      <c r="CI15" s="722">
        <v>266.76</v>
      </c>
      <c r="CJ15" s="722">
        <v>25893</v>
      </c>
      <c r="CK15" s="720">
        <v>25151.040000000001</v>
      </c>
      <c r="CL15" s="720">
        <v>31123.440000000002</v>
      </c>
      <c r="CM15" s="720">
        <v>30381.480000000003</v>
      </c>
      <c r="CN15" s="724">
        <v>52</v>
      </c>
      <c r="CO15" s="724">
        <v>2</v>
      </c>
      <c r="CP15" s="724" t="s">
        <v>1864</v>
      </c>
      <c r="CQ15" s="724">
        <v>2700</v>
      </c>
    </row>
    <row r="16" spans="1:95">
      <c r="A16" s="725" t="s">
        <v>422</v>
      </c>
      <c r="B16" s="715">
        <v>63.92</v>
      </c>
      <c r="C16" s="715" t="s">
        <v>1723</v>
      </c>
      <c r="D16" s="715">
        <v>25102.440000000002</v>
      </c>
      <c r="E16" s="715">
        <v>2606.4491277836723</v>
      </c>
      <c r="F16" s="715">
        <v>1921.7647058823529</v>
      </c>
      <c r="G16" s="715">
        <v>6465.1840082425097</v>
      </c>
      <c r="H16" s="715">
        <v>1843.9411764705883</v>
      </c>
      <c r="I16" s="715">
        <v>1554.4852941176473</v>
      </c>
      <c r="J16" s="715">
        <v>2177.2170233919524</v>
      </c>
      <c r="K16" s="715">
        <v>13111.2</v>
      </c>
      <c r="L16" s="715">
        <v>72264.705882352937</v>
      </c>
      <c r="M16" s="715">
        <v>7449.84</v>
      </c>
      <c r="N16" s="715">
        <v>144529.41176470587</v>
      </c>
      <c r="O16" s="715">
        <v>1151.4705882352939</v>
      </c>
      <c r="P16" s="715">
        <v>3371.76</v>
      </c>
      <c r="Q16" s="715">
        <v>3023.916514544258</v>
      </c>
      <c r="R16" s="715">
        <v>9097.7121068980578</v>
      </c>
      <c r="S16" s="715" t="s">
        <v>1433</v>
      </c>
      <c r="T16" s="715" t="s">
        <v>1433</v>
      </c>
      <c r="U16" s="715">
        <v>50198.400000000001</v>
      </c>
      <c r="V16" s="715">
        <v>296.51250805093213</v>
      </c>
      <c r="W16" s="715">
        <v>478.96932819444396</v>
      </c>
      <c r="X16" s="715">
        <v>643.23529411764696</v>
      </c>
      <c r="Y16" s="715">
        <v>727.1793623957891</v>
      </c>
      <c r="Z16" s="715">
        <v>1197.8300857452807</v>
      </c>
      <c r="AA16" s="715">
        <v>63.529411764705884</v>
      </c>
      <c r="AB16" s="715">
        <v>63.529411764705884</v>
      </c>
      <c r="AC16" s="715">
        <v>38.117647058823529</v>
      </c>
      <c r="AD16" s="715">
        <v>38.117647058823529</v>
      </c>
      <c r="AE16" s="720">
        <v>73.66942372881357</v>
      </c>
      <c r="AF16" s="720">
        <v>529.07255353938194</v>
      </c>
      <c r="AG16" s="715">
        <v>145.25174476570291</v>
      </c>
      <c r="AH16" s="715">
        <v>46.184974488299808</v>
      </c>
      <c r="AI16" s="715">
        <v>41.294117647058826</v>
      </c>
      <c r="AJ16" s="715">
        <v>82.588235294117652</v>
      </c>
      <c r="AK16" s="715">
        <v>270.74044511084753</v>
      </c>
      <c r="AL16" s="715">
        <v>353.31505483549353</v>
      </c>
      <c r="AM16" s="715">
        <v>197.01486819915252</v>
      </c>
      <c r="AN16" s="715">
        <v>66.705882352941174</v>
      </c>
      <c r="AO16" s="715">
        <v>133.41176470588235</v>
      </c>
      <c r="AP16" s="715">
        <v>41.294117647058826</v>
      </c>
      <c r="AQ16" s="716">
        <v>47.647058823529413</v>
      </c>
      <c r="AR16" s="716">
        <v>47.647058823529413</v>
      </c>
      <c r="AS16" s="715">
        <v>704.88436280351164</v>
      </c>
      <c r="AT16" s="718">
        <v>541.48089022169506</v>
      </c>
      <c r="AU16" s="718">
        <v>38.117647058823529</v>
      </c>
      <c r="AV16" s="718">
        <v>207.10080000000002</v>
      </c>
      <c r="AW16" s="718">
        <v>10294.127999999999</v>
      </c>
      <c r="AX16" s="718">
        <v>1090.8000000000002</v>
      </c>
      <c r="AY16" s="718">
        <v>217.72170233919528</v>
      </c>
      <c r="AZ16" s="718">
        <v>234.58042150053046</v>
      </c>
      <c r="BA16" s="718">
        <v>323.25920041212549</v>
      </c>
      <c r="BB16" s="718" t="s">
        <v>1724</v>
      </c>
      <c r="BC16" s="718" t="s">
        <v>1725</v>
      </c>
      <c r="BD16" s="718">
        <v>176.98725000000005</v>
      </c>
      <c r="BE16" s="718">
        <v>176.98725000000005</v>
      </c>
      <c r="BF16" s="718">
        <v>2008.1952000000001</v>
      </c>
      <c r="BG16" s="718">
        <v>6275.6100000000006</v>
      </c>
      <c r="BH16" s="718">
        <v>6689.6470588235297</v>
      </c>
      <c r="BI16" s="718">
        <v>7842.7058823529405</v>
      </c>
      <c r="BJ16" s="718">
        <v>10099.588235294117</v>
      </c>
      <c r="BK16" s="718">
        <v>238.23529411764704</v>
      </c>
      <c r="BL16" s="718">
        <v>145.80000000000001</v>
      </c>
      <c r="BM16" s="717">
        <v>378</v>
      </c>
      <c r="BN16" s="717">
        <v>108</v>
      </c>
      <c r="BO16" s="717">
        <v>2349.6145426783723</v>
      </c>
      <c r="BP16" s="717">
        <v>783.20484755945745</v>
      </c>
      <c r="BQ16" s="717">
        <v>783.20484755945745</v>
      </c>
      <c r="BR16" s="718">
        <v>783.20484755945745</v>
      </c>
      <c r="BS16" s="718">
        <v>783.20484755945745</v>
      </c>
      <c r="BT16" s="718">
        <v>783.20484755945745</v>
      </c>
      <c r="BU16" s="718">
        <v>783.20484755945745</v>
      </c>
      <c r="BV16" s="718">
        <v>2349.6145426783723</v>
      </c>
      <c r="BW16" s="718">
        <v>5522.5368000000008</v>
      </c>
      <c r="BX16" s="718">
        <v>63.529411764705884</v>
      </c>
      <c r="BY16" s="718">
        <v>16797.240000000002</v>
      </c>
      <c r="BZ16" s="718">
        <v>41.294117647058826</v>
      </c>
      <c r="CA16" s="718">
        <v>66.705882352941174</v>
      </c>
      <c r="CB16" s="718">
        <v>73.66942372881357</v>
      </c>
      <c r="CC16" s="718">
        <v>529.07255353938194</v>
      </c>
      <c r="CD16" s="718">
        <v>145.25174476570291</v>
      </c>
      <c r="CE16" s="718">
        <v>46.184974488299808</v>
      </c>
      <c r="CF16" s="718">
        <v>41.294117647058826</v>
      </c>
      <c r="CG16" s="718">
        <v>2149.2000000000003</v>
      </c>
      <c r="CH16" s="718">
        <v>3613.6800000000003</v>
      </c>
      <c r="CI16" s="718">
        <v>307.8</v>
      </c>
      <c r="CJ16" s="718">
        <v>32930.28</v>
      </c>
      <c r="CK16" s="715">
        <v>30290.760000000002</v>
      </c>
      <c r="CL16" s="715">
        <v>38079.72</v>
      </c>
      <c r="CM16" s="715">
        <v>35440.200000000004</v>
      </c>
      <c r="CN16" s="719">
        <v>65</v>
      </c>
      <c r="CO16" s="719">
        <v>3</v>
      </c>
      <c r="CP16" s="719" t="s">
        <v>1864</v>
      </c>
      <c r="CQ16" s="719">
        <v>2700</v>
      </c>
    </row>
    <row r="17" spans="1:95">
      <c r="A17" s="726" t="s">
        <v>423</v>
      </c>
      <c r="B17" s="720">
        <v>74.75</v>
      </c>
      <c r="C17" s="720" t="s">
        <v>1724</v>
      </c>
      <c r="D17" s="720">
        <v>29006.640000000003</v>
      </c>
      <c r="E17" s="720">
        <v>3681.6417100866734</v>
      </c>
      <c r="F17" s="720">
        <v>3074.8235294117649</v>
      </c>
      <c r="G17" s="720">
        <v>8185.4921399273126</v>
      </c>
      <c r="H17" s="720">
        <v>1843.9411764705883</v>
      </c>
      <c r="I17" s="720">
        <v>1554.4852941176473</v>
      </c>
      <c r="J17" s="720">
        <v>3182.9710583014121</v>
      </c>
      <c r="K17" s="720">
        <v>17188.2</v>
      </c>
      <c r="L17" s="720">
        <v>93388.23529411765</v>
      </c>
      <c r="M17" s="720">
        <v>9904.68</v>
      </c>
      <c r="N17" s="720">
        <v>186776.4705882353</v>
      </c>
      <c r="O17" s="720">
        <v>1151.4705882352939</v>
      </c>
      <c r="P17" s="720">
        <v>3697.92</v>
      </c>
      <c r="Q17" s="720">
        <v>4673.2405987813117</v>
      </c>
      <c r="R17" s="720">
        <v>13301.196563875876</v>
      </c>
      <c r="S17" s="720" t="s">
        <v>1433</v>
      </c>
      <c r="T17" s="720" t="s">
        <v>1433</v>
      </c>
      <c r="U17" s="720">
        <v>56764.800000000003</v>
      </c>
      <c r="V17" s="720">
        <v>440.2761483180509</v>
      </c>
      <c r="W17" s="720">
        <v>711.19688125841697</v>
      </c>
      <c r="X17" s="720">
        <v>643.23529411764696</v>
      </c>
      <c r="Y17" s="720">
        <v>1119.5968882368904</v>
      </c>
      <c r="Z17" s="720">
        <v>1844.1716133057046</v>
      </c>
      <c r="AA17" s="720">
        <v>63.529411764705884</v>
      </c>
      <c r="AB17" s="720">
        <v>63.529411764705884</v>
      </c>
      <c r="AC17" s="720">
        <v>38.117647058823529</v>
      </c>
      <c r="AD17" s="720">
        <v>38.117647058823529</v>
      </c>
      <c r="AE17" s="720">
        <v>73.66942372881357</v>
      </c>
      <c r="AF17" s="720">
        <v>529.07255353938194</v>
      </c>
      <c r="AG17" s="720">
        <v>290.50348953140582</v>
      </c>
      <c r="AH17" s="720">
        <v>92.369948976599616</v>
      </c>
      <c r="AI17" s="720">
        <v>41.294117647058826</v>
      </c>
      <c r="AJ17" s="720">
        <v>82.588235294117652</v>
      </c>
      <c r="AK17" s="720">
        <v>270.74044511084753</v>
      </c>
      <c r="AL17" s="720">
        <v>431.82951146560316</v>
      </c>
      <c r="AM17" s="720">
        <v>176.98725000000005</v>
      </c>
      <c r="AN17" s="720">
        <v>66.705882352941174</v>
      </c>
      <c r="AO17" s="720">
        <v>133.41176470588235</v>
      </c>
      <c r="AP17" s="720">
        <v>41.294117647058826</v>
      </c>
      <c r="AQ17" s="721">
        <v>47.647058823529413</v>
      </c>
      <c r="AR17" s="721">
        <v>47.647058823529413</v>
      </c>
      <c r="AS17" s="720">
        <v>961.12046302147087</v>
      </c>
      <c r="AT17" s="722">
        <v>541.48089022169506</v>
      </c>
      <c r="AU17" s="722">
        <v>38.117647058823529</v>
      </c>
      <c r="AV17" s="722">
        <v>242.19000000000003</v>
      </c>
      <c r="AW17" s="722">
        <v>12038.267647058823</v>
      </c>
      <c r="AX17" s="722">
        <v>1212.8400000000001</v>
      </c>
      <c r="AY17" s="722">
        <v>318.29710583014122</v>
      </c>
      <c r="AZ17" s="722">
        <v>331.34775390780061</v>
      </c>
      <c r="BA17" s="722">
        <v>409.27460699636566</v>
      </c>
      <c r="BB17" s="722" t="s">
        <v>1725</v>
      </c>
      <c r="BC17" s="722" t="s">
        <v>1726</v>
      </c>
      <c r="BD17" s="722">
        <v>176.98725000000005</v>
      </c>
      <c r="BE17" s="722">
        <v>700.8262855932204</v>
      </c>
      <c r="BF17" s="722">
        <v>2320.5311999999999</v>
      </c>
      <c r="BG17" s="722">
        <v>7251.6600000000008</v>
      </c>
      <c r="BH17" s="722">
        <v>7842.7058823529405</v>
      </c>
      <c r="BI17" s="722">
        <v>10099.588235294117</v>
      </c>
      <c r="BJ17" s="722">
        <v>11760.882352941177</v>
      </c>
      <c r="BK17" s="722">
        <v>238.23529411764704</v>
      </c>
      <c r="BL17" s="722">
        <v>145.80000000000001</v>
      </c>
      <c r="BM17" s="723">
        <v>378</v>
      </c>
      <c r="BN17" s="723">
        <v>108</v>
      </c>
      <c r="BO17" s="723">
        <v>3203.7348767382364</v>
      </c>
      <c r="BP17" s="723">
        <v>1067.911625579412</v>
      </c>
      <c r="BQ17" s="723">
        <v>1067.911625579412</v>
      </c>
      <c r="BR17" s="722">
        <v>1067.911625579412</v>
      </c>
      <c r="BS17" s="722">
        <v>1067.911625579412</v>
      </c>
      <c r="BT17" s="722">
        <v>1067.911625579412</v>
      </c>
      <c r="BU17" s="722">
        <v>1067.911625579412</v>
      </c>
      <c r="BV17" s="722">
        <v>3203.7348767382364</v>
      </c>
      <c r="BW17" s="722">
        <v>6381.4608000000007</v>
      </c>
      <c r="BX17" s="722">
        <v>63.529411764705884</v>
      </c>
      <c r="BY17" s="722">
        <v>20926.080000000002</v>
      </c>
      <c r="BZ17" s="722">
        <v>41.294117647058826</v>
      </c>
      <c r="CA17" s="722">
        <v>66.705882352941174</v>
      </c>
      <c r="CB17" s="722">
        <v>147.33884745762714</v>
      </c>
      <c r="CC17" s="722">
        <v>1058.1451070787639</v>
      </c>
      <c r="CD17" s="722">
        <v>290.50348953140582</v>
      </c>
      <c r="CE17" s="722">
        <v>92.369948976599616</v>
      </c>
      <c r="CF17" s="722">
        <v>41.294117647058826</v>
      </c>
      <c r="CG17" s="722">
        <v>2223.7200000000003</v>
      </c>
      <c r="CH17" s="722">
        <v>5030.6400000000003</v>
      </c>
      <c r="CI17" s="722">
        <v>336.96000000000004</v>
      </c>
      <c r="CJ17" s="722">
        <v>37299.96</v>
      </c>
      <c r="CK17" s="720">
        <v>34593.480000000003</v>
      </c>
      <c r="CL17" s="720">
        <v>45474.48</v>
      </c>
      <c r="CM17" s="720">
        <v>42768</v>
      </c>
      <c r="CN17" s="724">
        <v>84</v>
      </c>
      <c r="CO17" s="724">
        <v>3</v>
      </c>
      <c r="CP17" s="724" t="s">
        <v>1864</v>
      </c>
      <c r="CQ17" s="724">
        <v>5400</v>
      </c>
    </row>
    <row r="18" spans="1:95">
      <c r="A18" s="735" t="s">
        <v>424</v>
      </c>
      <c r="B18" s="736">
        <v>86.67</v>
      </c>
      <c r="C18" s="736" t="s">
        <v>1725</v>
      </c>
      <c r="D18" s="736">
        <v>32445.360000000001</v>
      </c>
      <c r="E18" s="736">
        <v>3609.5079161640838</v>
      </c>
      <c r="F18" s="736">
        <v>3074.8235294117649</v>
      </c>
      <c r="G18" s="736">
        <v>8070.0780696511674</v>
      </c>
      <c r="H18" s="736">
        <v>1843.9411764705883</v>
      </c>
      <c r="I18" s="736">
        <v>1554.4852941176473</v>
      </c>
      <c r="J18" s="736">
        <v>3182.9710583014121</v>
      </c>
      <c r="K18" s="736">
        <v>18890.280000000002</v>
      </c>
      <c r="L18" s="736">
        <v>101170.58823529411</v>
      </c>
      <c r="M18" s="736">
        <v>12358.44</v>
      </c>
      <c r="N18" s="736">
        <v>202341.17647058822</v>
      </c>
      <c r="O18" s="736">
        <v>1151.4705882352939</v>
      </c>
      <c r="P18" s="736">
        <v>3944.1600000000003</v>
      </c>
      <c r="Q18" s="736">
        <v>4673.2405987813117</v>
      </c>
      <c r="R18" s="736">
        <v>13301.196563875876</v>
      </c>
      <c r="S18" s="736" t="s">
        <v>1433</v>
      </c>
      <c r="T18" s="736" t="s">
        <v>1433</v>
      </c>
      <c r="U18" s="736">
        <v>63833.4</v>
      </c>
      <c r="V18" s="736">
        <v>440.2761483180509</v>
      </c>
      <c r="W18" s="736">
        <v>711.19688125841697</v>
      </c>
      <c r="X18" s="736">
        <v>643.23529411764696</v>
      </c>
      <c r="Y18" s="736">
        <v>1119.5968882368904</v>
      </c>
      <c r="Z18" s="736">
        <v>1844.1716133057046</v>
      </c>
      <c r="AA18" s="736">
        <v>63.529411764705884</v>
      </c>
      <c r="AB18" s="736">
        <v>63.529411764705884</v>
      </c>
      <c r="AC18" s="736">
        <v>38.117647058823529</v>
      </c>
      <c r="AD18" s="736">
        <v>38.117647058823529</v>
      </c>
      <c r="AE18" s="720">
        <v>73.66942372881357</v>
      </c>
      <c r="AF18" s="720">
        <v>529.07255353938194</v>
      </c>
      <c r="AG18" s="736">
        <v>290.50348953140582</v>
      </c>
      <c r="AH18" s="736">
        <v>92.369948976599616</v>
      </c>
      <c r="AI18" s="736">
        <v>41.294117647058826</v>
      </c>
      <c r="AJ18" s="736">
        <v>82.588235294117652</v>
      </c>
      <c r="AK18" s="736">
        <v>270.74044511084753</v>
      </c>
      <c r="AL18" s="736">
        <v>431.82951146560316</v>
      </c>
      <c r="AM18" s="736">
        <v>176.98725000000005</v>
      </c>
      <c r="AN18" s="736">
        <v>66.705882352941174</v>
      </c>
      <c r="AO18" s="736">
        <v>133.41176470588235</v>
      </c>
      <c r="AP18" s="736">
        <v>41.294117647058826</v>
      </c>
      <c r="AQ18" s="737">
        <v>47.647058823529413</v>
      </c>
      <c r="AR18" s="737">
        <v>47.647058823529413</v>
      </c>
      <c r="AS18" s="736">
        <v>1102.8313658515574</v>
      </c>
      <c r="AT18" s="738">
        <v>541.48089022169506</v>
      </c>
      <c r="AU18" s="738">
        <v>38.117647058823529</v>
      </c>
      <c r="AV18" s="738">
        <v>280.81080000000003</v>
      </c>
      <c r="AW18" s="738">
        <v>13957.948588235295</v>
      </c>
      <c r="AX18" s="738">
        <v>1321.92</v>
      </c>
      <c r="AY18" s="738">
        <v>318.29710583014122</v>
      </c>
      <c r="AZ18" s="738">
        <v>324.85571245476751</v>
      </c>
      <c r="BA18" s="738">
        <v>403.50390348255837</v>
      </c>
      <c r="BB18" s="738" t="s">
        <v>1726</v>
      </c>
      <c r="BC18" s="738" t="s">
        <v>1727</v>
      </c>
      <c r="BD18" s="738">
        <v>700.8262855932204</v>
      </c>
      <c r="BE18" s="738">
        <v>758.77941737288154</v>
      </c>
      <c r="BF18" s="738">
        <v>2595.6288000000004</v>
      </c>
      <c r="BG18" s="738">
        <v>8111.34</v>
      </c>
      <c r="BH18" s="738">
        <v>10099.588235294117</v>
      </c>
      <c r="BI18" s="738">
        <v>11760.882352941177</v>
      </c>
      <c r="BJ18" s="738">
        <v>11760.882352941177</v>
      </c>
      <c r="BK18" s="738">
        <v>238.23529411764704</v>
      </c>
      <c r="BL18" s="738">
        <v>145.80000000000001</v>
      </c>
      <c r="BM18" s="739">
        <v>378</v>
      </c>
      <c r="BN18" s="739">
        <v>108</v>
      </c>
      <c r="BO18" s="739">
        <v>3676.1045528385248</v>
      </c>
      <c r="BP18" s="739">
        <v>1225.3681842795083</v>
      </c>
      <c r="BQ18" s="739">
        <v>1225.3681842795083</v>
      </c>
      <c r="BR18" s="738">
        <v>1225.3681842795083</v>
      </c>
      <c r="BS18" s="738">
        <v>1225.3681842795083</v>
      </c>
      <c r="BT18" s="738">
        <v>1225.3681842795083</v>
      </c>
      <c r="BU18" s="738">
        <v>1225.3681842795083</v>
      </c>
      <c r="BV18" s="738">
        <v>3676.1045528385248</v>
      </c>
      <c r="BW18" s="738">
        <v>7137.9792000000007</v>
      </c>
      <c r="BX18" s="738">
        <v>63.529411764705884</v>
      </c>
      <c r="BY18" s="738">
        <v>24344.280000000002</v>
      </c>
      <c r="BZ18" s="738">
        <v>41.294117647058826</v>
      </c>
      <c r="CA18" s="738">
        <v>66.705882352941174</v>
      </c>
      <c r="CB18" s="738">
        <v>147.33884745762714</v>
      </c>
      <c r="CC18" s="738">
        <v>1058.1451070787639</v>
      </c>
      <c r="CD18" s="738">
        <v>290.50348953140582</v>
      </c>
      <c r="CE18" s="738">
        <v>92.369948976599616</v>
      </c>
      <c r="CF18" s="738">
        <v>41.294117647058826</v>
      </c>
      <c r="CG18" s="738">
        <v>2395.44</v>
      </c>
      <c r="CH18" s="738">
        <v>6571.8</v>
      </c>
      <c r="CI18" s="738">
        <v>363.96000000000004</v>
      </c>
      <c r="CJ18" s="738">
        <v>40738.68</v>
      </c>
      <c r="CK18" s="736">
        <v>37943.64</v>
      </c>
      <c r="CL18" s="736">
        <v>51362.640000000007</v>
      </c>
      <c r="CM18" s="736">
        <v>48567.600000000006</v>
      </c>
      <c r="CN18" s="740">
        <v>91</v>
      </c>
      <c r="CO18" s="740">
        <v>3</v>
      </c>
      <c r="CP18" s="740" t="s">
        <v>1864</v>
      </c>
      <c r="CQ18" s="740">
        <v>8640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160</vt:i4>
      </vt:variant>
    </vt:vector>
  </HeadingPairs>
  <TitlesOfParts>
    <vt:vector size="163" baseType="lpstr">
      <vt:lpstr>REV. Notes</vt:lpstr>
      <vt:lpstr>Summary</vt:lpstr>
      <vt:lpstr>Sound Data</vt:lpstr>
      <vt:lpstr>'Units Specs'!_Hlk44232207</vt:lpstr>
      <vt:lpstr>'Units Specs'!_Hlk54783533</vt:lpstr>
      <vt:lpstr>'Units Specs'!_Toc120109412</vt:lpstr>
      <vt:lpstr>'Units Specs'!_Toc120109413</vt:lpstr>
      <vt:lpstr>'Units Specs'!_Toc120109414</vt:lpstr>
      <vt:lpstr>'Units Specs'!_Toc120109415</vt:lpstr>
      <vt:lpstr>'Units Specs'!_Toc120109416</vt:lpstr>
      <vt:lpstr>'Units Specs'!_Toc123116317</vt:lpstr>
      <vt:lpstr>'Units Specs'!_Toc123116318</vt:lpstr>
      <vt:lpstr>'Units Specs'!_Toc123116319</vt:lpstr>
      <vt:lpstr>'Units Specs'!_Toc123116320</vt:lpstr>
      <vt:lpstr>'Units Specs'!_Toc123116321</vt:lpstr>
      <vt:lpstr>'Units Specs'!_Toc123116323</vt:lpstr>
      <vt:lpstr>'Units Specs'!_Toc123116324</vt:lpstr>
      <vt:lpstr>'Units Specs'!_Toc123116325</vt:lpstr>
      <vt:lpstr>'Units Specs'!_Toc123116326</vt:lpstr>
      <vt:lpstr>'Units Specs'!_Toc123116327</vt:lpstr>
      <vt:lpstr>'Units Specs'!_Toc123116329</vt:lpstr>
      <vt:lpstr>'Units Specs'!_Toc123116330</vt:lpstr>
      <vt:lpstr>'Units Specs'!_Toc123116331</vt:lpstr>
      <vt:lpstr>'Units Specs'!_Toc123116332</vt:lpstr>
      <vt:lpstr>'Units Specs'!_Toc123116333</vt:lpstr>
      <vt:lpstr>'Units Specs'!_Toc123116335</vt:lpstr>
      <vt:lpstr>'Units Specs'!_Toc123116336</vt:lpstr>
      <vt:lpstr>'Units Specs'!_Toc123116337</vt:lpstr>
      <vt:lpstr>'Units Specs'!_Toc123116338</vt:lpstr>
      <vt:lpstr>'Units Specs'!_Toc123116339</vt:lpstr>
      <vt:lpstr>'Units Specs'!_Toc123116341</vt:lpstr>
      <vt:lpstr>'Units Specs'!_Toc123116342</vt:lpstr>
      <vt:lpstr>'Units Specs'!_Toc123116343</vt:lpstr>
      <vt:lpstr>'Units Specs'!_Toc123116344</vt:lpstr>
      <vt:lpstr>'Units Specs'!_Toc123116346</vt:lpstr>
      <vt:lpstr>'Units Specs'!_Toc123116347</vt:lpstr>
      <vt:lpstr>'Units Specs'!_Toc123116348</vt:lpstr>
      <vt:lpstr>'Units Specs'!_Toc123116349</vt:lpstr>
      <vt:lpstr>'Units Specs'!_Toc123116351</vt:lpstr>
      <vt:lpstr>'Units Specs'!_Toc123116352</vt:lpstr>
      <vt:lpstr>'Units Specs'!_Toc123116353</vt:lpstr>
      <vt:lpstr>'Units Specs'!_Toc123116354</vt:lpstr>
      <vt:lpstr>'Units Specs'!_Toc123116356</vt:lpstr>
      <vt:lpstr>'Units Specs'!_Toc123116357</vt:lpstr>
      <vt:lpstr>'Units Specs'!_Toc123116358</vt:lpstr>
      <vt:lpstr>'Units Specs'!_Toc123116359</vt:lpstr>
      <vt:lpstr>'Units Specs'!_Toc123116361</vt:lpstr>
      <vt:lpstr>'Units Specs'!_Toc123116362</vt:lpstr>
      <vt:lpstr>'Units Specs'!_Toc123116363</vt:lpstr>
      <vt:lpstr>'Units Specs'!_Toc123116364</vt:lpstr>
      <vt:lpstr>'Units Specs'!_Toc123116366</vt:lpstr>
      <vt:lpstr>'Units Specs'!_Toc123116367</vt:lpstr>
      <vt:lpstr>'Units Specs'!_Toc123116368</vt:lpstr>
      <vt:lpstr>'Units Specs'!_Toc123116369</vt:lpstr>
      <vt:lpstr>'Units Specs'!_Toc123116370</vt:lpstr>
      <vt:lpstr>'Units Specs'!_Toc123116372</vt:lpstr>
      <vt:lpstr>'Units Specs'!_Toc123116373</vt:lpstr>
      <vt:lpstr>'Units Specs'!_Toc123116374</vt:lpstr>
      <vt:lpstr>'Units Specs'!_Toc123116375</vt:lpstr>
      <vt:lpstr>'Units Specs'!_Toc123116376</vt:lpstr>
      <vt:lpstr>'Units Specs'!_Toc123116377</vt:lpstr>
      <vt:lpstr>'Units Specs'!_Toc123116379</vt:lpstr>
      <vt:lpstr>'Units Specs'!_Toc123116380</vt:lpstr>
      <vt:lpstr>'Units Specs'!_Toc123116381</vt:lpstr>
      <vt:lpstr>'Units Specs'!_Toc123116382</vt:lpstr>
      <vt:lpstr>'Units Specs'!_Toc123116383</vt:lpstr>
      <vt:lpstr>'Units Specs'!_Toc123116384</vt:lpstr>
      <vt:lpstr>'Units Specs'!_Toc123116385</vt:lpstr>
      <vt:lpstr>'Units Specs'!_Toc123116386</vt:lpstr>
      <vt:lpstr>'Units Specs'!_Toc123116387</vt:lpstr>
      <vt:lpstr>'Units Specs'!_Toc123116388</vt:lpstr>
      <vt:lpstr>'Units Specs'!_Toc123116389</vt:lpstr>
      <vt:lpstr>'Units Specs'!_Toc123116390</vt:lpstr>
      <vt:lpstr>'Units Specs'!_Toc123116391</vt:lpstr>
      <vt:lpstr>'Units Specs'!_Toc123116392</vt:lpstr>
      <vt:lpstr>'Units Specs'!_Toc123116393</vt:lpstr>
      <vt:lpstr>'Units Specs'!_Toc123116394</vt:lpstr>
      <vt:lpstr>'Units Specs'!_Toc123116396</vt:lpstr>
      <vt:lpstr>'Units Specs'!_Toc123116397</vt:lpstr>
      <vt:lpstr>'Units Specs'!_Toc123116398</vt:lpstr>
      <vt:lpstr>'Units Specs'!_Toc123116399</vt:lpstr>
      <vt:lpstr>'Units Specs'!_Toc123116400</vt:lpstr>
      <vt:lpstr>'Units Specs'!_Toc123116402</vt:lpstr>
      <vt:lpstr>'Units Specs'!_Toc123116403</vt:lpstr>
      <vt:lpstr>'Units Specs'!_Toc123116404</vt:lpstr>
      <vt:lpstr>'Units Specs'!_Toc123116405</vt:lpstr>
      <vt:lpstr>'Units Specs'!_Toc123116406</vt:lpstr>
      <vt:lpstr>'Units Specs'!_Toc123116408</vt:lpstr>
      <vt:lpstr>'Units Specs'!_Toc123116410</vt:lpstr>
      <vt:lpstr>'Units Specs'!_Toc123116412</vt:lpstr>
      <vt:lpstr>AHU_Specs</vt:lpstr>
      <vt:lpstr>APSA_Chillers</vt:lpstr>
      <vt:lpstr>APSa_Specs</vt:lpstr>
      <vt:lpstr>ATTN</vt:lpstr>
      <vt:lpstr>Cassette_Unit</vt:lpstr>
      <vt:lpstr>Cassette_Unit_Source</vt:lpstr>
      <vt:lpstr>Ceiling_Cabinet</vt:lpstr>
      <vt:lpstr>Ceiling_Cabinet_soruce</vt:lpstr>
      <vt:lpstr>Chemical_Specs</vt:lpstr>
      <vt:lpstr>CM_Specs</vt:lpstr>
      <vt:lpstr>CRAH</vt:lpstr>
      <vt:lpstr>DCV_source</vt:lpstr>
      <vt:lpstr>DSP_AHU_Specs</vt:lpstr>
      <vt:lpstr>DSP_CM_Specs</vt:lpstr>
      <vt:lpstr>Ducted_Units</vt:lpstr>
      <vt:lpstr>Ducted_Units_Source</vt:lpstr>
      <vt:lpstr>Ecology_Specs</vt:lpstr>
      <vt:lpstr>'Chiller Quick Pricing'!EH_1Phase_Stages</vt:lpstr>
      <vt:lpstr>'DATA BASE Prising'!EH_1Phase_Stages</vt:lpstr>
      <vt:lpstr>EH_1Phase_Stages</vt:lpstr>
      <vt:lpstr>FCU_Specs</vt:lpstr>
      <vt:lpstr>Floor_Virtical</vt:lpstr>
      <vt:lpstr>Galvanized_Ceiling_Cabinet</vt:lpstr>
      <vt:lpstr>Galvanized_Floor_Cabinet</vt:lpstr>
      <vt:lpstr>GF_Soruce</vt:lpstr>
      <vt:lpstr>Grand_Summary</vt:lpstr>
      <vt:lpstr>Offer_NO</vt:lpstr>
      <vt:lpstr>PASC_CM_Ceiling</vt:lpstr>
      <vt:lpstr>PASC_CM_SPECS</vt:lpstr>
      <vt:lpstr>PASC_Specs</vt:lpstr>
      <vt:lpstr>PCCD_source</vt:lpstr>
      <vt:lpstr>PDC_Specs</vt:lpstr>
      <vt:lpstr>PDU_SPECS</vt:lpstr>
      <vt:lpstr>PFCD_source</vt:lpstr>
      <vt:lpstr>PPH_Screw</vt:lpstr>
      <vt:lpstr>PPH_Specs</vt:lpstr>
      <vt:lpstr>PPH4_Data</vt:lpstr>
      <vt:lpstr>PPHa</vt:lpstr>
      <vt:lpstr>PPHc_Scroll</vt:lpstr>
      <vt:lpstr>PPHc_Scroll_Data</vt:lpstr>
      <vt:lpstr>'Specs Sheet'!Print_Titles</vt:lpstr>
      <vt:lpstr>Project_Name</vt:lpstr>
      <vt:lpstr>PSC_4</vt:lpstr>
      <vt:lpstr>PSC_Specs</vt:lpstr>
      <vt:lpstr>PSC4_RWC4</vt:lpstr>
      <vt:lpstr>PSCc</vt:lpstr>
      <vt:lpstr>PSCc_RWCc</vt:lpstr>
      <vt:lpstr>PSU_SPECS</vt:lpstr>
      <vt:lpstr>PWC_Source</vt:lpstr>
      <vt:lpstr>PWM_Specs</vt:lpstr>
      <vt:lpstr>REV_NO</vt:lpstr>
      <vt:lpstr>RWC_4</vt:lpstr>
      <vt:lpstr>RWC_Specs</vt:lpstr>
      <vt:lpstr>RWCc</vt:lpstr>
      <vt:lpstr>'Input Data'!Sales2</vt:lpstr>
      <vt:lpstr>'PASC Ceiling'!Sales2</vt:lpstr>
      <vt:lpstr>PDC!Sales2</vt:lpstr>
      <vt:lpstr>WPSA!Sales2</vt:lpstr>
      <vt:lpstr>Sales2</vt:lpstr>
      <vt:lpstr>Sales3</vt:lpstr>
      <vt:lpstr>Sheet_1</vt:lpstr>
      <vt:lpstr>Sheet_2</vt:lpstr>
      <vt:lpstr>Sheet_3</vt:lpstr>
      <vt:lpstr>'Input Data'!Studies2</vt:lpstr>
      <vt:lpstr>'PASC Ceiling'!Studies2</vt:lpstr>
      <vt:lpstr>PDC!Studies2</vt:lpstr>
      <vt:lpstr>WPSA!Studies2</vt:lpstr>
      <vt:lpstr>Studies2</vt:lpstr>
      <vt:lpstr>Stuides2</vt:lpstr>
      <vt:lpstr>Total_Summary</vt:lpstr>
      <vt:lpstr>VAT_Summary</vt:lpstr>
      <vt:lpstr>WPSa</vt:lpstr>
      <vt:lpstr>WPSa_Spec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Yousef Hamdan</dc:creator>
  <cp:lastModifiedBy>Yousef Hamdan</cp:lastModifiedBy>
  <cp:lastPrinted>2025-12-20T08:11:17Z</cp:lastPrinted>
  <dcterms:created xsi:type="dcterms:W3CDTF">2016-06-29T06:46:19Z</dcterms:created>
  <dcterms:modified xsi:type="dcterms:W3CDTF">2026-05-31T05:30:20Z</dcterms:modified>
</cp:coreProperties>
</file>