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jyounes\Downloads\python_tilia\data\"/>
    </mc:Choice>
  </mc:AlternateContent>
  <xr:revisionPtr revIDLastSave="0" documentId="13_ncr:1_{4B6AA23A-4248-47CC-9333-8F20A569155A}" xr6:coauthVersionLast="47" xr6:coauthVersionMax="47" xr10:uidLastSave="{00000000-0000-0000-0000-000000000000}"/>
  <bookViews>
    <workbookView xWindow="-110" yWindow="-110" windowWidth="19420" windowHeight="10300" xr2:uid="{00000000-000D-0000-FFFF-FFFF00000000}"/>
  </bookViews>
  <sheets>
    <sheet name="User Guide" sheetId="1" r:id="rId1"/>
    <sheet name="results" sheetId="2" r:id="rId2"/>
    <sheet name="results2" sheetId="3" r:id="rId3"/>
    <sheet name="Natural Gas Boiler" sheetId="4" r:id="rId4"/>
    <sheet name="Hydrogen+Alkaline Electro" sheetId="5" r:id="rId5"/>
    <sheet name="Biomass" sheetId="6" r:id="rId6"/>
    <sheet name="Geothermal" sheetId="7" r:id="rId7"/>
    <sheet name="Electric Boiler" sheetId="8" r:id="rId8"/>
    <sheet name="Heat pump fed by DE-modif" sheetId="9" r:id="rId9"/>
    <sheet name="Solar"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 i="10" l="1"/>
  <c r="E25" i="10" s="1"/>
  <c r="E27" i="10" s="1"/>
  <c r="F8" i="10"/>
  <c r="D5" i="10"/>
  <c r="E4" i="9"/>
  <c r="E6" i="9" s="1"/>
  <c r="D41" i="8"/>
  <c r="D11" i="8"/>
  <c r="D5" i="8"/>
  <c r="D4" i="8"/>
  <c r="D35" i="8" s="1"/>
  <c r="E36" i="7"/>
  <c r="E24" i="7" s="1"/>
  <c r="N30" i="7"/>
  <c r="O15" i="7"/>
  <c r="P15" i="7" s="1"/>
  <c r="Q15" i="7" s="1"/>
  <c r="K15" i="7" s="1"/>
  <c r="K16" i="7" s="1"/>
  <c r="P14" i="7"/>
  <c r="Q14" i="7" s="1"/>
  <c r="O14" i="7"/>
  <c r="O13" i="7"/>
  <c r="P13" i="7" s="1"/>
  <c r="Q13" i="7" s="1"/>
  <c r="O12" i="7"/>
  <c r="P12" i="7" s="1"/>
  <c r="Q12" i="7" s="1"/>
  <c r="Q11" i="7"/>
  <c r="P11" i="7"/>
  <c r="O11" i="7"/>
  <c r="P10" i="7"/>
  <c r="Q10" i="7" s="1"/>
  <c r="O10" i="7"/>
  <c r="O9" i="7"/>
  <c r="P9" i="7" s="1"/>
  <c r="Q9" i="7" s="1"/>
  <c r="E15" i="7" s="1"/>
  <c r="E16" i="7" s="1"/>
  <c r="Q8" i="7"/>
  <c r="P8" i="7"/>
  <c r="O8" i="7"/>
  <c r="K6" i="7"/>
  <c r="K8" i="7" s="1"/>
  <c r="K14" i="7" s="1"/>
  <c r="K13" i="7" s="1"/>
  <c r="K4" i="7"/>
  <c r="K36" i="7" s="1"/>
  <c r="K24" i="7" s="1"/>
  <c r="E4" i="7"/>
  <c r="E6" i="7" s="1"/>
  <c r="H48" i="6"/>
  <c r="H49" i="6" s="1"/>
  <c r="H23" i="6"/>
  <c r="D20" i="6"/>
  <c r="D45" i="6" s="1"/>
  <c r="D19" i="6"/>
  <c r="D31" i="6" s="1"/>
  <c r="D32" i="6" s="1"/>
  <c r="H17" i="6"/>
  <c r="D16" i="6"/>
  <c r="H10" i="6"/>
  <c r="G58" i="6" s="1"/>
  <c r="D9" i="6"/>
  <c r="C58" i="6" s="1"/>
  <c r="J54" i="5"/>
  <c r="J33" i="5"/>
  <c r="J34" i="5" s="1"/>
  <c r="I41" i="5" s="1"/>
  <c r="D33" i="5"/>
  <c r="J21" i="5"/>
  <c r="J17" i="5"/>
  <c r="J22" i="5" s="1"/>
  <c r="J30" i="5" s="1"/>
  <c r="I40" i="5" s="1"/>
  <c r="I44" i="5" s="1"/>
  <c r="C3" i="2" s="1"/>
  <c r="J16" i="5"/>
  <c r="D11" i="5"/>
  <c r="D8" i="5"/>
  <c r="D16" i="5" s="1"/>
  <c r="D18" i="5" s="1"/>
  <c r="J7" i="5"/>
  <c r="D7" i="5"/>
  <c r="I48" i="5" s="1"/>
  <c r="D17" i="4"/>
  <c r="D8" i="4"/>
  <c r="D7" i="4"/>
  <c r="D39" i="4" s="1"/>
  <c r="D40" i="4" s="1"/>
  <c r="E5" i="2"/>
  <c r="E3" i="2"/>
  <c r="D22" i="5" l="1"/>
  <c r="D30" i="5" s="1"/>
  <c r="C40" i="5" s="1"/>
  <c r="D21" i="5"/>
  <c r="D23" i="5" s="1"/>
  <c r="D37" i="6"/>
  <c r="D36" i="6"/>
  <c r="D38" i="6" s="1"/>
  <c r="E28" i="9"/>
  <c r="E19" i="9"/>
  <c r="E8" i="9"/>
  <c r="E13" i="9" s="1"/>
  <c r="E12" i="9" s="1"/>
  <c r="E8" i="7"/>
  <c r="E14" i="7" s="1"/>
  <c r="E13" i="7" s="1"/>
  <c r="E22" i="7"/>
  <c r="E32" i="7"/>
  <c r="J23" i="5"/>
  <c r="D35" i="5"/>
  <c r="C41" i="5" s="1"/>
  <c r="K10" i="7"/>
  <c r="K20" i="7"/>
  <c r="K19" i="7" s="1"/>
  <c r="K28" i="7" s="1"/>
  <c r="E29" i="10"/>
  <c r="E41" i="10" s="1"/>
  <c r="H19" i="6"/>
  <c r="C49" i="4"/>
  <c r="D34" i="5"/>
  <c r="D10" i="10"/>
  <c r="D22" i="6"/>
  <c r="K32" i="7"/>
  <c r="D14" i="10"/>
  <c r="K22" i="7"/>
  <c r="D6" i="8"/>
  <c r="D35" i="4"/>
  <c r="D36" i="5"/>
  <c r="C42" i="5" s="1"/>
  <c r="D10" i="6"/>
  <c r="D48" i="6"/>
  <c r="D49" i="6" s="1"/>
  <c r="C54" i="6" s="1"/>
  <c r="D9" i="4"/>
  <c r="H11" i="6"/>
  <c r="H62" i="6" s="1"/>
  <c r="E6" i="2" s="1"/>
  <c r="B2" i="3" s="1" a="1"/>
  <c r="B2" i="3" s="1"/>
  <c r="D25" i="10"/>
  <c r="D27" i="10" s="1"/>
  <c r="C48" i="5"/>
  <c r="E37" i="7"/>
  <c r="D62" i="6"/>
  <c r="K37" i="7"/>
  <c r="E7" i="2" s="1"/>
  <c r="E4" i="2"/>
  <c r="E10" i="9" l="1"/>
  <c r="E22" i="9" s="1"/>
  <c r="E17" i="9"/>
  <c r="E16" i="9" s="1"/>
  <c r="E23" i="9" s="1"/>
  <c r="D20" i="4"/>
  <c r="D21" i="4" s="1"/>
  <c r="D11" i="4"/>
  <c r="D37" i="4"/>
  <c r="C45" i="4" s="1"/>
  <c r="H31" i="6"/>
  <c r="H32" i="6" s="1"/>
  <c r="H20" i="6"/>
  <c r="D40" i="6"/>
  <c r="D39" i="6"/>
  <c r="D41" i="6"/>
  <c r="K17" i="7"/>
  <c r="K11" i="7"/>
  <c r="K27" i="7" s="1"/>
  <c r="D24" i="5"/>
  <c r="D26" i="5" s="1"/>
  <c r="C39" i="5" s="1"/>
  <c r="C43" i="5" s="1"/>
  <c r="D50" i="5" s="1"/>
  <c r="D51" i="5" s="1"/>
  <c r="C4" i="2"/>
  <c r="D8" i="8"/>
  <c r="D32" i="8"/>
  <c r="D30" i="8"/>
  <c r="C5" i="2" s="1"/>
  <c r="J24" i="5"/>
  <c r="J26" i="5" s="1"/>
  <c r="I39" i="5" s="1"/>
  <c r="D19" i="10"/>
  <c r="D17" i="10"/>
  <c r="D15" i="10"/>
  <c r="D41" i="10"/>
  <c r="D29" i="10"/>
  <c r="E10" i="7"/>
  <c r="E20" i="7"/>
  <c r="E19" i="7" s="1"/>
  <c r="E28" i="7" s="1"/>
  <c r="C7" i="2" s="1"/>
  <c r="B3" i="2" l="1"/>
  <c r="B4" i="2"/>
  <c r="I42" i="5"/>
  <c r="K29" i="7"/>
  <c r="K33" i="7" s="1"/>
  <c r="B7" i="2"/>
  <c r="G7" i="2" s="1"/>
  <c r="H37" i="6"/>
  <c r="H36" i="6"/>
  <c r="H38" i="6" s="1"/>
  <c r="D18" i="8"/>
  <c r="D14" i="8"/>
  <c r="D15" i="8" s="1"/>
  <c r="E35" i="10"/>
  <c r="E39" i="10" s="1"/>
  <c r="E42" i="10" s="1"/>
  <c r="E43" i="10" s="1"/>
  <c r="D35" i="10"/>
  <c r="D39" i="10" s="1"/>
  <c r="D42" i="10" s="1"/>
  <c r="D43" i="10" s="1"/>
  <c r="C52" i="6"/>
  <c r="C55" i="6" s="1"/>
  <c r="D60" i="6" s="1"/>
  <c r="D44" i="6"/>
  <c r="C53" i="6" s="1"/>
  <c r="H21" i="6"/>
  <c r="H22" i="6" s="1"/>
  <c r="H24" i="6" s="1"/>
  <c r="D26" i="4"/>
  <c r="D36" i="4" s="1"/>
  <c r="C44" i="4" s="1"/>
  <c r="C2" i="2" s="1"/>
  <c r="D25" i="4"/>
  <c r="D27" i="4" s="1"/>
  <c r="E17" i="7"/>
  <c r="E11" i="7"/>
  <c r="E27" i="7" s="1"/>
  <c r="E29" i="7" s="1"/>
  <c r="E33" i="7" s="1"/>
  <c r="E24" i="9"/>
  <c r="E29" i="9" s="1"/>
  <c r="D28" i="4" l="1"/>
  <c r="D30" i="4" s="1"/>
  <c r="C43" i="4" s="1"/>
  <c r="D7" i="2"/>
  <c r="D19" i="8"/>
  <c r="D20" i="8" s="1"/>
  <c r="D29" i="8" s="1"/>
  <c r="H40" i="6"/>
  <c r="H39" i="6"/>
  <c r="H41" i="6" s="1"/>
  <c r="I45" i="5"/>
  <c r="J51" i="5" s="1"/>
  <c r="I43" i="5"/>
  <c r="J50" i="5" s="1"/>
  <c r="G4" i="2"/>
  <c r="H26" i="6"/>
  <c r="H28" i="6" s="1"/>
  <c r="H45" i="6" s="1"/>
  <c r="G54" i="6" s="1"/>
  <c r="G3" i="2"/>
  <c r="G52" i="6" l="1"/>
  <c r="H44" i="6"/>
  <c r="G53" i="6" s="1"/>
  <c r="C6" i="2" s="1"/>
  <c r="B4" i="3" s="1" a="1"/>
  <c r="B4" i="3" s="1"/>
  <c r="B5" i="2"/>
  <c r="D31" i="8"/>
  <c r="D36" i="8" s="1"/>
  <c r="B2" i="2"/>
  <c r="C46" i="4"/>
  <c r="D51" i="4" s="1"/>
  <c r="D3" i="2"/>
  <c r="D4" i="2"/>
  <c r="E39" i="7" l="1"/>
  <c r="E40" i="7" s="1"/>
  <c r="D43" i="8"/>
  <c r="D2" i="2"/>
  <c r="H64" i="6"/>
  <c r="J56" i="5"/>
  <c r="K39" i="7"/>
  <c r="K40" i="7" s="1"/>
  <c r="F7" i="2" s="1"/>
  <c r="D64" i="6"/>
  <c r="D65" i="6" s="1"/>
  <c r="D44" i="8"/>
  <c r="F5" i="2" s="1"/>
  <c r="D5" i="2"/>
  <c r="G5" i="2"/>
  <c r="B6" i="3" s="1" a="1"/>
  <c r="B6" i="3" s="1"/>
  <c r="B3" i="3" a="1"/>
  <c r="B3" i="3" s="1"/>
  <c r="B6" i="2"/>
  <c r="G6" i="2" s="1"/>
  <c r="G55" i="6"/>
  <c r="H60" i="6" s="1"/>
  <c r="J58" i="5" l="1"/>
  <c r="F4" i="2" s="1"/>
  <c r="J57" i="5"/>
  <c r="F3" i="2" s="1"/>
  <c r="D6" i="2"/>
  <c r="B5" i="3" s="1" a="1"/>
  <c r="B5" i="3" s="1"/>
  <c r="H65" i="6"/>
  <c r="F6" i="2" s="1"/>
</calcChain>
</file>

<file path=xl/sharedStrings.xml><?xml version="1.0" encoding="utf-8"?>
<sst xmlns="http://schemas.openxmlformats.org/spreadsheetml/2006/main" count="776" uniqueCount="309">
  <si>
    <t>Question</t>
  </si>
  <si>
    <t>Input</t>
  </si>
  <si>
    <t>Location of the papermill (to determine feasibility of geothermal/solar)</t>
  </si>
  <si>
    <t>Île-de-France</t>
  </si>
  <si>
    <t>What is your energy demand annually for heat/steam (MWh/year)</t>
  </si>
  <si>
    <t>Is your mill integrated (if they produce pulp, feasibility for biomass)</t>
  </si>
  <si>
    <t>Yes</t>
  </si>
  <si>
    <t xml:space="preserve">    if yes, how much do you obtain wood sludge annually (in tonnes)</t>
  </si>
  <si>
    <t>Subsidies</t>
  </si>
  <si>
    <t>ON</t>
  </si>
  <si>
    <t>Technology</t>
  </si>
  <si>
    <t>Capex (EUR)</t>
  </si>
  <si>
    <t>Opex (EUR)</t>
  </si>
  <si>
    <t>LCOE (EUR/MWh)</t>
  </si>
  <si>
    <t>TCO2 avoided</t>
  </si>
  <si>
    <t>Cost of avoidance (EUR/TCO2e)</t>
  </si>
  <si>
    <t>Payback Period</t>
  </si>
  <si>
    <t>Notes</t>
  </si>
  <si>
    <t>Natural Gas Boiler</t>
  </si>
  <si>
    <t>(CAPEX is high as certificates of CO2 are getting more expensive)</t>
  </si>
  <si>
    <t>Hydrogen Boiler (fuel purchased)</t>
  </si>
  <si>
    <t>Opex sub. Is needed</t>
  </si>
  <si>
    <t>Hydrogen Boiler and Alkaline Electrolizer</t>
  </si>
  <si>
    <t>Opex subsidies is needed, Green Hydrogen Tenders France 2030, highly competitive</t>
  </si>
  <si>
    <t>Electric Boiler</t>
  </si>
  <si>
    <t>Opex subsidies is needed but not offered since 2022 after the UR war, no targeted subsidy but could fit under DECARB IND 25, which offers subsidies on CAPEX, if boiler is part of a more hollistic dcarbonization plan</t>
  </si>
  <si>
    <t>Biomass</t>
  </si>
  <si>
    <t>Capex subsidies is needed, BCIAT Programe France 2030</t>
  </si>
  <si>
    <t>Geothermie with heat pump</t>
  </si>
  <si>
    <t>Capex subsidies is needed, Fonds Chaleur, ADEME</t>
  </si>
  <si>
    <t>If the Goal is:</t>
  </si>
  <si>
    <t>The best technology is:</t>
  </si>
  <si>
    <t>GHG reduction</t>
  </si>
  <si>
    <t>Optimal CAPEX</t>
  </si>
  <si>
    <t>Optimal Opex</t>
  </si>
  <si>
    <t>Best LCOE</t>
  </si>
  <si>
    <t>Natural Gas</t>
  </si>
  <si>
    <t>Natural gas LHV</t>
  </si>
  <si>
    <t>MWh/t</t>
  </si>
  <si>
    <t>boiler efficiency</t>
  </si>
  <si>
    <t>Natural Gas emission factor</t>
  </si>
  <si>
    <t>tCO2e/MWh</t>
  </si>
  <si>
    <t>(IPCC, 2006)</t>
  </si>
  <si>
    <t>thermal output required</t>
  </si>
  <si>
    <t>MWh/a</t>
  </si>
  <si>
    <t>GHG emissions</t>
  </si>
  <si>
    <t>tCO2e/a</t>
  </si>
  <si>
    <t>natural gas input required (fuel):</t>
  </si>
  <si>
    <t>natural gas price</t>
  </si>
  <si>
    <t>EUR/MWh</t>
  </si>
  <si>
    <t>(Europeean comission, Q4, 2024)</t>
  </si>
  <si>
    <t>annual fuel cost</t>
  </si>
  <si>
    <t>EUR/a</t>
  </si>
  <si>
    <t xml:space="preserve">Electricity consumtption </t>
  </si>
  <si>
    <t>kwh/MWh</t>
  </si>
  <si>
    <t>estimated lifetime</t>
  </si>
  <si>
    <t>years</t>
  </si>
  <si>
    <t>Operating hours</t>
  </si>
  <si>
    <t>hours</t>
  </si>
  <si>
    <t>CAPEX per MW of small boiler of 1 MW</t>
  </si>
  <si>
    <t>EUR/MW</t>
  </si>
  <si>
    <t>CAPEX per MW of big boiler of 100 MW</t>
  </si>
  <si>
    <t>Estimated scalability effect</t>
  </si>
  <si>
    <t xml:space="preserve">Boiler Capacity </t>
  </si>
  <si>
    <t>Adjusted to boiler efficiency</t>
  </si>
  <si>
    <t>Boiler capacity</t>
  </si>
  <si>
    <t>MW</t>
  </si>
  <si>
    <t>(fraunhofer, 2024)</t>
  </si>
  <si>
    <t>CAPEX of Boiler</t>
  </si>
  <si>
    <t>Spec. CAPEX (including of installation)</t>
  </si>
  <si>
    <t>Capacity</t>
  </si>
  <si>
    <t>(ADEME, 2024)</t>
  </si>
  <si>
    <t>CAPEX</t>
  </si>
  <si>
    <t>EUR</t>
  </si>
  <si>
    <t>Indirect costs</t>
  </si>
  <si>
    <t>Total Capex CH-4 Boiler</t>
  </si>
  <si>
    <t>(Fraunhofer ISE, 2024)</t>
  </si>
  <si>
    <t>OPEX of Boiler</t>
  </si>
  <si>
    <t>OPEX (fix)</t>
  </si>
  <si>
    <t>CO2 price of certificate</t>
  </si>
  <si>
    <t>EUR/t</t>
  </si>
  <si>
    <t>CO2 price</t>
  </si>
  <si>
    <t>Eur/a</t>
  </si>
  <si>
    <t>(EU energy, March 2025)</t>
  </si>
  <si>
    <t>OPEX var. (fuel)</t>
  </si>
  <si>
    <t>Electricity tarif</t>
  </si>
  <si>
    <t>Power demand</t>
  </si>
  <si>
    <t>OPEX var. (electricity)</t>
  </si>
  <si>
    <t>Costs (EUR)</t>
  </si>
  <si>
    <t>sum</t>
  </si>
  <si>
    <t>Capex</t>
  </si>
  <si>
    <t>Opex fix</t>
  </si>
  <si>
    <t>Opex var (fuel + electricity)</t>
  </si>
  <si>
    <t>Total costs</t>
  </si>
  <si>
    <t>Production</t>
  </si>
  <si>
    <t>Energy</t>
  </si>
  <si>
    <t>LCOE of GH4- boiler</t>
  </si>
  <si>
    <t>Electrolyser</t>
  </si>
  <si>
    <t>Hydrogen Boiler</t>
  </si>
  <si>
    <t>Natural gas</t>
  </si>
  <si>
    <t>Hydrogen</t>
  </si>
  <si>
    <t>lifetime</t>
  </si>
  <si>
    <t>a</t>
  </si>
  <si>
    <t>CAPEX per MW of big boiler of 70 MW</t>
  </si>
  <si>
    <t>Thermal output</t>
  </si>
  <si>
    <t>Mass of hydrogen</t>
  </si>
  <si>
    <t>t/a</t>
  </si>
  <si>
    <t>emission factor</t>
  </si>
  <si>
    <t>TCO2e/MWh</t>
  </si>
  <si>
    <t>(IRENA, 2020)</t>
  </si>
  <si>
    <t>Electrolyer Capacity</t>
  </si>
  <si>
    <t>Electricity required per tonnes of H2:</t>
  </si>
  <si>
    <t xml:space="preserve">Elelctrolyzers (PEM or alkaline) </t>
  </si>
  <si>
    <t>Boiler Capacity</t>
  </si>
  <si>
    <t>Total annual electricity demand:</t>
  </si>
  <si>
    <t>(IRENA, 2020, typically consume between 50 to 78 for Alkaline MWh/t of H2, taking 64 as an average)</t>
  </si>
  <si>
    <t xml:space="preserve">Annual load </t>
  </si>
  <si>
    <t>h/a</t>
  </si>
  <si>
    <t>Electrolyzer capacity</t>
  </si>
  <si>
    <t>CAPEX of Electrolyzer</t>
  </si>
  <si>
    <t>Spec. CAPEX</t>
  </si>
  <si>
    <t>Total Capex Electrolyzer</t>
  </si>
  <si>
    <t>Total Capex Boiler</t>
  </si>
  <si>
    <t>OPEX of Electrolyzer</t>
  </si>
  <si>
    <t>(Fraunhofer, 2024)</t>
  </si>
  <si>
    <t xml:space="preserve">OPEX (fix)
</t>
  </si>
  <si>
    <t>(according to UK BEISS 2022, it is negligeable at around 1% of thermal output annually)</t>
  </si>
  <si>
    <t>MWh/t_H2</t>
  </si>
  <si>
    <t xml:space="preserve">Power demand
</t>
  </si>
  <si>
    <t>H2 Production</t>
  </si>
  <si>
    <t>t_H2/a</t>
  </si>
  <si>
    <t>Total Elect. Cost</t>
  </si>
  <si>
    <t>Subsisdies</t>
  </si>
  <si>
    <t>(France 2030, ADEME, 3EUR/kg of Hydrogen produced)</t>
  </si>
  <si>
    <t>Elect Opex var</t>
  </si>
  <si>
    <t>Total costs without fuel</t>
  </si>
  <si>
    <t>Total costs with H2 produced</t>
  </si>
  <si>
    <t>(with H2 purchased from Tunisia at 4.56EUR/Kg)</t>
  </si>
  <si>
    <t>Total OPEX with fuel purchased</t>
  </si>
  <si>
    <t>Total costs with H2 purchased</t>
  </si>
  <si>
    <t>H2 Production in tonnes</t>
  </si>
  <si>
    <t>LCOH</t>
  </si>
  <si>
    <t>LCOE (with H2 produced)</t>
  </si>
  <si>
    <t>EUR/Kg</t>
  </si>
  <si>
    <t>LCOE (with H2 purchased)</t>
  </si>
  <si>
    <t>TCO2e avoided</t>
  </si>
  <si>
    <t>TCO2e</t>
  </si>
  <si>
    <t>Eligibility Criteria for Subsidies:
Projects must be located in France
Hydrogen production via water electrolysis
For renewable hydrogen: electricity must be from renewable sources
For low-carbon hydrogen: emissions ≤ 3.38 kg CO₂e/kg H₂
At least 60% of hydrogen production must be secured through commercial commitments
Financial guarantee: 8% of the maximum aid requested
Compliance with cybersecurity and EU origin requirements​</t>
  </si>
  <si>
    <t>Tons Co2 produce per MWh for natural gaz</t>
  </si>
  <si>
    <t>TCo2/MWh</t>
  </si>
  <si>
    <t>LCOE natural gaz</t>
  </si>
  <si>
    <t xml:space="preserve">EUR/ </t>
  </si>
  <si>
    <t>Cost avoidance if H2 Purchased</t>
  </si>
  <si>
    <t>€/TCo2</t>
  </si>
  <si>
    <t>Cost of avoidance if H2 produced</t>
  </si>
  <si>
    <t>€/TCo3</t>
  </si>
  <si>
    <t>Biomass Boilers for Non-Integrated Paper Mill</t>
  </si>
  <si>
    <t>Biomass Boilers for Integrated Paper Mill</t>
  </si>
  <si>
    <t>wood sludge LHV (high quality)</t>
  </si>
  <si>
    <t>(AEBIOM, 2022)</t>
  </si>
  <si>
    <t>residual fuel LHV (from pulp)</t>
  </si>
  <si>
    <t>(ERPI, 2018)</t>
  </si>
  <si>
    <t>(Fraunhofer ISE, 2023)</t>
  </si>
  <si>
    <t>(CE Delft, Danish Energy Agency, 2020)</t>
  </si>
  <si>
    <t>Fuel Input</t>
  </si>
  <si>
    <t>Mass of Biomass Fuel needed</t>
  </si>
  <si>
    <t>Mass of Fuel needed (high quality)</t>
  </si>
  <si>
    <t>fuel price</t>
  </si>
  <si>
    <t>Mass that can be replaced</t>
  </si>
  <si>
    <t>Equivalence in residual</t>
  </si>
  <si>
    <t>(from mathias)</t>
  </si>
  <si>
    <t>Mass of Residuals Fuel produced</t>
  </si>
  <si>
    <t>Mass of Residual Fuel sold</t>
  </si>
  <si>
    <t>(from questionnaire)</t>
  </si>
  <si>
    <t>Cost of selling biomass to recycling</t>
  </si>
  <si>
    <t>Mass of Wood sludge bought</t>
  </si>
  <si>
    <t>Residual fuel price (high quality)</t>
  </si>
  <si>
    <t>Annual fuel cost</t>
  </si>
  <si>
    <t>(ADEME, 2022)</t>
  </si>
  <si>
    <t>Indirect costs (30%)</t>
  </si>
  <si>
    <t>(50% on incestment cost, BCIAT Program, ADEME, France 2030)</t>
  </si>
  <si>
    <t>Total Capex  Solid Biomass Boiler</t>
  </si>
  <si>
    <t xml:space="preserve">OPEX of Boiler
</t>
  </si>
  <si>
    <t>(Fraunhofer ISE, 2024, according to Fraunhofer, take it as a 4% on CAPEX)</t>
  </si>
  <si>
    <t>LCOE of biomass boiler</t>
  </si>
  <si>
    <t>Cost avoidance</t>
  </si>
  <si>
    <t>Eligibility Criteria for Subsidies:
Projects must have a minimum annual heat production of 12 GWh.​
Eligible sectors include:
Manufacturing sectors as defined by the French national classification (NAF codes).
Acceptable biomass fuels include:
Forest chips and similar materials.
By-products and residues from the primary wood processing industry.
End-of-life wood and wood waste.
Pellets and other industrial or agricultural by-products.​
res-legal.eu
Projects must be part of a comprehensive energy optimization strategy, considering:
Energy sobriety and efficiency measures.
Recovery of waste heat.
Potential integration of other renewable energy sources (e.g., geothermal, solar thermal).​</t>
  </si>
  <si>
    <t>Middle geotermal source</t>
  </si>
  <si>
    <t>High geotermal source</t>
  </si>
  <si>
    <t>Fixed investment (€)</t>
  </si>
  <si>
    <t>Natural gas demand</t>
  </si>
  <si>
    <t>Water flow (kg/s)</t>
  </si>
  <si>
    <t>Efficiency</t>
  </si>
  <si>
    <t>COP</t>
  </si>
  <si>
    <t>Retruned temperature (°C)</t>
  </si>
  <si>
    <t>Electricity needed</t>
  </si>
  <si>
    <t>Time of use</t>
  </si>
  <si>
    <t>Source Temperature (°C)</t>
  </si>
  <si>
    <t>ΔT (°C)</t>
  </si>
  <si>
    <t>Power output (kW)</t>
  </si>
  <si>
    <t>Specific capex (€/kW)</t>
  </si>
  <si>
    <t>Capacity of HEAT PUMP</t>
  </si>
  <si>
    <t xml:space="preserve">MW </t>
  </si>
  <si>
    <t xml:space="preserve">CAPEX  </t>
  </si>
  <si>
    <t>CAPEX with Subsidies</t>
  </si>
  <si>
    <t>Specific CAPEX</t>
  </si>
  <si>
    <t>€/MW</t>
  </si>
  <si>
    <t>CAPEX  HEAT PUMP</t>
  </si>
  <si>
    <t xml:space="preserve">Capacity </t>
  </si>
  <si>
    <t>CAPEX GEO</t>
  </si>
  <si>
    <t>€/KW</t>
  </si>
  <si>
    <t>CAPEX GEO TOTAL</t>
  </si>
  <si>
    <t>€</t>
  </si>
  <si>
    <t>(Fonds Chaleur, up to 65% for social housing, estimated at 30% average for industrial)</t>
  </si>
  <si>
    <t>Thermic capacity of water = 4.18 kJ/kg·K</t>
  </si>
  <si>
    <t>OPEX</t>
  </si>
  <si>
    <t>Fixed Opex</t>
  </si>
  <si>
    <t>€(% of capex)</t>
  </si>
  <si>
    <t xml:space="preserve">Cost of Electricity </t>
  </si>
  <si>
    <t>€/MWh</t>
  </si>
  <si>
    <t xml:space="preserve">Cost of Electricity/a </t>
  </si>
  <si>
    <t>Total cost of use</t>
  </si>
  <si>
    <t>Total CAPEX</t>
  </si>
  <si>
    <t>Total OPEX (lifetime)</t>
  </si>
  <si>
    <t xml:space="preserve">Total cost   </t>
  </si>
  <si>
    <t xml:space="preserve">Lifetime </t>
  </si>
  <si>
    <t>Total MWh lifetime</t>
  </si>
  <si>
    <t>Mwh</t>
  </si>
  <si>
    <t>LCOE</t>
  </si>
  <si>
    <t>emission factor of Heat pump + geo</t>
  </si>
  <si>
    <t>TCO2e emmitted</t>
  </si>
  <si>
    <t>TCO2e/a</t>
  </si>
  <si>
    <t>Eligibility Criteria for Subsidies:
Installation of geothermal systems utilizing heat pumps for heating purposes.
Applicable to collective housing, agriculture, industry, and the tertiary sector (e.g., commercial buildings).
Technical Requirements:
Use of certified equipment and adherence to recognized technical standards.
Engagement of professionals with RGE (Reconnu Garant de l’Environnement) certification for installation and maintenance.
Implementation of monitoring systems post-installation to ensure performance</t>
  </si>
  <si>
    <t>Capacity of boiler</t>
  </si>
  <si>
    <t>https://energy.nl/wp-content/uploads/electric-industrial-boiler-7.pdf</t>
  </si>
  <si>
    <t>We assume a cost per MW of capacity wich varies (linear) between 100 000€ to 400 000€/MW depending the capacity (from 70 to 1MW)</t>
  </si>
  <si>
    <t>number of investment year</t>
  </si>
  <si>
    <t>interest rate</t>
  </si>
  <si>
    <t>Integration factor (grid connection and integration)</t>
  </si>
  <si>
    <t>coefficient</t>
  </si>
  <si>
    <t>Integration cost</t>
  </si>
  <si>
    <t>CAPEX after subsidies</t>
  </si>
  <si>
    <t>Grid Charges</t>
  </si>
  <si>
    <t>Other Charges</t>
  </si>
  <si>
    <t>OPEX per year</t>
  </si>
  <si>
    <t xml:space="preserve">Non green electricity </t>
  </si>
  <si>
    <t>Tons Co2 produce per MWh</t>
  </si>
  <si>
    <t>TCo2/Mwh</t>
  </si>
  <si>
    <t>Total tons of Co2 produce</t>
  </si>
  <si>
    <t>TCo2</t>
  </si>
  <si>
    <t>Eligibility Criteria for Subsidies:
GHG Emission Reduction: Achieve a reduction of at least 1,000 tCO₂eq/year at constant production levels.
Minimum Investment: Total investment must exceed €3 million.
Aid Request Limit: Funding request should be less than €30 million.
Project Location: Must be situated in mainland France or overseas territories.
Project Maturity: Solutions should be ready for industrial deployment.
Decarbonization Roadmap: Applicants must have a clear strategy for decarbonizing their site by 2030 and 2050</t>
  </si>
  <si>
    <t>Thermal Output</t>
  </si>
  <si>
    <t>Subvention</t>
  </si>
  <si>
    <t>resources</t>
  </si>
  <si>
    <t>thermal output needed</t>
  </si>
  <si>
    <t>https://task64.iea-shc.org/Data/Sites/1/publications/IEA-SHC-Task64-SubtaskE-D.E2-D.E3.pdf</t>
  </si>
  <si>
    <t>Yearly in-plane irradiation</t>
  </si>
  <si>
    <t>kWh/m²/year</t>
  </si>
  <si>
    <t>PVGIS https://re.jrc.ec.europa.eu/pvg_tools/en/</t>
  </si>
  <si>
    <t>https://librairie.ademe.fr/ged/9529/guide-tout-comprendre-solaire-thermique.pdf (solar irrandiance)</t>
  </si>
  <si>
    <t>Solar Irradiance</t>
  </si>
  <si>
    <t>kWh/m²/day</t>
  </si>
  <si>
    <t>Slope angle [°]</t>
  </si>
  <si>
    <t>[°]</t>
  </si>
  <si>
    <t>take mid of France as example</t>
  </si>
  <si>
    <t>system efficiency</t>
  </si>
  <si>
    <t>%</t>
  </si>
  <si>
    <t>Annual equivalent full-load hours</t>
  </si>
  <si>
    <t>h/year</t>
  </si>
  <si>
    <t>Adjusted to efficiency</t>
  </si>
  <si>
    <t>Panel Power</t>
  </si>
  <si>
    <t>https://www.firstsolar.com/-/media/First-Solar/Technical-Documents/Series-6-Plus/Series-6-Plus-Bifacial-Datasheet---Global.ashx?la=en-Emea</t>
  </si>
  <si>
    <t>kw</t>
  </si>
  <si>
    <t>Panel Area (size)</t>
  </si>
  <si>
    <t>m²</t>
  </si>
  <si>
    <t>based on the 450w production: 2009mm*1232mm=2.47m^2 (34kg)</t>
  </si>
  <si>
    <t>https://www.firstsolar.com/-/media/First-Solar/Technical-Documents/Series-6-Datasheets/Series-6-Datasheet.ashx?la=en-Emea</t>
  </si>
  <si>
    <t>panels required</t>
  </si>
  <si>
    <t>unit</t>
  </si>
  <si>
    <t>Required Panel Area</t>
  </si>
  <si>
    <t>Land utilization rate (including spacing)</t>
  </si>
  <si>
    <t>m²/kWp</t>
  </si>
  <si>
    <t>Required Land Area</t>
  </si>
  <si>
    <t>Efficiency Factor</t>
  </si>
  <si>
    <t>Energy Output </t>
  </si>
  <si>
    <t>MWh/year</t>
  </si>
  <si>
    <t>land install</t>
  </si>
  <si>
    <t>roof install</t>
  </si>
  <si>
    <t>Photovoltaic system capacity</t>
  </si>
  <si>
    <t>target energy 50,000 MWh/year ÷ (1,500 kWh/m²×0.8)</t>
  </si>
  <si>
    <t>€/W</t>
  </si>
  <si>
    <t xml:space="preserve">land :&gt;10 MW ; roof：&gt;500 kWc -0.8 €/W </t>
  </si>
  <si>
    <t>photovoltaique.info/fr/preparer-un-projet/quel-modele-economique/connaitre-les-couts-et-evaluer-la-rentabilite/couts-dinvestissement/</t>
  </si>
  <si>
    <t>toal CAPEX</t>
  </si>
  <si>
    <t>Grid connection factor</t>
  </si>
  <si>
    <t>https://www.rte-france.com/</t>
  </si>
  <si>
    <t>Grid connection cost</t>
  </si>
  <si>
    <t>Subsidy</t>
  </si>
  <si>
    <t>Lease</t>
  </si>
  <si>
    <t>€/year</t>
  </si>
  <si>
    <t>https://www.laregion.fr/  ADEME</t>
  </si>
  <si>
    <t>Ground including environmental impact assessment</t>
  </si>
  <si>
    <t>year</t>
  </si>
  <si>
    <t>total OPEX</t>
  </si>
  <si>
    <t>system cost:</t>
  </si>
  <si>
    <t>total CAPEX（grid connection included）</t>
  </si>
  <si>
    <t>Total Cost</t>
  </si>
  <si>
    <t>LCOE(no subsidy)</t>
  </si>
  <si>
    <t>€/kWh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</si>
</sst>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 #,##0.00_)_ ;_ * \(#,##0.00\)_ ;_ * &quot;-&quot;??_)_ ;_ @_ "/>
    <numFmt numFmtId="165" formatCode="_ * #,##0.00_)\ _€_ ;_ * \(#,##0.00\)\ _€_ ;_ * &quot;-&quot;??_)\ _€_ ;_ @_ "/>
    <numFmt numFmtId="166" formatCode="_ * #,##0_)_ ;_ * \(#,##0\)_ ;_ * &quot;-&quot;??_)_ ;_ @_ "/>
  </numFmts>
  <fonts count="12" x14ac:knownFonts="1">
    <font>
      <sz val="11"/>
      <color theme="1"/>
      <name val="Aptos Narrow"/>
      <family val="2"/>
      <scheme val="minor"/>
    </font>
    <font>
      <sz val="11"/>
      <color theme="1"/>
      <name val="Aptos Narrow"/>
      <family val="2"/>
      <scheme val="minor"/>
    </font>
    <font>
      <b/>
      <sz val="11"/>
      <color theme="1"/>
      <name val="Aptos Narrow"/>
      <family val="2"/>
      <scheme val="minor"/>
    </font>
    <font>
      <u/>
      <sz val="11"/>
      <color theme="10"/>
      <name val="Aptos Narrow"/>
      <family val="2"/>
      <scheme val="minor"/>
    </font>
    <font>
      <sz val="11"/>
      <color rgb="FF000000"/>
      <name val="Aptos Narrow"/>
      <family val="2"/>
      <scheme val="minor"/>
    </font>
    <font>
      <i/>
      <sz val="11"/>
      <color theme="1"/>
      <name val="Aptos Narrow"/>
      <family val="2"/>
      <scheme val="minor"/>
    </font>
    <font>
      <sz val="11"/>
      <color rgb="FF467886"/>
      <name val="Aptos Narrow"/>
      <family val="2"/>
      <scheme val="minor"/>
    </font>
    <font>
      <b/>
      <sz val="11"/>
      <name val="Aptos Narrow"/>
      <family val="2"/>
      <scheme val="minor"/>
    </font>
    <font>
      <b/>
      <sz val="12"/>
      <color theme="1"/>
      <name val="Aptos Narrow"/>
      <family val="2"/>
      <scheme val="minor"/>
    </font>
    <font>
      <b/>
      <sz val="11"/>
      <color rgb="FF000000"/>
      <name val="Aptos Narrow"/>
      <family val="2"/>
      <scheme val="minor"/>
    </font>
    <font>
      <sz val="11"/>
      <name val="Aptos Narrow"/>
      <family val="2"/>
      <scheme val="minor"/>
    </font>
    <font>
      <sz val="12"/>
      <color theme="1"/>
      <name val="Aptos Narrow"/>
      <family val="2"/>
      <scheme val="minor"/>
    </font>
  </fonts>
  <fills count="24">
    <fill>
      <patternFill patternType="none"/>
    </fill>
    <fill>
      <patternFill patternType="gray125"/>
    </fill>
    <fill>
      <patternFill patternType="solid">
        <fgColor theme="9" tint="0.39997558519241921"/>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rgb="FFFFFF66"/>
        <bgColor indexed="64"/>
      </patternFill>
    </fill>
    <fill>
      <patternFill patternType="solid">
        <fgColor rgb="FFFFFFCC"/>
        <bgColor indexed="64"/>
      </patternFill>
    </fill>
    <fill>
      <patternFill patternType="solid">
        <fgColor rgb="FFFFFF99"/>
        <bgColor indexed="64"/>
      </patternFill>
    </fill>
    <fill>
      <patternFill patternType="solid">
        <fgColor rgb="FFFF7979"/>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0" tint="-0.249977111117893"/>
        <bgColor indexed="64"/>
      </patternFill>
    </fill>
    <fill>
      <patternFill patternType="solid">
        <fgColor theme="3" tint="0.499984740745262"/>
        <bgColor indexed="64"/>
      </patternFill>
    </fill>
    <fill>
      <patternFill patternType="solid">
        <fgColor theme="3" tint="0.749992370372631"/>
        <bgColor indexed="64"/>
      </patternFill>
    </fill>
    <fill>
      <patternFill patternType="solid">
        <fgColor rgb="FFD1B2E8"/>
        <bgColor indexed="64"/>
      </patternFill>
    </fill>
    <fill>
      <patternFill patternType="solid">
        <fgColor rgb="FFAC74D6"/>
        <bgColor indexed="64"/>
      </patternFill>
    </fill>
    <fill>
      <patternFill patternType="solid">
        <fgColor theme="3" tint="0.89999084444715716"/>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s>
  <cellStyleXfs count="3">
    <xf numFmtId="0" fontId="0" fillId="0" borderId="0"/>
    <xf numFmtId="0" fontId="3" fillId="0" borderId="0"/>
    <xf numFmtId="43" fontId="1" fillId="0" borderId="0"/>
  </cellStyleXfs>
  <cellXfs count="152">
    <xf numFmtId="0" fontId="0" fillId="0" borderId="0" xfId="0"/>
    <xf numFmtId="9" fontId="0" fillId="0" borderId="0" xfId="0" applyNumberFormat="1"/>
    <xf numFmtId="0" fontId="3" fillId="0" borderId="0" xfId="1"/>
    <xf numFmtId="0" fontId="0" fillId="0" borderId="0" xfId="0" applyAlignment="1">
      <alignment horizontal="left"/>
    </xf>
    <xf numFmtId="0" fontId="0" fillId="0" borderId="0" xfId="0" applyAlignment="1">
      <alignment wrapText="1"/>
    </xf>
    <xf numFmtId="0" fontId="0" fillId="0" borderId="0" xfId="0" applyAlignment="1">
      <alignment horizontal="left" vertical="center" indent="1"/>
    </xf>
    <xf numFmtId="0" fontId="2" fillId="0" borderId="0" xfId="0" applyFont="1" applyAlignment="1">
      <alignment horizontal="left" vertical="center" indent="1"/>
    </xf>
    <xf numFmtId="0" fontId="5" fillId="0" borderId="0" xfId="0" applyFont="1" applyAlignment="1">
      <alignment horizontal="left" vertical="center" indent="1"/>
    </xf>
    <xf numFmtId="0" fontId="2" fillId="0" borderId="1" xfId="0" applyFont="1" applyBorder="1"/>
    <xf numFmtId="0" fontId="2" fillId="0" borderId="0" xfId="0" applyFont="1"/>
    <xf numFmtId="0" fontId="0" fillId="0" borderId="2" xfId="0" applyBorder="1"/>
    <xf numFmtId="9" fontId="0" fillId="0" borderId="2" xfId="0" applyNumberFormat="1" applyBorder="1"/>
    <xf numFmtId="0" fontId="0" fillId="0" borderId="2" xfId="0" applyBorder="1" applyAlignment="1">
      <alignment wrapText="1"/>
    </xf>
    <xf numFmtId="0" fontId="0" fillId="0" borderId="4" xfId="0" applyBorder="1"/>
    <xf numFmtId="0" fontId="0" fillId="0" borderId="0" xfId="0" applyAlignment="1">
      <alignment vertical="top"/>
    </xf>
    <xf numFmtId="0" fontId="3" fillId="0" borderId="0" xfId="1" applyAlignment="1">
      <alignment wrapText="1"/>
    </xf>
    <xf numFmtId="0" fontId="6" fillId="0" borderId="0" xfId="1" applyFont="1" applyAlignment="1">
      <alignment wrapText="1"/>
    </xf>
    <xf numFmtId="3" fontId="0" fillId="0" borderId="2" xfId="0" applyNumberFormat="1" applyBorder="1"/>
    <xf numFmtId="0" fontId="0" fillId="0" borderId="2" xfId="0" applyBorder="1" applyAlignment="1">
      <alignment horizontal="left"/>
    </xf>
    <xf numFmtId="3" fontId="0" fillId="0" borderId="1" xfId="0" applyNumberFormat="1" applyBorder="1"/>
    <xf numFmtId="2" fontId="0" fillId="0" borderId="0" xfId="0" applyNumberFormat="1"/>
    <xf numFmtId="164" fontId="0" fillId="0" borderId="0" xfId="2" applyNumberFormat="1" applyFont="1"/>
    <xf numFmtId="165" fontId="0" fillId="0" borderId="0" xfId="0" applyNumberFormat="1"/>
    <xf numFmtId="0" fontId="4" fillId="0" borderId="2" xfId="0" applyFont="1" applyBorder="1"/>
    <xf numFmtId="0" fontId="4" fillId="0" borderId="4" xfId="0" applyFont="1" applyBorder="1"/>
    <xf numFmtId="0" fontId="0" fillId="2" borderId="1" xfId="0" applyFill="1" applyBorder="1"/>
    <xf numFmtId="0" fontId="0" fillId="3" borderId="1" xfId="0" applyFill="1" applyBorder="1"/>
    <xf numFmtId="0" fontId="2" fillId="2" borderId="1" xfId="0" applyFont="1" applyFill="1" applyBorder="1"/>
    <xf numFmtId="0" fontId="0" fillId="3" borderId="1" xfId="0" applyFill="1" applyBorder="1" applyAlignment="1">
      <alignment wrapText="1"/>
    </xf>
    <xf numFmtId="0" fontId="2" fillId="4" borderId="1" xfId="0" applyFont="1" applyFill="1" applyBorder="1"/>
    <xf numFmtId="0" fontId="0" fillId="4" borderId="1" xfId="0" applyFill="1" applyBorder="1"/>
    <xf numFmtId="0" fontId="0" fillId="5" borderId="1" xfId="0" applyFill="1" applyBorder="1" applyAlignment="1">
      <alignment vertical="top" wrapText="1"/>
    </xf>
    <xf numFmtId="0" fontId="0" fillId="5" borderId="1" xfId="0" applyFill="1" applyBorder="1"/>
    <xf numFmtId="0" fontId="0" fillId="5" borderId="1" xfId="0" applyFill="1" applyBorder="1" applyAlignment="1">
      <alignment wrapText="1"/>
    </xf>
    <xf numFmtId="0" fontId="2" fillId="5" borderId="1" xfId="0" applyFont="1" applyFill="1" applyBorder="1" applyAlignment="1">
      <alignment vertical="top" wrapText="1"/>
    </xf>
    <xf numFmtId="0" fontId="2" fillId="5" borderId="1" xfId="0" applyFont="1" applyFill="1" applyBorder="1"/>
    <xf numFmtId="0" fontId="2" fillId="3" borderId="1" xfId="0" applyFont="1" applyFill="1" applyBorder="1"/>
    <xf numFmtId="0" fontId="0" fillId="5" borderId="1" xfId="0" applyFill="1" applyBorder="1" applyAlignment="1">
      <alignment vertical="top"/>
    </xf>
    <xf numFmtId="0" fontId="2" fillId="5" borderId="1" xfId="0" applyFont="1" applyFill="1" applyBorder="1" applyAlignment="1">
      <alignment vertical="top"/>
    </xf>
    <xf numFmtId="0" fontId="2" fillId="7" borderId="1" xfId="0" applyFont="1" applyFill="1" applyBorder="1"/>
    <xf numFmtId="0" fontId="0" fillId="7" borderId="1" xfId="0" applyFill="1" applyBorder="1"/>
    <xf numFmtId="0" fontId="0" fillId="8" borderId="1" xfId="0" applyFill="1" applyBorder="1"/>
    <xf numFmtId="0" fontId="0" fillId="8" borderId="1" xfId="0" applyFill="1" applyBorder="1" applyAlignment="1">
      <alignment vertical="top" wrapText="1"/>
    </xf>
    <xf numFmtId="0" fontId="2" fillId="8" borderId="1" xfId="0" applyFont="1" applyFill="1" applyBorder="1"/>
    <xf numFmtId="0" fontId="2" fillId="6" borderId="1" xfId="0" applyFont="1" applyFill="1" applyBorder="1"/>
    <xf numFmtId="9" fontId="2" fillId="6" borderId="1" xfId="0" applyNumberFormat="1" applyFont="1" applyFill="1" applyBorder="1"/>
    <xf numFmtId="3" fontId="2" fillId="6" borderId="1" xfId="0" applyNumberFormat="1" applyFont="1" applyFill="1" applyBorder="1"/>
    <xf numFmtId="0" fontId="0" fillId="9" borderId="1" xfId="0" applyFill="1" applyBorder="1"/>
    <xf numFmtId="0" fontId="0" fillId="10" borderId="1" xfId="0" applyFill="1" applyBorder="1"/>
    <xf numFmtId="0" fontId="2" fillId="9" borderId="1" xfId="0" applyFont="1" applyFill="1" applyBorder="1"/>
    <xf numFmtId="0" fontId="2" fillId="11" borderId="1" xfId="0" applyFont="1" applyFill="1" applyBorder="1"/>
    <xf numFmtId="0" fontId="0" fillId="12" borderId="1" xfId="0" applyFill="1" applyBorder="1"/>
    <xf numFmtId="0" fontId="0" fillId="13" borderId="1" xfId="0" applyFill="1" applyBorder="1"/>
    <xf numFmtId="0" fontId="2" fillId="14" borderId="1" xfId="0" applyFont="1" applyFill="1" applyBorder="1"/>
    <xf numFmtId="0" fontId="2" fillId="14" borderId="1" xfId="0" applyFont="1" applyFill="1" applyBorder="1" applyAlignment="1">
      <alignment wrapText="1"/>
    </xf>
    <xf numFmtId="0" fontId="0" fillId="2" borderId="2" xfId="0" applyFill="1" applyBorder="1"/>
    <xf numFmtId="0" fontId="0" fillId="3" borderId="2" xfId="0" applyFill="1" applyBorder="1"/>
    <xf numFmtId="2" fontId="0" fillId="3" borderId="2" xfId="0" applyNumberFormat="1" applyFill="1" applyBorder="1"/>
    <xf numFmtId="0" fontId="0" fillId="3" borderId="2" xfId="0" applyFill="1" applyBorder="1" applyAlignment="1">
      <alignment wrapText="1"/>
    </xf>
    <xf numFmtId="0" fontId="0" fillId="9" borderId="2" xfId="0" applyFill="1" applyBorder="1"/>
    <xf numFmtId="0" fontId="0" fillId="9" borderId="3" xfId="0" applyFill="1" applyBorder="1"/>
    <xf numFmtId="0" fontId="0" fillId="9" borderId="4" xfId="0" applyFill="1" applyBorder="1"/>
    <xf numFmtId="0" fontId="0" fillId="10" borderId="2" xfId="0" applyFill="1" applyBorder="1"/>
    <xf numFmtId="0" fontId="0" fillId="10" borderId="3" xfId="0" applyFill="1" applyBorder="1"/>
    <xf numFmtId="0" fontId="0" fillId="15" borderId="2" xfId="0" applyFill="1" applyBorder="1"/>
    <xf numFmtId="0" fontId="0" fillId="15" borderId="3" xfId="0" applyFill="1" applyBorder="1"/>
    <xf numFmtId="0" fontId="0" fillId="13" borderId="2" xfId="0" applyFill="1" applyBorder="1"/>
    <xf numFmtId="0" fontId="9" fillId="0" borderId="0" xfId="0" applyFont="1" applyAlignment="1">
      <alignment wrapText="1"/>
    </xf>
    <xf numFmtId="164" fontId="0" fillId="9" borderId="0" xfId="2" applyNumberFormat="1" applyFont="1" applyFill="1"/>
    <xf numFmtId="0" fontId="0" fillId="16" borderId="2" xfId="0" applyFill="1" applyBorder="1"/>
    <xf numFmtId="164" fontId="0" fillId="16" borderId="0" xfId="2" applyNumberFormat="1" applyFont="1" applyFill="1"/>
    <xf numFmtId="0" fontId="0" fillId="17" borderId="2" xfId="0" applyFill="1" applyBorder="1"/>
    <xf numFmtId="164" fontId="0" fillId="17" borderId="0" xfId="2" applyNumberFormat="1" applyFont="1" applyFill="1"/>
    <xf numFmtId="166" fontId="0" fillId="9" borderId="0" xfId="2" applyNumberFormat="1" applyFont="1" applyFill="1"/>
    <xf numFmtId="0" fontId="0" fillId="9" borderId="0" xfId="0" applyFill="1"/>
    <xf numFmtId="0" fontId="0" fillId="18" borderId="2" xfId="0" applyFill="1" applyBorder="1"/>
    <xf numFmtId="164" fontId="0" fillId="18" borderId="0" xfId="2" applyNumberFormat="1" applyFont="1" applyFill="1"/>
    <xf numFmtId="0" fontId="0" fillId="4" borderId="2" xfId="0" applyFill="1" applyBorder="1"/>
    <xf numFmtId="0" fontId="0" fillId="5" borderId="2" xfId="0" applyFill="1" applyBorder="1"/>
    <xf numFmtId="0" fontId="2" fillId="8" borderId="4" xfId="0" applyFont="1" applyFill="1" applyBorder="1"/>
    <xf numFmtId="0" fontId="0" fillId="0" borderId="0" xfId="0" applyAlignment="1">
      <alignment horizontal="right" vertical="top"/>
    </xf>
    <xf numFmtId="164" fontId="2" fillId="6" borderId="1" xfId="2" applyNumberFormat="1" applyFont="1" applyFill="1" applyBorder="1"/>
    <xf numFmtId="164" fontId="2" fillId="2" borderId="1" xfId="2" applyNumberFormat="1" applyFont="1" applyFill="1" applyBorder="1"/>
    <xf numFmtId="164" fontId="0" fillId="3" borderId="1" xfId="2" applyNumberFormat="1" applyFont="1" applyFill="1" applyBorder="1"/>
    <xf numFmtId="164" fontId="2" fillId="4" borderId="1" xfId="2" applyNumberFormat="1" applyFont="1" applyFill="1" applyBorder="1"/>
    <xf numFmtId="164" fontId="0" fillId="5" borderId="1" xfId="2" applyNumberFormat="1" applyFont="1" applyFill="1" applyBorder="1"/>
    <xf numFmtId="164" fontId="0" fillId="10" borderId="1" xfId="2" applyNumberFormat="1" applyFont="1" applyFill="1" applyBorder="1"/>
    <xf numFmtId="166" fontId="0" fillId="10" borderId="1" xfId="2" applyNumberFormat="1" applyFont="1" applyFill="1" applyBorder="1"/>
    <xf numFmtId="0" fontId="2" fillId="9" borderId="4" xfId="0" applyFont="1" applyFill="1" applyBorder="1"/>
    <xf numFmtId="164" fontId="2" fillId="8" borderId="1" xfId="2" applyNumberFormat="1" applyFont="1" applyFill="1" applyBorder="1"/>
    <xf numFmtId="0" fontId="2" fillId="6" borderId="2" xfId="0" applyFont="1" applyFill="1" applyBorder="1"/>
    <xf numFmtId="3" fontId="2" fillId="6" borderId="2" xfId="0" applyNumberFormat="1" applyFont="1" applyFill="1" applyBorder="1"/>
    <xf numFmtId="9" fontId="2" fillId="6" borderId="2" xfId="0" applyNumberFormat="1" applyFont="1" applyFill="1" applyBorder="1"/>
    <xf numFmtId="0" fontId="2" fillId="9" borderId="5" xfId="0" applyFont="1" applyFill="1" applyBorder="1"/>
    <xf numFmtId="0" fontId="0" fillId="10" borderId="5" xfId="0" applyFill="1" applyBorder="1"/>
    <xf numFmtId="0" fontId="0" fillId="12" borderId="5" xfId="0" applyFill="1" applyBorder="1"/>
    <xf numFmtId="0" fontId="2" fillId="4" borderId="1" xfId="0" applyFont="1" applyFill="1" applyBorder="1" applyAlignment="1">
      <alignment vertical="top" wrapText="1"/>
    </xf>
    <xf numFmtId="0" fontId="0" fillId="4" borderId="1" xfId="0" applyFill="1" applyBorder="1" applyAlignment="1">
      <alignment vertical="top"/>
    </xf>
    <xf numFmtId="0" fontId="2" fillId="4" borderId="1" xfId="0" applyFont="1" applyFill="1" applyBorder="1" applyAlignment="1">
      <alignment vertical="top"/>
    </xf>
    <xf numFmtId="0" fontId="0" fillId="13" borderId="3" xfId="0" applyFill="1" applyBorder="1"/>
    <xf numFmtId="0" fontId="0" fillId="15" borderId="1" xfId="0" applyFill="1" applyBorder="1"/>
    <xf numFmtId="0" fontId="2" fillId="0" borderId="6" xfId="0" applyFont="1" applyBorder="1"/>
    <xf numFmtId="0" fontId="0" fillId="0" borderId="6" xfId="0" applyBorder="1"/>
    <xf numFmtId="0" fontId="0" fillId="10" borderId="7" xfId="0" applyFill="1" applyBorder="1"/>
    <xf numFmtId="0" fontId="2" fillId="11" borderId="8" xfId="0" applyFont="1" applyFill="1" applyBorder="1"/>
    <xf numFmtId="0" fontId="0" fillId="0" borderId="9" xfId="0" applyBorder="1"/>
    <xf numFmtId="0" fontId="0" fillId="20" borderId="4" xfId="0" applyFill="1" applyBorder="1"/>
    <xf numFmtId="0" fontId="0" fillId="20" borderId="2" xfId="0" applyFill="1" applyBorder="1" applyAlignment="1">
      <alignment wrapText="1"/>
    </xf>
    <xf numFmtId="0" fontId="0" fillId="20" borderId="2" xfId="0" applyFill="1" applyBorder="1"/>
    <xf numFmtId="0" fontId="2" fillId="19" borderId="2" xfId="0" applyFont="1" applyFill="1" applyBorder="1"/>
    <xf numFmtId="3" fontId="2" fillId="0" borderId="1" xfId="0" applyNumberFormat="1" applyFont="1" applyBorder="1"/>
    <xf numFmtId="0" fontId="0" fillId="20" borderId="10" xfId="0" applyFill="1" applyBorder="1"/>
    <xf numFmtId="0" fontId="0" fillId="20" borderId="1" xfId="0" applyFill="1" applyBorder="1"/>
    <xf numFmtId="0" fontId="0" fillId="20" borderId="1" xfId="0" applyFill="1" applyBorder="1" applyAlignment="1">
      <alignment wrapText="1"/>
    </xf>
    <xf numFmtId="43" fontId="0" fillId="20" borderId="1" xfId="0" applyNumberFormat="1" applyFill="1" applyBorder="1"/>
    <xf numFmtId="43" fontId="2" fillId="19" borderId="2" xfId="0" applyNumberFormat="1" applyFont="1" applyFill="1" applyBorder="1"/>
    <xf numFmtId="0" fontId="0" fillId="21" borderId="1" xfId="0" applyFill="1" applyBorder="1"/>
    <xf numFmtId="0" fontId="10" fillId="21" borderId="1" xfId="0" applyFont="1" applyFill="1" applyBorder="1"/>
    <xf numFmtId="0" fontId="0" fillId="22" borderId="1" xfId="0" applyFill="1" applyBorder="1"/>
    <xf numFmtId="0" fontId="2" fillId="22" borderId="1" xfId="0" applyFont="1" applyFill="1" applyBorder="1"/>
    <xf numFmtId="0" fontId="7" fillId="21" borderId="1" xfId="0" applyFont="1" applyFill="1" applyBorder="1"/>
    <xf numFmtId="0" fontId="2" fillId="21" borderId="1" xfId="0" applyFont="1" applyFill="1" applyBorder="1"/>
    <xf numFmtId="0" fontId="2" fillId="10" borderId="1" xfId="0" applyFont="1" applyFill="1" applyBorder="1"/>
    <xf numFmtId="0" fontId="2" fillId="10" borderId="5" xfId="0" applyFont="1" applyFill="1" applyBorder="1"/>
    <xf numFmtId="0" fontId="2" fillId="10" borderId="7" xfId="0" applyFont="1" applyFill="1" applyBorder="1"/>
    <xf numFmtId="0" fontId="0" fillId="3" borderId="4" xfId="0" applyFill="1" applyBorder="1"/>
    <xf numFmtId="2" fontId="0" fillId="3" borderId="1" xfId="0" applyNumberFormat="1" applyFill="1" applyBorder="1"/>
    <xf numFmtId="2" fontId="0" fillId="10" borderId="1" xfId="0" applyNumberFormat="1" applyFill="1" applyBorder="1"/>
    <xf numFmtId="0" fontId="0" fillId="23" borderId="2" xfId="0" applyFill="1" applyBorder="1"/>
    <xf numFmtId="0" fontId="0" fillId="23" borderId="4" xfId="0" applyFill="1" applyBorder="1"/>
    <xf numFmtId="0" fontId="0" fillId="23" borderId="2" xfId="0" applyFill="1" applyBorder="1" applyAlignment="1">
      <alignment wrapText="1"/>
    </xf>
    <xf numFmtId="0" fontId="7" fillId="0" borderId="11" xfId="0" applyFont="1" applyBorder="1" applyAlignment="1">
      <alignment horizontal="left" vertical="center" indent="1"/>
    </xf>
    <xf numFmtId="0" fontId="0" fillId="0" borderId="7" xfId="0" applyBorder="1"/>
    <xf numFmtId="0" fontId="7" fillId="0" borderId="11" xfId="0" applyFont="1" applyBorder="1"/>
    <xf numFmtId="0" fontId="2" fillId="6" borderId="13" xfId="0" applyFont="1" applyFill="1" applyBorder="1"/>
    <xf numFmtId="0" fontId="0" fillId="0" borderId="5" xfId="0" applyBorder="1"/>
    <xf numFmtId="0" fontId="2" fillId="6" borderId="14" xfId="0" applyFont="1" applyFill="1" applyBorder="1"/>
    <xf numFmtId="3" fontId="0" fillId="0" borderId="11" xfId="0" applyNumberFormat="1" applyBorder="1"/>
    <xf numFmtId="0" fontId="0" fillId="0" borderId="0" xfId="0" applyAlignment="1">
      <alignment horizontal="left" vertical="top"/>
    </xf>
    <xf numFmtId="0" fontId="7" fillId="6" borderId="15" xfId="0" applyFont="1" applyFill="1" applyBorder="1"/>
    <xf numFmtId="0" fontId="7" fillId="6" borderId="12" xfId="0" applyFont="1" applyFill="1" applyBorder="1"/>
    <xf numFmtId="0" fontId="7" fillId="6" borderId="8" xfId="0" applyFont="1" applyFill="1" applyBorder="1"/>
    <xf numFmtId="0" fontId="2" fillId="6" borderId="0" xfId="0" applyFont="1" applyFill="1"/>
    <xf numFmtId="43" fontId="0" fillId="5" borderId="1" xfId="0" applyNumberFormat="1" applyFill="1" applyBorder="1"/>
    <xf numFmtId="0" fontId="2" fillId="6" borderId="15" xfId="0" applyFont="1" applyFill="1" applyBorder="1"/>
    <xf numFmtId="0" fontId="2" fillId="6" borderId="8" xfId="0" applyFont="1" applyFill="1" applyBorder="1"/>
    <xf numFmtId="0" fontId="8" fillId="6" borderId="1" xfId="0" applyFont="1" applyFill="1" applyBorder="1" applyAlignment="1">
      <alignment horizontal="center"/>
    </xf>
    <xf numFmtId="0" fontId="0" fillId="0" borderId="9" xfId="0" applyBorder="1"/>
    <xf numFmtId="0" fontId="0" fillId="0" borderId="13" xfId="0" applyBorder="1"/>
    <xf numFmtId="0" fontId="11" fillId="12" borderId="0" xfId="0" applyFont="1" applyFill="1" applyAlignment="1">
      <alignment horizontal="left" vertical="top" wrapText="1"/>
    </xf>
    <xf numFmtId="0" fontId="0" fillId="0" borderId="0" xfId="0"/>
    <xf numFmtId="0" fontId="8" fillId="6" borderId="1" xfId="0" applyFont="1" applyFill="1" applyBorder="1" applyAlignment="1">
      <alignment horizontal="center" vertical="top"/>
    </xf>
  </cellXfs>
  <cellStyles count="3">
    <cellStyle name="Comma" xfId="2" builtinId="3"/>
    <cellStyle name="Hyperlink" xfId="1" builtinId="8"/>
    <cellStyle name="Normal" xfId="0" builtinId="0"/>
  </cellStyles>
  <dxfs count="20">
    <dxf>
      <border>
        <left style="thin">
          <color indexed="64"/>
        </left>
        <right/>
        <top style="thin">
          <color indexed="64"/>
        </top>
        <bottom style="thin">
          <color indexed="64"/>
        </bottom>
        <vertical/>
        <horizontal/>
      </border>
    </dxf>
    <dxf>
      <font>
        <b/>
        <strike val="0"/>
        <condense val="0"/>
        <extend val="0"/>
        <outline val="0"/>
        <shadow val="0"/>
        <vertAlign val="baseline"/>
        <sz val="11"/>
        <color theme="1"/>
        <name val="Aptos Narrow"/>
        <family val="2"/>
        <scheme val="minor"/>
      </font>
      <fill>
        <patternFill patternType="solid">
          <fgColor indexed="64"/>
          <bgColor theme="2"/>
        </patternFill>
      </fill>
      <border>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strike val="0"/>
        <condense val="0"/>
        <extend val="0"/>
        <outline val="0"/>
        <shadow val="0"/>
        <vertAlign val="baseline"/>
        <sz val="11"/>
        <color theme="1"/>
        <name val="Aptos Narrow"/>
        <family val="2"/>
        <scheme val="minor"/>
      </font>
      <fill>
        <patternFill patternType="solid">
          <fgColor indexed="64"/>
          <bgColor theme="2"/>
        </patternFill>
      </fill>
      <border outline="0">
        <left style="thin">
          <color indexed="64"/>
        </left>
        <right style="thin">
          <color indexed="64"/>
        </right>
        <top/>
        <bottom/>
      </border>
    </dxf>
    <dxf>
      <border>
        <left style="thin">
          <color indexed="64"/>
        </left>
        <right/>
        <top style="thin">
          <color indexed="64"/>
        </top>
        <bottom style="thin">
          <color indexed="64"/>
        </bottom>
        <vertical/>
        <horizontal/>
      </border>
    </dxf>
    <dxf>
      <numFmt numFmtId="3" formatCode="#,##0"/>
      <border>
        <left style="thin">
          <color indexed="64"/>
        </left>
        <right style="thin">
          <color indexed="64"/>
        </right>
        <top style="thin">
          <color indexed="64"/>
        </top>
        <bottom style="thin">
          <color indexed="64"/>
        </bottom>
        <vertical/>
        <horizontal/>
      </border>
    </dxf>
    <dxf>
      <numFmt numFmtId="3" formatCode="#,##0"/>
      <border>
        <left style="thin">
          <color indexed="64"/>
        </left>
        <right style="thin">
          <color indexed="64"/>
        </right>
        <top style="thin">
          <color indexed="64"/>
        </top>
        <bottom style="thin">
          <color indexed="64"/>
        </bottom>
        <vertical/>
        <horizontal/>
      </border>
    </dxf>
    <dxf>
      <numFmt numFmtId="3" formatCode="#,##0"/>
      <border>
        <left style="thin">
          <color indexed="64"/>
        </left>
        <right style="thin">
          <color indexed="64"/>
        </right>
        <top style="thin">
          <color indexed="64"/>
        </top>
        <bottom style="thin">
          <color indexed="64"/>
        </bottom>
        <vertical/>
        <horizontal/>
      </border>
    </dxf>
    <dxf>
      <numFmt numFmtId="3" formatCode="#,##0"/>
      <border>
        <left style="thin">
          <color indexed="64"/>
        </left>
        <right style="thin">
          <color indexed="64"/>
        </right>
        <top style="thin">
          <color indexed="64"/>
        </top>
        <bottom style="thin">
          <color indexed="64"/>
        </bottom>
        <vertical/>
        <horizontal/>
      </border>
    </dxf>
    <dxf>
      <numFmt numFmtId="3" formatCode="#,##0"/>
      <border>
        <left style="thin">
          <color indexed="64"/>
        </left>
        <right style="thin">
          <color indexed="64"/>
        </right>
        <top style="thin">
          <color indexed="64"/>
        </top>
        <bottom style="thin">
          <color indexed="64"/>
        </bottom>
        <vertical/>
        <horizontal/>
      </border>
    </dxf>
    <dxf>
      <font>
        <b/>
        <strike val="0"/>
        <condense val="0"/>
        <extend val="0"/>
        <outline val="0"/>
        <shadow val="0"/>
        <vertAlign val="baseline"/>
        <sz val="11"/>
        <color theme="1"/>
        <name val="Aptos Narrow"/>
        <family val="2"/>
        <scheme val="minor"/>
      </font>
      <fill>
        <patternFill patternType="solid">
          <fgColor indexed="64"/>
          <bgColor theme="2"/>
        </patternFill>
      </fill>
      <border>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strike val="0"/>
        <condense val="0"/>
        <extend val="0"/>
        <outline val="0"/>
        <shadow val="0"/>
        <vertAlign val="baseline"/>
        <sz val="11"/>
        <color auto="1"/>
        <name val="Aptos Narrow"/>
        <family val="2"/>
        <scheme val="minor"/>
      </font>
      <fill>
        <patternFill patternType="solid">
          <fgColor indexed="64"/>
          <bgColor theme="2"/>
        </patternFill>
      </fill>
      <border outline="0">
        <left style="thin">
          <color indexed="64"/>
        </left>
        <right style="thin">
          <color indexed="64"/>
        </right>
        <top/>
        <bottom/>
      </border>
    </dxf>
    <dxf>
      <font>
        <strike val="0"/>
        <condense val="0"/>
        <extend val="0"/>
        <outline val="0"/>
        <shadow val="0"/>
        <vertAlign val="baseline"/>
        <sz val="11"/>
        <color auto="1"/>
        <name val="Aptos Narrow"/>
        <family val="2"/>
        <scheme val="minor"/>
      </font>
      <fill>
        <patternFill patternType="solid">
          <fgColor indexed="64"/>
          <bgColor theme="2"/>
        </patternFill>
      </fill>
      <border>
        <left style="thin">
          <color indexed="64"/>
        </left>
        <right style="thin">
          <color indexed="64"/>
        </right>
        <top style="thin">
          <color indexed="64"/>
        </top>
        <bottom style="thin">
          <color indexed="64"/>
        </bottom>
        <vertical/>
        <horizontal/>
      </border>
    </dxf>
    <dxf>
      <font>
        <strike val="0"/>
        <condense val="0"/>
        <extend val="0"/>
        <outline val="0"/>
        <shadow val="0"/>
        <vertAlign val="baseline"/>
        <sz val="11"/>
        <color auto="1"/>
        <name val="Aptos Narrow"/>
        <family val="2"/>
        <scheme val="minor"/>
      </font>
      <fill>
        <patternFill patternType="solid">
          <fgColor indexed="64"/>
          <bgColor theme="2"/>
        </patternFill>
      </fill>
      <alignment horizontal="left" vertical="center" indent="1"/>
      <border>
        <left style="thin">
          <color indexed="64"/>
        </left>
        <right style="thin">
          <color indexed="64"/>
        </right>
        <top style="thin">
          <color indexed="64"/>
        </top>
        <bottom style="thin">
          <color indexed="64"/>
        </bottom>
        <vertical/>
        <horizontal/>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1096434</xdr:colOff>
      <xdr:row>39</xdr:row>
      <xdr:rowOff>112183</xdr:rowOff>
    </xdr:from>
    <xdr:to>
      <xdr:col>19</xdr:col>
      <xdr:colOff>555300</xdr:colOff>
      <xdr:row>60</xdr:row>
      <xdr:rowOff>89490</xdr:rowOff>
    </xdr:to>
    <xdr:pic>
      <xdr:nvPicPr>
        <xdr:cNvPr id="4" name="Image 2">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12219517" y="6980766"/>
          <a:ext cx="8549950" cy="3755557"/>
        </a:xfrm>
        <a:prstGeom prst="rect">
          <a:avLst/>
        </a:prstGeom>
        <a:ln>
          <a:prstDash val="solid"/>
        </a:ln>
      </xdr:spPr>
    </xdr:pic>
    <xdr:clientData/>
  </xdr:twoCellAnchor>
  <xdr:twoCellAnchor editAs="oneCell">
    <xdr:from>
      <xdr:col>13</xdr:col>
      <xdr:colOff>1162051</xdr:colOff>
      <xdr:row>60</xdr:row>
      <xdr:rowOff>46567</xdr:rowOff>
    </xdr:from>
    <xdr:to>
      <xdr:col>18</xdr:col>
      <xdr:colOff>459317</xdr:colOff>
      <xdr:row>85</xdr:row>
      <xdr:rowOff>20295</xdr:rowOff>
    </xdr:to>
    <xdr:pic>
      <xdr:nvPicPr>
        <xdr:cNvPr id="7" name="Image 3">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a:stretch>
          <a:fillRect/>
        </a:stretch>
      </xdr:blipFill>
      <xdr:spPr>
        <a:xfrm>
          <a:off x="12285134" y="10883900"/>
          <a:ext cx="7774516" cy="4471644"/>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787400</xdr:colOff>
      <xdr:row>19</xdr:row>
      <xdr:rowOff>165100</xdr:rowOff>
    </xdr:from>
    <xdr:to>
      <xdr:col>18</xdr:col>
      <xdr:colOff>457200</xdr:colOff>
      <xdr:row>43</xdr:row>
      <xdr:rowOff>138827</xdr:rowOff>
    </xdr:to>
    <xdr:pic>
      <xdr:nvPicPr>
        <xdr:cNvPr id="11" name="Image 3">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
        <a:stretch>
          <a:fillRect/>
        </a:stretch>
      </xdr:blipFill>
      <xdr:spPr>
        <a:xfrm>
          <a:off x="5981700" y="3784600"/>
          <a:ext cx="7772400" cy="4577477"/>
        </a:xfrm>
        <a:prstGeom prst="rect">
          <a:avLst/>
        </a:prstGeom>
        <a:ln>
          <a:prstDash val="solid"/>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B6" totalsRowShown="0" tableBorderDxfId="19">
  <autoFilter ref="A1:B6" xr:uid="{00000000-0009-0000-0100-000001000000}"/>
  <tableColumns count="2">
    <tableColumn id="2" xr3:uid="{00000000-0010-0000-0000-000002000000}" name="Question" dataDxfId="18"/>
    <tableColumn id="3" xr3:uid="{00000000-0010-0000-0000-000003000000}" name="Input" dataDxfId="17"/>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5" displayName="Table5" ref="A1:G7" totalsRowShown="0" headerRowDxfId="16" headerRowBorderDxfId="15" tableBorderDxfId="14" totalsRowBorderDxfId="13">
  <autoFilter ref="A1:G7" xr:uid="{00000000-0009-0000-0100-000002000000}"/>
  <tableColumns count="7">
    <tableColumn id="1" xr3:uid="{00000000-0010-0000-0100-000001000000}" name="Technology" dataDxfId="12"/>
    <tableColumn id="2" xr3:uid="{00000000-0010-0000-0100-000002000000}" name="Capex (EUR)" dataDxfId="11"/>
    <tableColumn id="3" xr3:uid="{00000000-0010-0000-0100-000003000000}" name="Opex (EUR)" dataDxfId="10"/>
    <tableColumn id="4" xr3:uid="{00000000-0010-0000-0100-000004000000}" name="LCOE (EUR/MWh)" dataDxfId="9"/>
    <tableColumn id="5" xr3:uid="{00000000-0010-0000-0100-000005000000}" name="TCO2 avoided" dataDxfId="8"/>
    <tableColumn id="6" xr3:uid="{00000000-0010-0000-0100-000006000000}" name="Cost of avoidance (EUR/TCO2e)" dataDxfId="7"/>
    <tableColumn id="7" xr3:uid="{00000000-0010-0000-0100-000007000000}" name="Payback Period" dataDxfId="6">
      <calculatedColumnFormula>B2/($C$2-C2)</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1" displayName="Table1" ref="A1:B6" totalsRowShown="0" headerRowDxfId="5" headerRowBorderDxfId="4" tableBorderDxfId="3" totalsRowBorderDxfId="2">
  <autoFilter ref="A1:B6" xr:uid="{00000000-0009-0000-0100-000003000000}"/>
  <tableColumns count="2">
    <tableColumn id="1" xr3:uid="{00000000-0010-0000-0200-000001000000}" name="If the Goal is:" dataDxfId="1"/>
    <tableColumn id="2" xr3:uid="{00000000-0010-0000-0200-000002000000}" name="The best technology is:"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hyperlink" Target="https://energy.nl/wp-content/uploads/electric-industrial-boiler-7.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rte-france.com/" TargetMode="External"/><Relationship Id="rId3" Type="http://schemas.openxmlformats.org/officeDocument/2006/relationships/hyperlink" Target="https://librairie.ademe.fr/ged/9529/guide-tout-comprendre-solaire-thermique.pdf%20(solar%20irrandiance)" TargetMode="External"/><Relationship Id="rId7" Type="http://schemas.openxmlformats.org/officeDocument/2006/relationships/hyperlink" Target="https://www.laregion.fr/%20%20ADEME" TargetMode="External"/><Relationship Id="rId2" Type="http://schemas.openxmlformats.org/officeDocument/2006/relationships/hyperlink" Target="https://re.jrc.ec.europa.eu/pvg_tools/en/" TargetMode="External"/><Relationship Id="rId1" Type="http://schemas.openxmlformats.org/officeDocument/2006/relationships/hyperlink" Target="https://task64.iea-shc.org/Data/Sites/1/publications/IEA-SHC-Task64-SubtaskE-D.E2-D.E3.pdf" TargetMode="External"/><Relationship Id="rId6" Type="http://schemas.openxmlformats.org/officeDocument/2006/relationships/hyperlink" Target="https://www.rte-france.com/" TargetMode="External"/><Relationship Id="rId5" Type="http://schemas.openxmlformats.org/officeDocument/2006/relationships/hyperlink" Target="https://www.firstsolar.com/-/media/First-Solar/Technical-Documents/Series-6-Datasheets/Series-6-Datasheet.ashx?la=en-Emea" TargetMode="External"/><Relationship Id="rId4" Type="http://schemas.openxmlformats.org/officeDocument/2006/relationships/hyperlink" Target="https://www.firstsolar.com/-/media/First-Solar/Technical-Documents/Series-6-Plus/Series-6-Plus-Bifacial-Datasheet---Global.ashx?la=en-Eme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
  <sheetViews>
    <sheetView tabSelected="1" zoomScale="70" zoomScaleNormal="70" workbookViewId="0">
      <selection activeCell="B4" sqref="B4"/>
    </sheetView>
  </sheetViews>
  <sheetFormatPr defaultColWidth="8.81640625" defaultRowHeight="14.5" x14ac:dyDescent="0.35"/>
  <cols>
    <col min="1" max="1" width="71.36328125" style="80" bestFit="1" customWidth="1"/>
    <col min="2" max="2" width="12.1796875" customWidth="1"/>
    <col min="3" max="3" width="23.54296875" bestFit="1" customWidth="1"/>
    <col min="4" max="4" width="14.1796875" customWidth="1"/>
    <col min="5" max="5" width="36.1796875" bestFit="1" customWidth="1"/>
    <col min="6" max="6" width="15.1796875" customWidth="1"/>
    <col min="7" max="7" width="14.1796875" customWidth="1"/>
    <col min="8" max="8" width="16.1796875" customWidth="1"/>
    <col min="9" max="9" width="12.7265625" bestFit="1" customWidth="1"/>
    <col min="10" max="10" width="27.453125" customWidth="1"/>
    <col min="11" max="11" width="13.7265625" bestFit="1" customWidth="1"/>
  </cols>
  <sheetData>
    <row r="1" spans="1:5" x14ac:dyDescent="0.35">
      <c r="A1" s="138" t="s">
        <v>0</v>
      </c>
      <c r="B1" t="s">
        <v>1</v>
      </c>
    </row>
    <row r="2" spans="1:5" x14ac:dyDescent="0.35">
      <c r="A2" s="44" t="s">
        <v>2</v>
      </c>
      <c r="B2" s="44" t="s">
        <v>3</v>
      </c>
      <c r="E2" s="9"/>
    </row>
    <row r="3" spans="1:5" x14ac:dyDescent="0.35">
      <c r="A3" s="8" t="s">
        <v>4</v>
      </c>
      <c r="B3" s="110">
        <v>70000</v>
      </c>
    </row>
    <row r="4" spans="1:5" x14ac:dyDescent="0.35">
      <c r="A4" s="44" t="s">
        <v>5</v>
      </c>
      <c r="B4" s="44" t="s">
        <v>6</v>
      </c>
    </row>
    <row r="5" spans="1:5" x14ac:dyDescent="0.35">
      <c r="A5" s="44" t="s">
        <v>7</v>
      </c>
      <c r="B5" s="46">
        <v>20000</v>
      </c>
    </row>
    <row r="6" spans="1:5" x14ac:dyDescent="0.35">
      <c r="A6" s="131" t="s">
        <v>8</v>
      </c>
      <c r="B6" s="133" t="s">
        <v>9</v>
      </c>
    </row>
  </sheetData>
  <dataValidations count="4">
    <dataValidation type="list" allowBlank="1" showInputMessage="1" showErrorMessage="1" sqref="B2" xr:uid="{00000000-0002-0000-0000-000000000000}">
      <formula1>"Auvergne-Rhône-Alpes, Bourgogne-Franche-Comté, Bretagne, Centre-Val de Loire, Corse, Grand Est, Hauts-de-France, Île-de-France, Normandie, Nouvelle-Aquitaine, Occitanie, Pays de la Loire, Provence-Alpes-Côte d’Azur"</formula1>
    </dataValidation>
    <dataValidation type="list" allowBlank="1" showInputMessage="1" showErrorMessage="1" sqref="B4" xr:uid="{00000000-0002-0000-0000-000001000000}">
      <formula1>"Yes, No"</formula1>
    </dataValidation>
    <dataValidation type="list" allowBlank="1" showInputMessage="1" showErrorMessage="1" sqref="B6" xr:uid="{00000000-0002-0000-0000-000002000000}">
      <formula1>"ON, OFF"</formula1>
    </dataValidation>
    <dataValidation type="custom" allowBlank="1" showInputMessage="1" showErrorMessage="1" sqref="B5" xr:uid="{00000000-0002-0000-0000-000003000000}">
      <formula1>B4="Yes"</formula1>
    </dataValidation>
  </dataValidations>
  <pageMargins left="0.7" right="0.7" top="0.75" bottom="0.75" header="0.3" footer="0.3"/>
  <pageSetup orientation="portrait"/>
  <headerFooter>
    <oddHeader>&amp;R&amp;"Calibri"&amp;1 &amp;KFF8C00 CONFIDENTIAL#_x000D_</oddHead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7"/>
  <sheetViews>
    <sheetView workbookViewId="0">
      <selection activeCell="F10" sqref="F10"/>
    </sheetView>
  </sheetViews>
  <sheetFormatPr defaultRowHeight="14.5" x14ac:dyDescent="0.35"/>
  <cols>
    <col min="1" max="1" width="34.90625" bestFit="1" customWidth="1"/>
    <col min="2" max="2" width="34.26953125" customWidth="1"/>
    <col min="3" max="3" width="12.453125" bestFit="1" customWidth="1"/>
    <col min="4" max="4" width="17.6328125" bestFit="1" customWidth="1"/>
    <col min="5" max="5" width="14.54296875" bestFit="1" customWidth="1"/>
    <col min="6" max="6" width="29.54296875" bestFit="1" customWidth="1"/>
    <col min="7" max="7" width="16" bestFit="1" customWidth="1"/>
  </cols>
  <sheetData>
    <row r="1" spans="1:8" x14ac:dyDescent="0.35">
      <c r="A1" s="139" t="s">
        <v>10</v>
      </c>
      <c r="B1" s="140" t="s">
        <v>11</v>
      </c>
      <c r="C1" s="140" t="s">
        <v>12</v>
      </c>
      <c r="D1" s="140" t="s">
        <v>13</v>
      </c>
      <c r="E1" s="140" t="s">
        <v>14</v>
      </c>
      <c r="F1" s="140" t="s">
        <v>15</v>
      </c>
      <c r="G1" s="141" t="s">
        <v>16</v>
      </c>
      <c r="H1" s="142" t="s">
        <v>17</v>
      </c>
    </row>
    <row r="2" spans="1:8" x14ac:dyDescent="0.35">
      <c r="A2" s="134" t="s">
        <v>18</v>
      </c>
      <c r="B2" s="19">
        <f>'Natural Gas Boiler'!C43</f>
        <v>8207678.5910626473</v>
      </c>
      <c r="C2" s="19">
        <f>'Natural Gas Boiler'!C44+'Natural Gas Boiler'!C45</f>
        <v>86836365.853658527</v>
      </c>
      <c r="D2" s="19">
        <f>'Natural Gas Boiler'!D51</f>
        <v>67.888603174800835</v>
      </c>
      <c r="E2" s="19"/>
      <c r="F2" s="19"/>
      <c r="G2" s="135"/>
      <c r="H2" t="s">
        <v>19</v>
      </c>
    </row>
    <row r="3" spans="1:8" x14ac:dyDescent="0.35">
      <c r="A3" s="134" t="s">
        <v>20</v>
      </c>
      <c r="B3" s="19">
        <f>'Hydrogen+Alkaline Electro'!I39</f>
        <v>11784896.069879966</v>
      </c>
      <c r="C3" s="19">
        <f>'Hydrogen+Alkaline Electro'!I44</f>
        <v>196582658.40833122</v>
      </c>
      <c r="D3" s="19">
        <f>'Hydrogen+Alkaline Electro'!J51</f>
        <v>148.83396748443656</v>
      </c>
      <c r="E3" s="19">
        <f>'Natural Gas Boiler'!D8</f>
        <v>14140</v>
      </c>
      <c r="F3" s="19">
        <f>'Hydrogen+Alkaline Electro'!J57</f>
        <v>-400.71962529522631</v>
      </c>
      <c r="G3" s="135">
        <f>B3/($C$2-C3)</f>
        <v>-0.10738309054047583</v>
      </c>
      <c r="H3" t="s">
        <v>21</v>
      </c>
    </row>
    <row r="4" spans="1:8" x14ac:dyDescent="0.35">
      <c r="A4" s="134" t="s">
        <v>22</v>
      </c>
      <c r="B4" s="19">
        <f>'Hydrogen+Alkaline Electro'!I39+'Hydrogen+Alkaline Electro'!C39</f>
        <v>36297742.841025852</v>
      </c>
      <c r="C4" s="19">
        <f>'Hydrogen+Alkaline Electro'!C40+'Hydrogen+Alkaline Electro'!I40+'Hydrogen+Alkaline Electro'!I41+'Hydrogen+Alkaline Electro'!C41+'Hydrogen+Alkaline Electro'!C42</f>
        <v>65242695.143712044</v>
      </c>
      <c r="D4" s="19">
        <f>'Hydrogen+Alkaline Electro'!J50</f>
        <v>72.528884274812782</v>
      </c>
      <c r="E4" s="19">
        <f>'Natural Gas Boiler'!D8</f>
        <v>14140</v>
      </c>
      <c r="F4" s="19">
        <f>'Hydrogen+Alkaline Electro'!J58</f>
        <v>-22.971688613920527</v>
      </c>
      <c r="G4" s="135">
        <f>B4/($C$2-C4)</f>
        <v>1.6809436120699188</v>
      </c>
      <c r="H4" t="s">
        <v>23</v>
      </c>
    </row>
    <row r="5" spans="1:8" x14ac:dyDescent="0.35">
      <c r="A5" s="134" t="s">
        <v>24</v>
      </c>
      <c r="B5" s="19">
        <f>'Electric Boiler'!D29</f>
        <v>3405446.1511764806</v>
      </c>
      <c r="C5" s="19">
        <f>'Electric Boiler'!D30</f>
        <v>147368421.05263156</v>
      </c>
      <c r="D5" s="19">
        <f>'Electric Boiler'!D36</f>
        <v>107.69561943129146</v>
      </c>
      <c r="E5" s="19">
        <f>'Natural Gas Boiler'!D8</f>
        <v>14140</v>
      </c>
      <c r="F5" s="19">
        <f>'Electric Boiler'!D44</f>
        <v>-197.06443691331992</v>
      </c>
      <c r="G5" s="135">
        <f>B5/($C$2-C5)</f>
        <v>-5.6258558213206952E-2</v>
      </c>
      <c r="H5" t="s">
        <v>25</v>
      </c>
    </row>
    <row r="6" spans="1:8" x14ac:dyDescent="0.35">
      <c r="A6" s="134" t="s">
        <v>26</v>
      </c>
      <c r="B6" s="19">
        <f>IF('User Guide'!B4="Yes", Biomass!G52, Biomass!C52)</f>
        <v>28557880.48866703</v>
      </c>
      <c r="C6" s="19">
        <f>IF('User Guide'!B4="Yes", Biomass!G53+Biomass!G54, Biomass!C53+Biomass!C54)</f>
        <v>54779833.802698329</v>
      </c>
      <c r="D6" s="19">
        <f>IF('User Guide'!B4="Yes", Biomass!H60, Biomass!D60)</f>
        <v>59.526938779546683</v>
      </c>
      <c r="E6" s="19">
        <f>IF('User Guide'!B4="Yes", Biomass!H62, Biomass!D62)</f>
        <v>11550</v>
      </c>
      <c r="F6" s="19">
        <f>IF('User Guide'!B4="Yes", Biomass!H65, Biomass!D65)</f>
        <v>50.676753910631227</v>
      </c>
      <c r="G6" s="135">
        <f>B6/($C$2-C6)</f>
        <v>0.89085994839580995</v>
      </c>
      <c r="H6" t="s">
        <v>27</v>
      </c>
    </row>
    <row r="7" spans="1:8" x14ac:dyDescent="0.35">
      <c r="A7" s="136" t="s">
        <v>28</v>
      </c>
      <c r="B7" s="137">
        <f>IF(OR('User Guide'!B2="Île-de-France", 'User Guide'!B2="centre", 'User Guide'!B2="Nouvelle acquitaine"), Geothermal!K27, IF(OR('User Guide'!B2="Grand Est", 'User Guide'!B2="Provence alpes cote d'azur", 'User Guide'!B2="Bourgogne-Franche-Comté"), Geothermal!E27, "-"))</f>
        <v>4928455.2845528461</v>
      </c>
      <c r="C7" s="137">
        <f>IF(OR('User Guide'!B2="Île-de-France", 'User Guide'!B2="centre", 'User Guide'!B2="Nouvelle acquitaine"), Geothermal!E28, IF(OR('User Guide'!B2="Grand Est", 'User Guide'!B2="Provence alpes cote d'azur", 'User Guide'!B2="Bourgogne-Franche-Comté"), Geothermal!K28, "-"))</f>
        <v>52243414.634146333</v>
      </c>
      <c r="D7" s="137">
        <f>IF(OR('User Guide'!B2="Île-de-France", 'User Guide'!B2="centre", 'User Guide'!B2="Nouvelle acquitaine"), Geothermal!K33, IF(OR('User Guide'!B2="Grand Est", 'User Guide'!B2="Provence alpes cote d'azur", 'User Guide'!B2="Bourgogne-Franche-Comté"), Geothermal!E33, "-"))</f>
        <v>127.80813008130082</v>
      </c>
      <c r="E7" s="137">
        <f>IF(OR('User Guide'!B2="Île-de-France", 'User Guide'!B2="centre", 'User Guide'!B2="Nouvelle acquitaine"), Geothermal!K37, IF(OR('User Guide'!B2="Grand Est", 'User Guide'!B2="Provence alpes cote d'azur", 'User Guide'!B2="Bourgogne-Franche-Comté"), Geothermal!E37, "-"))</f>
        <v>6440</v>
      </c>
      <c r="F7" s="137">
        <f>IF(OR('User Guide'!B2="Île-de-France", 'User Guide'!B2="centre", 'User Guide'!B2="Nouvelle acquitaine"), Geothermal!K40, IF(OR('User Guide'!B2="Grand Est", 'User Guide'!B2="Provence alpes cote d'azur", 'User Guide'!B2="Bourgogne-Franche-Comté"), Geothermal!E40, "-"))</f>
        <v>-651.29920550543454</v>
      </c>
      <c r="G7" s="132">
        <f>IF(B7="-", -99, B7/($C$2-C7))</f>
        <v>0.14246992843365572</v>
      </c>
      <c r="H7" t="s">
        <v>29</v>
      </c>
    </row>
  </sheetData>
  <pageMargins left="0.7" right="0.7" top="0.75" bottom="0.75" header="0.3" footer="0.3"/>
  <headerFooter>
    <oddHeader>&amp;R&amp;"Calibri"&amp;1 &amp;KFF8C00 CONFIDENTIAL#_x000D_</oddHead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6"/>
  <sheetViews>
    <sheetView workbookViewId="0">
      <selection activeCell="C4" sqref="C4"/>
    </sheetView>
  </sheetViews>
  <sheetFormatPr defaultRowHeight="14.5" x14ac:dyDescent="0.35"/>
  <cols>
    <col min="1" max="1" width="13.90625" bestFit="1" customWidth="1"/>
    <col min="2" max="2" width="73.54296875" bestFit="1" customWidth="1"/>
  </cols>
  <sheetData>
    <row r="1" spans="1:2" x14ac:dyDescent="0.35">
      <c r="A1" s="144" t="s">
        <v>30</v>
      </c>
      <c r="B1" s="145" t="s">
        <v>31</v>
      </c>
    </row>
    <row r="2" spans="1:2" x14ac:dyDescent="0.35">
      <c r="A2" s="134" t="s">
        <v>32</v>
      </c>
      <c r="B2" s="135" t="str">
        <f t="array" ref="B2">_xlfn.TEXTJOIN(", ", TRUE, _xlfn._xlws.FILTER(results!A3:A7, results!E3:E7 = MAX(results!E3:E7)))</f>
        <v>Hydrogen Boiler (fuel purchased), Hydrogen Boiler and Alkaline Electrolizer, Electric Boiler</v>
      </c>
    </row>
    <row r="3" spans="1:2" x14ac:dyDescent="0.35">
      <c r="A3" s="134" t="s">
        <v>33</v>
      </c>
      <c r="B3" s="135" t="str">
        <f t="array" ref="B3">_xlfn.TEXTJOIN(", ", TRUE, _xlfn._xlws.FILTER(results!A3:A7, results!B3:B7 = MIN(results!B3:B7)))</f>
        <v>Electric Boiler</v>
      </c>
    </row>
    <row r="4" spans="1:2" x14ac:dyDescent="0.35">
      <c r="A4" s="134" t="s">
        <v>34</v>
      </c>
      <c r="B4" s="135" t="str">
        <f t="array" ref="B4">_xlfn.TEXTJOIN(", ", TRUE, _xlfn._xlws.FILTER(results!A3:A7, results!C3:C7 = MIN(results!C3:C7)))</f>
        <v>Geothermie with heat pump</v>
      </c>
    </row>
    <row r="5" spans="1:2" x14ac:dyDescent="0.35">
      <c r="A5" s="134" t="s">
        <v>35</v>
      </c>
      <c r="B5" s="135" t="str">
        <f t="array" ref="B5">_xlfn.TEXTJOIN(", ", TRUE, _xlfn._xlws.FILTER(results!A3:A7, results!D3:D7 = MIN(results!D3:D7)))</f>
        <v>Biomass</v>
      </c>
    </row>
    <row r="6" spans="1:2" x14ac:dyDescent="0.35">
      <c r="A6" s="136" t="s">
        <v>16</v>
      </c>
      <c r="B6" s="132" t="str">
        <f t="array" ref="B6">_xlfn.TEXTJOIN(", ", TRUE, _xlfn._xlws.FILTER(results!A3:A7, (results!G3:G7 = MIN(_xlfn._xlws.FILTER(results!G3:G7, results!G3:G7 &gt; 0))) * (results!G3:G7 &gt; 0)))</f>
        <v>Geothermie with heat pump</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E51"/>
  <sheetViews>
    <sheetView topLeftCell="A15" zoomScale="60" zoomScaleNormal="60" workbookViewId="0">
      <selection activeCell="D36" sqref="D36"/>
    </sheetView>
  </sheetViews>
  <sheetFormatPr defaultColWidth="8.81640625" defaultRowHeight="14.5" x14ac:dyDescent="0.35"/>
  <cols>
    <col min="2" max="2" width="31.54296875" bestFit="1" customWidth="1"/>
    <col min="3" max="3" width="10.81640625" bestFit="1" customWidth="1"/>
    <col min="4" max="4" width="16.81640625" customWidth="1"/>
    <col min="8" max="8" width="52.453125" bestFit="1" customWidth="1"/>
  </cols>
  <sheetData>
    <row r="2" spans="2:5" ht="16" customHeight="1" x14ac:dyDescent="0.4">
      <c r="B2" s="146" t="s">
        <v>36</v>
      </c>
      <c r="C2" s="147"/>
      <c r="D2" s="148"/>
    </row>
    <row r="4" spans="2:5" x14ac:dyDescent="0.35">
      <c r="B4" s="44" t="s">
        <v>37</v>
      </c>
      <c r="C4" s="44" t="s">
        <v>38</v>
      </c>
      <c r="D4" s="44">
        <v>13.89</v>
      </c>
    </row>
    <row r="5" spans="2:5" x14ac:dyDescent="0.35">
      <c r="B5" s="44" t="s">
        <v>39</v>
      </c>
      <c r="C5" s="44"/>
      <c r="D5" s="45">
        <v>0.9</v>
      </c>
    </row>
    <row r="6" spans="2:5" x14ac:dyDescent="0.35">
      <c r="B6" s="44" t="s">
        <v>40</v>
      </c>
      <c r="C6" s="44" t="s">
        <v>41</v>
      </c>
      <c r="D6" s="44">
        <v>0.20200000000000001</v>
      </c>
      <c r="E6" t="s">
        <v>42</v>
      </c>
    </row>
    <row r="7" spans="2:5" x14ac:dyDescent="0.35">
      <c r="B7" s="44" t="s">
        <v>43</v>
      </c>
      <c r="C7" s="44" t="s">
        <v>44</v>
      </c>
      <c r="D7" s="46">
        <f>'User Guide'!B3</f>
        <v>70000</v>
      </c>
    </row>
    <row r="8" spans="2:5" x14ac:dyDescent="0.35">
      <c r="B8" s="44" t="s">
        <v>45</v>
      </c>
      <c r="C8" s="44" t="s">
        <v>46</v>
      </c>
      <c r="D8" s="44">
        <f>D6*D7</f>
        <v>14140</v>
      </c>
    </row>
    <row r="9" spans="2:5" x14ac:dyDescent="0.35">
      <c r="B9" s="44" t="s">
        <v>47</v>
      </c>
      <c r="C9" s="44" t="s">
        <v>44</v>
      </c>
      <c r="D9" s="44">
        <f>D7/D5</f>
        <v>77777.777777777781</v>
      </c>
    </row>
    <row r="10" spans="2:5" x14ac:dyDescent="0.35">
      <c r="B10" s="44" t="s">
        <v>48</v>
      </c>
      <c r="C10" s="44" t="s">
        <v>49</v>
      </c>
      <c r="D10" s="44">
        <v>40</v>
      </c>
      <c r="E10" t="s">
        <v>50</v>
      </c>
    </row>
    <row r="11" spans="2:5" x14ac:dyDescent="0.35">
      <c r="B11" s="44" t="s">
        <v>51</v>
      </c>
      <c r="C11" s="44" t="s">
        <v>52</v>
      </c>
      <c r="D11" s="44">
        <f>D9*D10</f>
        <v>3111111.111111111</v>
      </c>
    </row>
    <row r="12" spans="2:5" x14ac:dyDescent="0.35">
      <c r="B12" s="44" t="s">
        <v>53</v>
      </c>
      <c r="C12" s="44" t="s">
        <v>54</v>
      </c>
      <c r="D12" s="44">
        <v>5</v>
      </c>
    </row>
    <row r="13" spans="2:5" x14ac:dyDescent="0.35">
      <c r="B13" s="44" t="s">
        <v>55</v>
      </c>
      <c r="C13" s="44" t="s">
        <v>56</v>
      </c>
      <c r="D13" s="44">
        <v>20</v>
      </c>
    </row>
    <row r="14" spans="2:5" x14ac:dyDescent="0.35">
      <c r="B14" s="44" t="s">
        <v>57</v>
      </c>
      <c r="C14" s="44" t="s">
        <v>58</v>
      </c>
      <c r="D14" s="44">
        <v>8200</v>
      </c>
    </row>
    <row r="15" spans="2:5" x14ac:dyDescent="0.35">
      <c r="B15" s="44" t="s">
        <v>59</v>
      </c>
      <c r="C15" s="44" t="s">
        <v>60</v>
      </c>
      <c r="D15" s="44">
        <v>700000</v>
      </c>
    </row>
    <row r="16" spans="2:5" x14ac:dyDescent="0.35">
      <c r="B16" s="44" t="s">
        <v>61</v>
      </c>
      <c r="C16" s="44" t="s">
        <v>60</v>
      </c>
      <c r="D16" s="44">
        <v>450000</v>
      </c>
    </row>
    <row r="17" spans="2:5" x14ac:dyDescent="0.35">
      <c r="B17" s="44" t="s">
        <v>62</v>
      </c>
      <c r="C17" s="44"/>
      <c r="D17" s="44">
        <f>(D16-D15)/(70-1)</f>
        <v>-3623.1884057971015</v>
      </c>
    </row>
    <row r="18" spans="2:5" x14ac:dyDescent="0.35">
      <c r="D18" s="1"/>
    </row>
    <row r="19" spans="2:5" x14ac:dyDescent="0.35">
      <c r="B19" s="39" t="s">
        <v>63</v>
      </c>
      <c r="C19" s="40"/>
      <c r="D19" s="40"/>
    </row>
    <row r="20" spans="2:5" x14ac:dyDescent="0.35">
      <c r="B20" s="41" t="s">
        <v>64</v>
      </c>
      <c r="C20" s="41" t="s">
        <v>44</v>
      </c>
      <c r="D20" s="41">
        <f>D9</f>
        <v>77777.777777777781</v>
      </c>
    </row>
    <row r="21" spans="2:5" x14ac:dyDescent="0.35">
      <c r="B21" s="43" t="s">
        <v>65</v>
      </c>
      <c r="C21" s="43" t="s">
        <v>66</v>
      </c>
      <c r="D21" s="43">
        <f>D20/D14</f>
        <v>9.48509485094851</v>
      </c>
    </row>
    <row r="22" spans="2:5" x14ac:dyDescent="0.35">
      <c r="D22" s="1"/>
    </row>
    <row r="23" spans="2:5" x14ac:dyDescent="0.35">
      <c r="E23" t="s">
        <v>67</v>
      </c>
    </row>
    <row r="24" spans="2:5" x14ac:dyDescent="0.35">
      <c r="B24" s="27" t="s">
        <v>68</v>
      </c>
      <c r="C24" s="25"/>
      <c r="D24" s="25"/>
    </row>
    <row r="25" spans="2:5" x14ac:dyDescent="0.35">
      <c r="B25" s="26" t="s">
        <v>69</v>
      </c>
      <c r="C25" s="26" t="s">
        <v>60</v>
      </c>
      <c r="D25" s="26">
        <f>D15+(D17*D21)</f>
        <v>665633.71430815756</v>
      </c>
    </row>
    <row r="26" spans="2:5" x14ac:dyDescent="0.35">
      <c r="B26" s="26" t="s">
        <v>70</v>
      </c>
      <c r="C26" s="26" t="s">
        <v>66</v>
      </c>
      <c r="D26" s="26">
        <f>D21</f>
        <v>9.48509485094851</v>
      </c>
      <c r="E26" t="s">
        <v>71</v>
      </c>
    </row>
    <row r="27" spans="2:5" x14ac:dyDescent="0.35">
      <c r="B27" s="26" t="s">
        <v>72</v>
      </c>
      <c r="C27" s="26" t="s">
        <v>73</v>
      </c>
      <c r="D27" s="26">
        <f>D25*D26</f>
        <v>6313598.9162020367</v>
      </c>
    </row>
    <row r="28" spans="2:5" x14ac:dyDescent="0.35">
      <c r="B28" s="26" t="s">
        <v>74</v>
      </c>
      <c r="C28" s="26" t="s">
        <v>73</v>
      </c>
      <c r="D28" s="26">
        <f>D27*0.3</f>
        <v>1894079.6748606109</v>
      </c>
    </row>
    <row r="29" spans="2:5" x14ac:dyDescent="0.35">
      <c r="B29" s="26" t="s">
        <v>8</v>
      </c>
      <c r="C29" s="26" t="s">
        <v>73</v>
      </c>
      <c r="D29" s="26"/>
    </row>
    <row r="30" spans="2:5" x14ac:dyDescent="0.35">
      <c r="B30" s="36" t="s">
        <v>75</v>
      </c>
      <c r="C30" s="36" t="s">
        <v>73</v>
      </c>
      <c r="D30" s="36">
        <f>D27+D28</f>
        <v>8207678.5910626473</v>
      </c>
    </row>
    <row r="31" spans="2:5" x14ac:dyDescent="0.35">
      <c r="E31" t="s">
        <v>76</v>
      </c>
    </row>
    <row r="32" spans="2:5" x14ac:dyDescent="0.35">
      <c r="B32" s="29" t="s">
        <v>77</v>
      </c>
      <c r="C32" s="30"/>
      <c r="D32" s="30"/>
    </row>
    <row r="33" spans="2:5" x14ac:dyDescent="0.35">
      <c r="B33" s="34" t="s">
        <v>78</v>
      </c>
      <c r="C33" s="32" t="s">
        <v>60</v>
      </c>
      <c r="D33" s="32">
        <v>23000</v>
      </c>
    </row>
    <row r="34" spans="2:5" x14ac:dyDescent="0.35">
      <c r="B34" s="32" t="s">
        <v>79</v>
      </c>
      <c r="C34" s="32" t="s">
        <v>80</v>
      </c>
      <c r="D34" s="32">
        <v>70</v>
      </c>
    </row>
    <row r="35" spans="2:5" x14ac:dyDescent="0.35">
      <c r="B35" s="32" t="s">
        <v>81</v>
      </c>
      <c r="C35" s="32" t="s">
        <v>52</v>
      </c>
      <c r="D35" s="32">
        <f>D6*D7*D34</f>
        <v>989800</v>
      </c>
    </row>
    <row r="36" spans="2:5" x14ac:dyDescent="0.35">
      <c r="B36" s="31"/>
      <c r="C36" s="35" t="s">
        <v>82</v>
      </c>
      <c r="D36" s="35">
        <f>D33*D26+D35</f>
        <v>1207957.1815718156</v>
      </c>
      <c r="E36" t="s">
        <v>83</v>
      </c>
    </row>
    <row r="37" spans="2:5" x14ac:dyDescent="0.35">
      <c r="B37" s="34" t="s">
        <v>84</v>
      </c>
      <c r="C37" s="35" t="s">
        <v>52</v>
      </c>
      <c r="D37" s="35">
        <f>D9*D10</f>
        <v>3111111.111111111</v>
      </c>
    </row>
    <row r="38" spans="2:5" x14ac:dyDescent="0.35">
      <c r="B38" s="32" t="s">
        <v>85</v>
      </c>
      <c r="C38" s="32" t="s">
        <v>49</v>
      </c>
      <c r="D38" s="32">
        <v>65</v>
      </c>
    </row>
    <row r="39" spans="2:5" x14ac:dyDescent="0.35">
      <c r="B39" s="33" t="s">
        <v>86</v>
      </c>
      <c r="C39" s="32" t="s">
        <v>44</v>
      </c>
      <c r="D39" s="32">
        <f>(D7*D12)/1000</f>
        <v>350</v>
      </c>
    </row>
    <row r="40" spans="2:5" x14ac:dyDescent="0.35">
      <c r="B40" s="35" t="s">
        <v>87</v>
      </c>
      <c r="C40" s="35" t="s">
        <v>52</v>
      </c>
      <c r="D40" s="35">
        <f>D39*D38</f>
        <v>22750</v>
      </c>
    </row>
    <row r="42" spans="2:5" x14ac:dyDescent="0.35">
      <c r="B42" s="49" t="s">
        <v>88</v>
      </c>
      <c r="C42" s="49" t="s">
        <v>89</v>
      </c>
      <c r="D42" s="9"/>
    </row>
    <row r="43" spans="2:5" x14ac:dyDescent="0.35">
      <c r="B43" s="48" t="s">
        <v>90</v>
      </c>
      <c r="C43" s="48">
        <f>D30</f>
        <v>8207678.5910626473</v>
      </c>
    </row>
    <row r="44" spans="2:5" x14ac:dyDescent="0.35">
      <c r="B44" s="48" t="s">
        <v>91</v>
      </c>
      <c r="C44" s="48">
        <f>D36*D13</f>
        <v>24159143.631436311</v>
      </c>
    </row>
    <row r="45" spans="2:5" x14ac:dyDescent="0.35">
      <c r="B45" s="48" t="s">
        <v>92</v>
      </c>
      <c r="C45" s="48">
        <f>(D37+D40)*D13</f>
        <v>62677222.222222224</v>
      </c>
    </row>
    <row r="46" spans="2:5" x14ac:dyDescent="0.35">
      <c r="B46" s="48" t="s">
        <v>93</v>
      </c>
      <c r="C46" s="48">
        <f>SUM(C43:C45)</f>
        <v>95044044.444721177</v>
      </c>
    </row>
    <row r="48" spans="2:5" x14ac:dyDescent="0.35">
      <c r="B48" s="50" t="s">
        <v>94</v>
      </c>
      <c r="C48" s="50" t="s">
        <v>89</v>
      </c>
      <c r="D48" s="9"/>
    </row>
    <row r="49" spans="2:4" x14ac:dyDescent="0.35">
      <c r="B49" s="51" t="s">
        <v>95</v>
      </c>
      <c r="C49" s="51">
        <f>D7*D13</f>
        <v>1400000</v>
      </c>
    </row>
    <row r="51" spans="2:4" x14ac:dyDescent="0.35">
      <c r="B51" s="53" t="s">
        <v>96</v>
      </c>
      <c r="C51" s="53" t="s">
        <v>49</v>
      </c>
      <c r="D51" s="53">
        <f>C46/C49</f>
        <v>67.888603174800835</v>
      </c>
    </row>
  </sheetData>
  <mergeCells count="1">
    <mergeCell ref="B2:D2"/>
  </mergeCells>
  <pageMargins left="0.7" right="0.7" top="0.75" bottom="0.75" header="0.3" footer="0.3"/>
  <headerFooter>
    <oddHeader>&amp;R&amp;"Calibri"&amp;1 &amp;KFF8C00 CONFIDENTIAL#_x000D_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K69"/>
  <sheetViews>
    <sheetView zoomScale="60" zoomScaleNormal="60" workbookViewId="0">
      <selection activeCell="E45" sqref="E45"/>
    </sheetView>
  </sheetViews>
  <sheetFormatPr defaultColWidth="8.81640625" defaultRowHeight="14.5" x14ac:dyDescent="0.35"/>
  <cols>
    <col min="2" max="2" width="36.453125" customWidth="1"/>
    <col min="3" max="3" width="11.81640625" bestFit="1" customWidth="1"/>
    <col min="4" max="4" width="12.54296875" bestFit="1" customWidth="1"/>
    <col min="8" max="8" width="32.54296875" bestFit="1" customWidth="1"/>
    <col min="9" max="9" width="10.81640625" bestFit="1" customWidth="1"/>
    <col min="10" max="10" width="13.26953125" bestFit="1" customWidth="1"/>
  </cols>
  <sheetData>
    <row r="2" spans="2:10" ht="16" customHeight="1" x14ac:dyDescent="0.4">
      <c r="B2" s="146" t="s">
        <v>97</v>
      </c>
      <c r="C2" s="147"/>
      <c r="D2" s="148"/>
      <c r="H2" s="146" t="s">
        <v>98</v>
      </c>
      <c r="I2" s="147"/>
      <c r="J2" s="148"/>
    </row>
    <row r="4" spans="2:10" x14ac:dyDescent="0.35">
      <c r="B4" s="44" t="s">
        <v>99</v>
      </c>
      <c r="C4" s="44" t="s">
        <v>38</v>
      </c>
      <c r="D4" s="44">
        <v>13.89</v>
      </c>
      <c r="H4" s="44" t="s">
        <v>39</v>
      </c>
      <c r="I4" s="44"/>
      <c r="J4" s="45">
        <v>0.95</v>
      </c>
    </row>
    <row r="5" spans="2:10" x14ac:dyDescent="0.35">
      <c r="B5" s="44" t="s">
        <v>100</v>
      </c>
      <c r="C5" s="44" t="s">
        <v>38</v>
      </c>
      <c r="D5" s="44">
        <v>33.33</v>
      </c>
      <c r="H5" s="44" t="s">
        <v>59</v>
      </c>
      <c r="I5" s="44" t="s">
        <v>60</v>
      </c>
      <c r="J5" s="44">
        <v>1100000</v>
      </c>
    </row>
    <row r="6" spans="2:10" x14ac:dyDescent="0.35">
      <c r="B6" s="44" t="s">
        <v>101</v>
      </c>
      <c r="C6" s="44" t="s">
        <v>102</v>
      </c>
      <c r="D6" s="44">
        <v>20</v>
      </c>
      <c r="H6" s="44" t="s">
        <v>103</v>
      </c>
      <c r="I6" s="44" t="s">
        <v>60</v>
      </c>
      <c r="J6" s="44">
        <v>400000</v>
      </c>
    </row>
    <row r="7" spans="2:10" x14ac:dyDescent="0.35">
      <c r="B7" s="44" t="s">
        <v>104</v>
      </c>
      <c r="C7" s="44" t="s">
        <v>44</v>
      </c>
      <c r="D7" s="46">
        <f>'User Guide'!B3</f>
        <v>70000</v>
      </c>
      <c r="H7" s="44" t="s">
        <v>62</v>
      </c>
      <c r="I7" s="44"/>
      <c r="J7" s="44">
        <f>(J6-J5)/(70-1)</f>
        <v>-10144.927536231884</v>
      </c>
    </row>
    <row r="8" spans="2:10" x14ac:dyDescent="0.35">
      <c r="B8" s="44" t="s">
        <v>105</v>
      </c>
      <c r="C8" s="44" t="s">
        <v>106</v>
      </c>
      <c r="D8" s="44">
        <f>D7/D5</f>
        <v>2100.2100210021003</v>
      </c>
      <c r="H8" s="44" t="s">
        <v>107</v>
      </c>
      <c r="I8" s="44" t="s">
        <v>108</v>
      </c>
      <c r="J8" s="44">
        <v>0</v>
      </c>
    </row>
    <row r="9" spans="2:10" x14ac:dyDescent="0.35">
      <c r="B9" s="44" t="s">
        <v>59</v>
      </c>
      <c r="C9" s="44" t="s">
        <v>60</v>
      </c>
      <c r="D9" s="44">
        <v>1200000</v>
      </c>
    </row>
    <row r="10" spans="2:10" x14ac:dyDescent="0.35">
      <c r="B10" s="44" t="s">
        <v>61</v>
      </c>
      <c r="C10" s="44" t="s">
        <v>60</v>
      </c>
      <c r="D10" s="44">
        <v>900000</v>
      </c>
      <c r="E10" t="s">
        <v>109</v>
      </c>
    </row>
    <row r="11" spans="2:10" x14ac:dyDescent="0.35">
      <c r="B11" s="44" t="s">
        <v>62</v>
      </c>
      <c r="C11" s="44"/>
      <c r="D11" s="44">
        <f>(D10-D9)/(100-1)</f>
        <v>-3030.3030303030305</v>
      </c>
    </row>
    <row r="13" spans="2:10" x14ac:dyDescent="0.35">
      <c r="B13" s="39" t="s">
        <v>110</v>
      </c>
      <c r="C13" s="40"/>
      <c r="D13" s="40"/>
    </row>
    <row r="14" spans="2:10" x14ac:dyDescent="0.35">
      <c r="B14" s="41" t="s">
        <v>111</v>
      </c>
      <c r="C14" s="41"/>
      <c r="D14" s="41"/>
    </row>
    <row r="15" spans="2:10" x14ac:dyDescent="0.35">
      <c r="B15" s="42" t="s">
        <v>112</v>
      </c>
      <c r="C15" s="41" t="s">
        <v>38</v>
      </c>
      <c r="D15" s="41">
        <v>64</v>
      </c>
      <c r="H15" s="39" t="s">
        <v>113</v>
      </c>
      <c r="I15" s="40"/>
      <c r="J15" s="40"/>
    </row>
    <row r="16" spans="2:10" x14ac:dyDescent="0.35">
      <c r="B16" s="41" t="s">
        <v>114</v>
      </c>
      <c r="C16" s="41" t="s">
        <v>44</v>
      </c>
      <c r="D16" s="41">
        <f>D8*D15</f>
        <v>134413.44134413442</v>
      </c>
      <c r="E16" t="s">
        <v>115</v>
      </c>
      <c r="H16" s="41" t="s">
        <v>64</v>
      </c>
      <c r="I16" s="41" t="s">
        <v>44</v>
      </c>
      <c r="J16" s="41">
        <f>D7/J4</f>
        <v>73684.210526315786</v>
      </c>
    </row>
    <row r="17" spans="2:11" x14ac:dyDescent="0.35">
      <c r="B17" s="41" t="s">
        <v>116</v>
      </c>
      <c r="C17" s="41" t="s">
        <v>117</v>
      </c>
      <c r="D17" s="41">
        <v>8200</v>
      </c>
      <c r="H17" s="43" t="s">
        <v>65</v>
      </c>
      <c r="I17" s="43" t="s">
        <v>66</v>
      </c>
      <c r="J17" s="43">
        <f>J16/D17</f>
        <v>8.9858793324775341</v>
      </c>
    </row>
    <row r="18" spans="2:11" x14ac:dyDescent="0.35">
      <c r="B18" s="43" t="s">
        <v>118</v>
      </c>
      <c r="C18" s="43" t="s">
        <v>66</v>
      </c>
      <c r="D18" s="43">
        <f>D16/D17</f>
        <v>16.391883090748099</v>
      </c>
    </row>
    <row r="20" spans="2:11" x14ac:dyDescent="0.35">
      <c r="B20" s="27" t="s">
        <v>119</v>
      </c>
      <c r="C20" s="25"/>
      <c r="D20" s="25"/>
      <c r="H20" s="27" t="s">
        <v>68</v>
      </c>
      <c r="I20" s="25"/>
      <c r="J20" s="25"/>
      <c r="K20" t="s">
        <v>67</v>
      </c>
    </row>
    <row r="21" spans="2:11" x14ac:dyDescent="0.35">
      <c r="B21" s="26" t="s">
        <v>120</v>
      </c>
      <c r="C21" s="26" t="s">
        <v>60</v>
      </c>
      <c r="D21" s="26">
        <f>D9+(D11*D18)</f>
        <v>1150327.626997733</v>
      </c>
      <c r="H21" s="28" t="s">
        <v>120</v>
      </c>
      <c r="I21" s="26" t="s">
        <v>60</v>
      </c>
      <c r="J21" s="26">
        <f>J5+(J7*J17)</f>
        <v>1008838.9053226917</v>
      </c>
    </row>
    <row r="22" spans="2:11" x14ac:dyDescent="0.35">
      <c r="B22" s="26" t="s">
        <v>70</v>
      </c>
      <c r="C22" s="26" t="s">
        <v>66</v>
      </c>
      <c r="D22" s="26">
        <f>D18</f>
        <v>16.391883090748099</v>
      </c>
      <c r="H22" s="26" t="s">
        <v>70</v>
      </c>
      <c r="I22" s="26" t="s">
        <v>66</v>
      </c>
      <c r="J22" s="26">
        <f>J17</f>
        <v>8.9858793324775341</v>
      </c>
    </row>
    <row r="23" spans="2:11" x14ac:dyDescent="0.35">
      <c r="B23" s="26" t="s">
        <v>72</v>
      </c>
      <c r="C23" s="26" t="s">
        <v>73</v>
      </c>
      <c r="D23" s="26">
        <f>D21*D22</f>
        <v>18856035.977804527</v>
      </c>
      <c r="H23" s="26" t="s">
        <v>72</v>
      </c>
      <c r="I23" s="26" t="s">
        <v>73</v>
      </c>
      <c r="J23" s="26">
        <f>J21*J22</f>
        <v>9065304.6691384353</v>
      </c>
      <c r="K23" t="s">
        <v>71</v>
      </c>
    </row>
    <row r="24" spans="2:11" x14ac:dyDescent="0.35">
      <c r="B24" s="28" t="s">
        <v>74</v>
      </c>
      <c r="C24" s="26" t="s">
        <v>73</v>
      </c>
      <c r="D24" s="26">
        <f>D23*0.3</f>
        <v>5656810.7933413582</v>
      </c>
      <c r="E24" t="s">
        <v>109</v>
      </c>
      <c r="H24" s="26" t="s">
        <v>74</v>
      </c>
      <c r="I24" s="26" t="s">
        <v>73</v>
      </c>
      <c r="J24" s="26">
        <f>J23*0.3</f>
        <v>2719591.4007415306</v>
      </c>
    </row>
    <row r="25" spans="2:11" x14ac:dyDescent="0.35">
      <c r="B25" s="26" t="s">
        <v>8</v>
      </c>
      <c r="C25" s="26" t="s">
        <v>73</v>
      </c>
      <c r="D25" s="26"/>
      <c r="E25" s="4"/>
      <c r="H25" s="26" t="s">
        <v>8</v>
      </c>
      <c r="I25" s="26" t="s">
        <v>73</v>
      </c>
      <c r="J25" s="26"/>
    </row>
    <row r="26" spans="2:11" x14ac:dyDescent="0.35">
      <c r="B26" s="36" t="s">
        <v>121</v>
      </c>
      <c r="C26" s="36" t="s">
        <v>73</v>
      </c>
      <c r="D26" s="36">
        <f>D23+D24</f>
        <v>24512846.771145884</v>
      </c>
      <c r="E26" s="5"/>
      <c r="H26" s="36" t="s">
        <v>122</v>
      </c>
      <c r="I26" s="36" t="s">
        <v>73</v>
      </c>
      <c r="J26" s="36">
        <f>J23+J24</f>
        <v>11784896.069879966</v>
      </c>
    </row>
    <row r="27" spans="2:11" x14ac:dyDescent="0.35">
      <c r="E27" s="6"/>
    </row>
    <row r="28" spans="2:11" x14ac:dyDescent="0.35">
      <c r="B28" s="29" t="s">
        <v>123</v>
      </c>
      <c r="C28" s="30"/>
      <c r="D28" s="30"/>
      <c r="E28" s="7"/>
      <c r="H28" s="29" t="s">
        <v>77</v>
      </c>
      <c r="I28" s="30"/>
      <c r="J28" s="30"/>
      <c r="K28" t="s">
        <v>124</v>
      </c>
    </row>
    <row r="29" spans="2:11" ht="29" customHeight="1" x14ac:dyDescent="0.35">
      <c r="B29" s="34" t="s">
        <v>78</v>
      </c>
      <c r="C29" s="37" t="s">
        <v>60</v>
      </c>
      <c r="D29" s="37">
        <v>35000</v>
      </c>
      <c r="E29" s="7"/>
      <c r="H29" s="34" t="s">
        <v>125</v>
      </c>
      <c r="I29" s="37" t="s">
        <v>60</v>
      </c>
      <c r="J29" s="37">
        <v>23000</v>
      </c>
    </row>
    <row r="30" spans="2:11" ht="17.149999999999999" customHeight="1" x14ac:dyDescent="0.35">
      <c r="B30" s="31"/>
      <c r="C30" s="38" t="s">
        <v>52</v>
      </c>
      <c r="D30" s="38">
        <f>D29*D22</f>
        <v>573715.90817618347</v>
      </c>
      <c r="E30" s="14" t="s">
        <v>109</v>
      </c>
      <c r="F30" s="14"/>
      <c r="G30" s="14"/>
      <c r="H30" s="31"/>
      <c r="I30" s="38" t="s">
        <v>52</v>
      </c>
      <c r="J30" s="38">
        <f>J29*J22</f>
        <v>206675.22464698329</v>
      </c>
    </row>
    <row r="31" spans="2:11" x14ac:dyDescent="0.35">
      <c r="B31" s="35" t="s">
        <v>87</v>
      </c>
      <c r="C31" s="32"/>
      <c r="D31" s="32"/>
      <c r="E31" s="14"/>
      <c r="F31" s="14"/>
      <c r="G31" s="14"/>
      <c r="H31" s="35" t="s">
        <v>87</v>
      </c>
      <c r="I31" s="32"/>
      <c r="J31" s="32"/>
      <c r="K31" t="s">
        <v>83</v>
      </c>
    </row>
    <row r="32" spans="2:11" x14ac:dyDescent="0.35">
      <c r="B32" s="32" t="s">
        <v>85</v>
      </c>
      <c r="C32" s="32" t="s">
        <v>49</v>
      </c>
      <c r="D32" s="32">
        <v>65</v>
      </c>
      <c r="H32" s="32" t="s">
        <v>85</v>
      </c>
      <c r="I32" s="32" t="s">
        <v>49</v>
      </c>
      <c r="J32" s="32">
        <v>65</v>
      </c>
      <c r="K32" t="s">
        <v>126</v>
      </c>
    </row>
    <row r="33" spans="2:11" ht="15" customHeight="1" x14ac:dyDescent="0.35">
      <c r="B33" s="37" t="s">
        <v>86</v>
      </c>
      <c r="C33" s="37" t="s">
        <v>127</v>
      </c>
      <c r="D33" s="37">
        <f>D15</f>
        <v>64</v>
      </c>
      <c r="E33" t="s">
        <v>83</v>
      </c>
      <c r="H33" s="31" t="s">
        <v>128</v>
      </c>
      <c r="I33" s="37" t="s">
        <v>44</v>
      </c>
      <c r="J33" s="37">
        <f>D7*0.01</f>
        <v>700</v>
      </c>
    </row>
    <row r="34" spans="2:11" ht="17.5" customHeight="1" x14ac:dyDescent="0.35">
      <c r="B34" s="32" t="s">
        <v>129</v>
      </c>
      <c r="C34" s="32" t="s">
        <v>130</v>
      </c>
      <c r="D34" s="32">
        <f>D8</f>
        <v>2100.2100210021003</v>
      </c>
      <c r="E34" s="14"/>
      <c r="F34" s="14"/>
      <c r="G34" s="14"/>
      <c r="H34" s="32" t="s">
        <v>131</v>
      </c>
      <c r="I34" s="35" t="s">
        <v>52</v>
      </c>
      <c r="J34" s="35">
        <f>J33*J32</f>
        <v>45500</v>
      </c>
    </row>
    <row r="35" spans="2:11" ht="17.5" customHeight="1" x14ac:dyDescent="0.35">
      <c r="B35" s="32" t="s">
        <v>131</v>
      </c>
      <c r="C35" s="35" t="s">
        <v>52</v>
      </c>
      <c r="D35" s="35">
        <f>D32*D33*D34</f>
        <v>8736873.6873687375</v>
      </c>
      <c r="F35" s="14"/>
      <c r="G35" s="14"/>
      <c r="I35" s="9"/>
      <c r="J35" s="9"/>
    </row>
    <row r="36" spans="2:11" x14ac:dyDescent="0.35">
      <c r="B36" s="35" t="s">
        <v>132</v>
      </c>
      <c r="C36" s="35" t="s">
        <v>73</v>
      </c>
      <c r="D36" s="35">
        <f>IF('User Guide'!B6="ON", -3*1000*D8*D6, 0)</f>
        <v>-126012601.26012602</v>
      </c>
      <c r="E36" s="14" t="s">
        <v>133</v>
      </c>
    </row>
    <row r="38" spans="2:11" x14ac:dyDescent="0.35">
      <c r="B38" s="49" t="s">
        <v>88</v>
      </c>
      <c r="C38" s="49" t="s">
        <v>89</v>
      </c>
      <c r="H38" s="49" t="s">
        <v>88</v>
      </c>
      <c r="I38" s="93" t="s">
        <v>89</v>
      </c>
      <c r="J38" s="101"/>
    </row>
    <row r="39" spans="2:11" x14ac:dyDescent="0.35">
      <c r="B39" s="48" t="s">
        <v>90</v>
      </c>
      <c r="C39" s="48">
        <f>D26</f>
        <v>24512846.771145884</v>
      </c>
      <c r="H39" s="48" t="s">
        <v>90</v>
      </c>
      <c r="I39" s="94">
        <f>J26</f>
        <v>11784896.069879966</v>
      </c>
      <c r="J39" s="102"/>
    </row>
    <row r="40" spans="2:11" x14ac:dyDescent="0.35">
      <c r="B40" s="48" t="s">
        <v>91</v>
      </c>
      <c r="C40" s="48">
        <f>D30*D6</f>
        <v>11474318.16352367</v>
      </c>
      <c r="H40" s="48" t="s">
        <v>91</v>
      </c>
      <c r="I40" s="94">
        <f>J30*D6</f>
        <v>4133504.4929396659</v>
      </c>
      <c r="J40" s="102"/>
    </row>
    <row r="41" spans="2:11" x14ac:dyDescent="0.35">
      <c r="B41" s="48" t="s">
        <v>134</v>
      </c>
      <c r="C41" s="48">
        <f>D35*D6</f>
        <v>174737473.74737474</v>
      </c>
      <c r="H41" s="48" t="s">
        <v>134</v>
      </c>
      <c r="I41" s="94">
        <f>J34*D6</f>
        <v>910000</v>
      </c>
      <c r="J41" s="102"/>
    </row>
    <row r="42" spans="2:11" x14ac:dyDescent="0.35">
      <c r="B42" s="48" t="s">
        <v>8</v>
      </c>
      <c r="C42" s="48">
        <f>D36</f>
        <v>-126012601.26012602</v>
      </c>
      <c r="H42" s="48" t="s">
        <v>135</v>
      </c>
      <c r="I42" s="94">
        <f>SUM(I39:I41)</f>
        <v>16828400.56281963</v>
      </c>
      <c r="J42" s="102"/>
    </row>
    <row r="43" spans="2:11" x14ac:dyDescent="0.35">
      <c r="B43" s="48" t="s">
        <v>93</v>
      </c>
      <c r="C43" s="48">
        <f>SUM(C39:C42)</f>
        <v>84712037.421918273</v>
      </c>
      <c r="H43" s="122" t="s">
        <v>136</v>
      </c>
      <c r="I43" s="123">
        <f>I42+C43</f>
        <v>101540437.9847379</v>
      </c>
      <c r="J43" s="102"/>
      <c r="K43" t="s">
        <v>137</v>
      </c>
    </row>
    <row r="44" spans="2:11" x14ac:dyDescent="0.35">
      <c r="H44" s="48" t="s">
        <v>138</v>
      </c>
      <c r="I44" s="103">
        <f>I40+I41+(4.56*1000*D6*D8)</f>
        <v>196582658.40833122</v>
      </c>
      <c r="J44" s="102"/>
    </row>
    <row r="45" spans="2:11" x14ac:dyDescent="0.35">
      <c r="H45" s="122" t="s">
        <v>139</v>
      </c>
      <c r="I45" s="124">
        <f>I42+(4.56*D8*1000*D6)</f>
        <v>208367554.47821116</v>
      </c>
      <c r="J45" s="102"/>
    </row>
    <row r="46" spans="2:11" x14ac:dyDescent="0.35">
      <c r="I46" s="105"/>
    </row>
    <row r="47" spans="2:11" x14ac:dyDescent="0.35">
      <c r="B47" s="50" t="s">
        <v>94</v>
      </c>
      <c r="C47" s="50" t="s">
        <v>89</v>
      </c>
      <c r="D47" s="9"/>
      <c r="H47" s="50" t="s">
        <v>94</v>
      </c>
      <c r="I47" s="104" t="s">
        <v>89</v>
      </c>
      <c r="J47" s="101"/>
    </row>
    <row r="48" spans="2:11" x14ac:dyDescent="0.35">
      <c r="B48" s="51" t="s">
        <v>140</v>
      </c>
      <c r="C48" s="51">
        <f>D8*D6</f>
        <v>42004.200420042005</v>
      </c>
      <c r="H48" s="51" t="s">
        <v>95</v>
      </c>
      <c r="I48" s="95">
        <f>D7*D6</f>
        <v>1400000</v>
      </c>
      <c r="J48" s="102"/>
    </row>
    <row r="50" spans="2:10" x14ac:dyDescent="0.35">
      <c r="B50" s="53" t="s">
        <v>141</v>
      </c>
      <c r="C50" s="53" t="s">
        <v>80</v>
      </c>
      <c r="D50" s="53">
        <f>C43/C48</f>
        <v>2016.75157662324</v>
      </c>
      <c r="H50" s="53" t="s">
        <v>142</v>
      </c>
      <c r="I50" s="53" t="s">
        <v>49</v>
      </c>
      <c r="J50" s="53">
        <f>I43/I48</f>
        <v>72.528884274812782</v>
      </c>
    </row>
    <row r="51" spans="2:10" x14ac:dyDescent="0.35">
      <c r="B51" s="53"/>
      <c r="C51" s="53" t="s">
        <v>143</v>
      </c>
      <c r="D51" s="53">
        <f>D50/1000</f>
        <v>2.01675157662324</v>
      </c>
      <c r="H51" s="54" t="s">
        <v>144</v>
      </c>
      <c r="I51" s="53" t="s">
        <v>49</v>
      </c>
      <c r="J51" s="53">
        <f>I45/I48</f>
        <v>148.83396748443656</v>
      </c>
    </row>
    <row r="54" spans="2:10" x14ac:dyDescent="0.35">
      <c r="H54" s="106" t="s">
        <v>145</v>
      </c>
      <c r="I54" s="106" t="s">
        <v>146</v>
      </c>
      <c r="J54" s="106">
        <f>'Natural Gas Boiler'!D8</f>
        <v>14140</v>
      </c>
    </row>
    <row r="55" spans="2:10" ht="29" customHeight="1" x14ac:dyDescent="0.35">
      <c r="B55" s="149" t="s">
        <v>147</v>
      </c>
      <c r="C55" s="150"/>
      <c r="D55" s="150"/>
      <c r="H55" s="107" t="s">
        <v>148</v>
      </c>
      <c r="I55" s="108" t="s">
        <v>149</v>
      </c>
      <c r="J55" s="108">
        <v>0.20200000000000001</v>
      </c>
    </row>
    <row r="56" spans="2:10" ht="14.5" customHeight="1" x14ac:dyDescent="0.35">
      <c r="B56" s="150"/>
      <c r="C56" s="150"/>
      <c r="D56" s="150"/>
      <c r="H56" s="108" t="s">
        <v>150</v>
      </c>
      <c r="I56" s="108" t="s">
        <v>151</v>
      </c>
      <c r="J56" s="108">
        <f>'Natural Gas Boiler'!D51</f>
        <v>67.888603174800835</v>
      </c>
    </row>
    <row r="57" spans="2:10" ht="14.5" customHeight="1" x14ac:dyDescent="0.35">
      <c r="B57" s="150"/>
      <c r="C57" s="150"/>
      <c r="D57" s="150"/>
      <c r="H57" s="109" t="s">
        <v>152</v>
      </c>
      <c r="I57" s="109" t="s">
        <v>153</v>
      </c>
      <c r="J57" s="109">
        <f>(J51-J56)/(J8-J55)</f>
        <v>-400.71962529522631</v>
      </c>
    </row>
    <row r="58" spans="2:10" ht="14.5" customHeight="1" x14ac:dyDescent="0.35">
      <c r="B58" s="150"/>
      <c r="C58" s="150"/>
      <c r="D58" s="150"/>
      <c r="H58" s="109" t="s">
        <v>154</v>
      </c>
      <c r="I58" s="109" t="s">
        <v>155</v>
      </c>
      <c r="J58" s="109">
        <f>(J50-J56)/(J8-J55)</f>
        <v>-22.971688613920527</v>
      </c>
    </row>
    <row r="59" spans="2:10" ht="14.5" customHeight="1" x14ac:dyDescent="0.35">
      <c r="B59" s="150"/>
      <c r="C59" s="150"/>
      <c r="D59" s="150"/>
    </row>
    <row r="60" spans="2:10" ht="14.5" customHeight="1" x14ac:dyDescent="0.35">
      <c r="B60" s="150"/>
      <c r="C60" s="150"/>
      <c r="D60" s="150"/>
    </row>
    <row r="61" spans="2:10" ht="14.5" customHeight="1" x14ac:dyDescent="0.35">
      <c r="B61" s="150"/>
      <c r="C61" s="150"/>
      <c r="D61" s="150"/>
    </row>
    <row r="62" spans="2:10" x14ac:dyDescent="0.35">
      <c r="B62" s="150"/>
      <c r="C62" s="150"/>
      <c r="D62" s="150"/>
    </row>
    <row r="63" spans="2:10" x14ac:dyDescent="0.35">
      <c r="B63" s="150"/>
      <c r="C63" s="150"/>
      <c r="D63" s="150"/>
    </row>
    <row r="64" spans="2:10" x14ac:dyDescent="0.35">
      <c r="B64" s="5"/>
    </row>
    <row r="65" spans="2:2" x14ac:dyDescent="0.35">
      <c r="B65" s="5"/>
    </row>
    <row r="66" spans="2:2" x14ac:dyDescent="0.35">
      <c r="B66" s="5"/>
    </row>
    <row r="67" spans="2:2" x14ac:dyDescent="0.35">
      <c r="B67" s="5"/>
    </row>
    <row r="68" spans="2:2" x14ac:dyDescent="0.35">
      <c r="B68" s="5"/>
    </row>
    <row r="69" spans="2:2" x14ac:dyDescent="0.35">
      <c r="B69" s="5"/>
    </row>
  </sheetData>
  <mergeCells count="3">
    <mergeCell ref="B55:D63"/>
    <mergeCell ref="B2:D2"/>
    <mergeCell ref="H2:J2"/>
  </mergeCells>
  <pageMargins left="0.7" right="0.7" top="0.75" bottom="0.75" header="0.3" footer="0.3"/>
  <headerFooter>
    <oddHeader>&amp;R&amp;"Calibri"&amp;1 &amp;KFF8C00 CONFIDENTIAL#_x000D_</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4:I89"/>
  <sheetViews>
    <sheetView zoomScale="56" zoomScaleNormal="85" workbookViewId="0">
      <selection activeCell="H40" sqref="H40"/>
    </sheetView>
  </sheetViews>
  <sheetFormatPr defaultColWidth="8.81640625" defaultRowHeight="14.5" x14ac:dyDescent="0.35"/>
  <cols>
    <col min="2" max="2" width="32.1796875" bestFit="1" customWidth="1"/>
    <col min="3" max="3" width="12.26953125" bestFit="1" customWidth="1"/>
    <col min="4" max="4" width="12.453125" bestFit="1" customWidth="1"/>
    <col min="5" max="5" width="28.1796875" bestFit="1" customWidth="1"/>
    <col min="6" max="6" width="32.1796875" bestFit="1" customWidth="1"/>
    <col min="7" max="7" width="12.26953125" bestFit="1" customWidth="1"/>
    <col min="8" max="8" width="12.453125" bestFit="1" customWidth="1"/>
    <col min="9" max="9" width="28.1796875" bestFit="1" customWidth="1"/>
  </cols>
  <sheetData>
    <row r="4" spans="2:9" ht="16" customHeight="1" x14ac:dyDescent="0.4">
      <c r="B4" s="146" t="s">
        <v>156</v>
      </c>
      <c r="C4" s="147"/>
      <c r="D4" s="148"/>
      <c r="F4" s="146" t="s">
        <v>157</v>
      </c>
      <c r="G4" s="147"/>
      <c r="H4" s="148"/>
    </row>
    <row r="6" spans="2:9" x14ac:dyDescent="0.35">
      <c r="B6" s="44" t="s">
        <v>158</v>
      </c>
      <c r="C6" s="44" t="s">
        <v>38</v>
      </c>
      <c r="D6" s="44">
        <v>5</v>
      </c>
      <c r="E6" t="s">
        <v>159</v>
      </c>
      <c r="F6" s="44" t="s">
        <v>158</v>
      </c>
      <c r="G6" s="44" t="s">
        <v>38</v>
      </c>
      <c r="H6" s="44">
        <v>5</v>
      </c>
      <c r="I6" t="s">
        <v>159</v>
      </c>
    </row>
    <row r="7" spans="2:9" x14ac:dyDescent="0.35">
      <c r="B7" s="44" t="s">
        <v>39</v>
      </c>
      <c r="C7" s="44"/>
      <c r="D7" s="45">
        <v>0.8</v>
      </c>
      <c r="F7" s="44" t="s">
        <v>160</v>
      </c>
      <c r="G7" s="44" t="s">
        <v>38</v>
      </c>
      <c r="H7" s="44">
        <v>1.7</v>
      </c>
    </row>
    <row r="8" spans="2:9" x14ac:dyDescent="0.35">
      <c r="B8" s="44" t="s">
        <v>107</v>
      </c>
      <c r="C8" s="44" t="s">
        <v>41</v>
      </c>
      <c r="D8" s="44">
        <v>3.6999999999999998E-2</v>
      </c>
      <c r="F8" s="44" t="s">
        <v>39</v>
      </c>
      <c r="G8" s="44"/>
      <c r="H8" s="45">
        <v>0.8</v>
      </c>
    </row>
    <row r="9" spans="2:9" x14ac:dyDescent="0.35">
      <c r="B9" s="44" t="s">
        <v>43</v>
      </c>
      <c r="C9" s="44" t="s">
        <v>44</v>
      </c>
      <c r="D9" s="46">
        <f>'User Guide'!B3</f>
        <v>70000</v>
      </c>
      <c r="E9" t="s">
        <v>42</v>
      </c>
      <c r="F9" s="44" t="s">
        <v>107</v>
      </c>
      <c r="G9" s="44" t="s">
        <v>41</v>
      </c>
      <c r="H9" s="44">
        <v>3.6999999999999998E-2</v>
      </c>
      <c r="I9" t="s">
        <v>42</v>
      </c>
    </row>
    <row r="10" spans="2:9" x14ac:dyDescent="0.35">
      <c r="B10" s="44" t="s">
        <v>45</v>
      </c>
      <c r="C10" s="44" t="s">
        <v>46</v>
      </c>
      <c r="D10" s="44">
        <f>D8*D9</f>
        <v>2590</v>
      </c>
      <c r="F10" s="44" t="s">
        <v>43</v>
      </c>
      <c r="G10" s="44" t="s">
        <v>44</v>
      </c>
      <c r="H10" s="46">
        <f>'User Guide'!B3</f>
        <v>70000</v>
      </c>
    </row>
    <row r="11" spans="2:9" x14ac:dyDescent="0.35">
      <c r="B11" s="44" t="s">
        <v>53</v>
      </c>
      <c r="C11" s="44" t="s">
        <v>54</v>
      </c>
      <c r="D11" s="44">
        <v>10</v>
      </c>
      <c r="F11" s="44" t="s">
        <v>45</v>
      </c>
      <c r="G11" s="44" t="s">
        <v>46</v>
      </c>
      <c r="H11" s="44">
        <f>H9*H10</f>
        <v>2590</v>
      </c>
    </row>
    <row r="12" spans="2:9" x14ac:dyDescent="0.35">
      <c r="B12" s="44" t="s">
        <v>55</v>
      </c>
      <c r="C12" s="44" t="s">
        <v>56</v>
      </c>
      <c r="D12" s="44">
        <v>20</v>
      </c>
      <c r="F12" s="44" t="s">
        <v>53</v>
      </c>
      <c r="G12" s="44" t="s">
        <v>54</v>
      </c>
      <c r="H12" s="44">
        <v>10</v>
      </c>
      <c r="I12" t="s">
        <v>161</v>
      </c>
    </row>
    <row r="13" spans="2:9" x14ac:dyDescent="0.35">
      <c r="B13" s="44" t="s">
        <v>57</v>
      </c>
      <c r="C13" s="44" t="s">
        <v>58</v>
      </c>
      <c r="D13" s="44">
        <v>8200</v>
      </c>
      <c r="F13" s="44" t="s">
        <v>55</v>
      </c>
      <c r="G13" s="44" t="s">
        <v>56</v>
      </c>
      <c r="H13" s="44">
        <v>20</v>
      </c>
    </row>
    <row r="14" spans="2:9" x14ac:dyDescent="0.35">
      <c r="B14" s="44" t="s">
        <v>59</v>
      </c>
      <c r="C14" s="44" t="s">
        <v>60</v>
      </c>
      <c r="D14" s="44">
        <v>3500000</v>
      </c>
      <c r="F14" s="44" t="s">
        <v>57</v>
      </c>
      <c r="G14" s="44" t="s">
        <v>58</v>
      </c>
      <c r="H14" s="44">
        <v>8200</v>
      </c>
    </row>
    <row r="15" spans="2:9" x14ac:dyDescent="0.35">
      <c r="B15" s="44" t="s">
        <v>103</v>
      </c>
      <c r="C15" s="44" t="s">
        <v>60</v>
      </c>
      <c r="D15" s="44">
        <v>2500000</v>
      </c>
      <c r="F15" s="44" t="s">
        <v>59</v>
      </c>
      <c r="G15" s="44" t="s">
        <v>60</v>
      </c>
      <c r="H15" s="44">
        <v>3500000</v>
      </c>
    </row>
    <row r="16" spans="2:9" x14ac:dyDescent="0.35">
      <c r="B16" s="44" t="s">
        <v>62</v>
      </c>
      <c r="C16" s="44"/>
      <c r="D16" s="44">
        <f>(D15-D14)/(70-1)</f>
        <v>-14492.753623188406</v>
      </c>
      <c r="F16" s="44" t="s">
        <v>103</v>
      </c>
      <c r="G16" s="44" t="s">
        <v>60</v>
      </c>
      <c r="H16" s="44">
        <v>2500000</v>
      </c>
      <c r="I16" t="s">
        <v>162</v>
      </c>
    </row>
    <row r="17" spans="2:9" x14ac:dyDescent="0.35">
      <c r="B17" s="9"/>
      <c r="C17" s="9"/>
      <c r="D17" s="9"/>
      <c r="F17" s="44" t="s">
        <v>62</v>
      </c>
      <c r="G17" s="44"/>
      <c r="H17" s="44">
        <f>(H16-H15)/(70-1)</f>
        <v>-14492.753623188406</v>
      </c>
      <c r="I17" t="s">
        <v>163</v>
      </c>
    </row>
    <row r="18" spans="2:9" x14ac:dyDescent="0.35">
      <c r="B18" s="9"/>
      <c r="C18" s="9"/>
      <c r="D18" s="9"/>
    </row>
    <row r="19" spans="2:9" x14ac:dyDescent="0.35">
      <c r="B19" s="119" t="s">
        <v>164</v>
      </c>
      <c r="C19" s="119" t="s">
        <v>44</v>
      </c>
      <c r="D19" s="119">
        <f>D9/D7</f>
        <v>87500</v>
      </c>
      <c r="E19" t="s">
        <v>161</v>
      </c>
      <c r="F19" s="119" t="s">
        <v>164</v>
      </c>
      <c r="G19" s="118" t="s">
        <v>44</v>
      </c>
      <c r="H19" s="118">
        <f>H10/H8</f>
        <v>87500</v>
      </c>
    </row>
    <row r="20" spans="2:9" x14ac:dyDescent="0.35">
      <c r="B20" s="121" t="s">
        <v>165</v>
      </c>
      <c r="C20" s="121" t="s">
        <v>106</v>
      </c>
      <c r="D20" s="121">
        <f>D19/D6</f>
        <v>17500</v>
      </c>
      <c r="F20" s="116" t="s">
        <v>166</v>
      </c>
      <c r="G20" s="116" t="s">
        <v>106</v>
      </c>
      <c r="H20" s="116">
        <f>H19/H6</f>
        <v>17500</v>
      </c>
    </row>
    <row r="21" spans="2:9" x14ac:dyDescent="0.35">
      <c r="B21" s="120" t="s">
        <v>167</v>
      </c>
      <c r="C21" s="121" t="s">
        <v>80</v>
      </c>
      <c r="D21" s="121">
        <v>90</v>
      </c>
      <c r="F21" s="116" t="s">
        <v>168</v>
      </c>
      <c r="G21" s="116" t="s">
        <v>106</v>
      </c>
      <c r="H21" s="116">
        <f>H20*0.2</f>
        <v>3500</v>
      </c>
    </row>
    <row r="22" spans="2:9" x14ac:dyDescent="0.35">
      <c r="B22" s="120" t="s">
        <v>51</v>
      </c>
      <c r="C22" s="121" t="s">
        <v>52</v>
      </c>
      <c r="D22" s="121">
        <f>D20*D21</f>
        <v>1575000</v>
      </c>
      <c r="F22" s="117" t="s">
        <v>169</v>
      </c>
      <c r="G22" s="116" t="s">
        <v>106</v>
      </c>
      <c r="H22" s="116">
        <f>H21*H6/H7</f>
        <v>10294.117647058823</v>
      </c>
      <c r="I22" t="s">
        <v>170</v>
      </c>
    </row>
    <row r="23" spans="2:9" x14ac:dyDescent="0.35">
      <c r="B23" s="9"/>
      <c r="C23" s="9"/>
      <c r="D23" s="9"/>
      <c r="F23" s="117" t="s">
        <v>171</v>
      </c>
      <c r="G23" s="116" t="s">
        <v>106</v>
      </c>
      <c r="H23" s="116">
        <f>'User Guide'!B5</f>
        <v>20000</v>
      </c>
    </row>
    <row r="24" spans="2:9" x14ac:dyDescent="0.35">
      <c r="B24" s="9"/>
      <c r="C24" s="9"/>
      <c r="D24" s="9"/>
      <c r="F24" s="117" t="s">
        <v>172</v>
      </c>
      <c r="G24" s="116" t="s">
        <v>106</v>
      </c>
      <c r="H24" s="116">
        <f>IF(H23-H22&gt;0, H23-H22, 0)</f>
        <v>9705.8823529411766</v>
      </c>
      <c r="I24" t="s">
        <v>173</v>
      </c>
    </row>
    <row r="25" spans="2:9" x14ac:dyDescent="0.35">
      <c r="B25" s="9"/>
      <c r="C25" s="9"/>
      <c r="D25" s="9"/>
      <c r="F25" s="117" t="s">
        <v>174</v>
      </c>
      <c r="G25" s="116" t="s">
        <v>80</v>
      </c>
      <c r="H25" s="116">
        <v>30</v>
      </c>
    </row>
    <row r="26" spans="2:9" x14ac:dyDescent="0.35">
      <c r="B26" s="9"/>
      <c r="C26" s="9"/>
      <c r="D26" s="9"/>
      <c r="F26" s="117" t="s">
        <v>175</v>
      </c>
      <c r="G26" s="116" t="s">
        <v>106</v>
      </c>
      <c r="H26" s="116">
        <f>H20-H21</f>
        <v>14000</v>
      </c>
    </row>
    <row r="27" spans="2:9" x14ac:dyDescent="0.35">
      <c r="B27" s="9"/>
      <c r="C27" s="9"/>
      <c r="D27" s="9"/>
      <c r="F27" s="117" t="s">
        <v>176</v>
      </c>
      <c r="G27" s="116" t="s">
        <v>80</v>
      </c>
      <c r="H27" s="116">
        <v>90</v>
      </c>
    </row>
    <row r="28" spans="2:9" x14ac:dyDescent="0.35">
      <c r="B28" s="9"/>
      <c r="C28" s="9"/>
      <c r="D28" s="9"/>
      <c r="F28" s="120" t="s">
        <v>177</v>
      </c>
      <c r="G28" s="121" t="s">
        <v>52</v>
      </c>
      <c r="H28" s="121">
        <f>H24*H25+H26*H27</f>
        <v>1551176.4705882352</v>
      </c>
    </row>
    <row r="29" spans="2:9" x14ac:dyDescent="0.35">
      <c r="B29" s="9"/>
      <c r="C29" s="9"/>
      <c r="D29" s="9"/>
    </row>
    <row r="30" spans="2:9" x14ac:dyDescent="0.35">
      <c r="B30" s="39" t="s">
        <v>113</v>
      </c>
      <c r="C30" s="40"/>
      <c r="D30" s="40"/>
      <c r="F30" s="39" t="s">
        <v>113</v>
      </c>
      <c r="G30" s="40"/>
      <c r="H30" s="40"/>
    </row>
    <row r="31" spans="2:9" x14ac:dyDescent="0.35">
      <c r="B31" s="41" t="s">
        <v>64</v>
      </c>
      <c r="C31" s="41" t="s">
        <v>44</v>
      </c>
      <c r="D31" s="41">
        <f>D19</f>
        <v>87500</v>
      </c>
      <c r="E31" t="s">
        <v>178</v>
      </c>
      <c r="F31" s="41" t="s">
        <v>64</v>
      </c>
      <c r="G31" s="41" t="s">
        <v>44</v>
      </c>
      <c r="H31" s="41">
        <f>H19</f>
        <v>87500</v>
      </c>
    </row>
    <row r="32" spans="2:9" x14ac:dyDescent="0.35">
      <c r="B32" s="41" t="s">
        <v>65</v>
      </c>
      <c r="C32" s="41" t="s">
        <v>66</v>
      </c>
      <c r="D32" s="41">
        <f>D31/D13</f>
        <v>10.670731707317072</v>
      </c>
      <c r="F32" s="41" t="s">
        <v>65</v>
      </c>
      <c r="G32" s="41" t="s">
        <v>66</v>
      </c>
      <c r="H32" s="41">
        <f>H31/H14</f>
        <v>10.670731707317072</v>
      </c>
    </row>
    <row r="33" spans="2:9" x14ac:dyDescent="0.35">
      <c r="D33" s="1"/>
      <c r="H33" s="1"/>
      <c r="I33" t="s">
        <v>178</v>
      </c>
    </row>
    <row r="35" spans="2:9" x14ac:dyDescent="0.35">
      <c r="B35" s="27" t="s">
        <v>68</v>
      </c>
      <c r="C35" s="25"/>
      <c r="D35" s="25"/>
      <c r="F35" s="27" t="s">
        <v>68</v>
      </c>
      <c r="G35" s="27"/>
      <c r="H35" s="27"/>
    </row>
    <row r="36" spans="2:9" x14ac:dyDescent="0.35">
      <c r="B36" s="26" t="s">
        <v>69</v>
      </c>
      <c r="C36" s="26" t="s">
        <v>60</v>
      </c>
      <c r="D36" s="56">
        <f>D14+(D16*D32)</f>
        <v>3345351.714386709</v>
      </c>
      <c r="F36" s="26" t="s">
        <v>69</v>
      </c>
      <c r="G36" s="26" t="s">
        <v>60</v>
      </c>
      <c r="H36" s="56">
        <f>H15+(H17*H32)</f>
        <v>3345351.714386709</v>
      </c>
    </row>
    <row r="37" spans="2:9" x14ac:dyDescent="0.35">
      <c r="B37" s="26" t="s">
        <v>70</v>
      </c>
      <c r="C37" s="26" t="s">
        <v>66</v>
      </c>
      <c r="D37" s="26">
        <f>D32</f>
        <v>10.670731707317072</v>
      </c>
      <c r="F37" s="26" t="s">
        <v>70</v>
      </c>
      <c r="G37" s="26" t="s">
        <v>66</v>
      </c>
      <c r="H37" s="26">
        <f>H32</f>
        <v>10.670731707317072</v>
      </c>
    </row>
    <row r="38" spans="2:9" x14ac:dyDescent="0.35">
      <c r="B38" s="26" t="s">
        <v>72</v>
      </c>
      <c r="C38" s="26" t="s">
        <v>73</v>
      </c>
      <c r="D38" s="26">
        <f>D36*D37</f>
        <v>35697350.610833786</v>
      </c>
      <c r="F38" s="26" t="s">
        <v>72</v>
      </c>
      <c r="G38" s="26" t="s">
        <v>73</v>
      </c>
      <c r="H38" s="26">
        <f>H36*H37</f>
        <v>35697350.610833786</v>
      </c>
    </row>
    <row r="39" spans="2:9" x14ac:dyDescent="0.35">
      <c r="B39" s="26" t="s">
        <v>179</v>
      </c>
      <c r="C39" s="26" t="s">
        <v>73</v>
      </c>
      <c r="D39" s="26">
        <f>D38*0.3</f>
        <v>10709205.183250135</v>
      </c>
      <c r="F39" s="26" t="s">
        <v>179</v>
      </c>
      <c r="G39" s="26" t="s">
        <v>73</v>
      </c>
      <c r="H39" s="26">
        <f>H38*0.3</f>
        <v>10709205.183250135</v>
      </c>
    </row>
    <row r="40" spans="2:9" x14ac:dyDescent="0.35">
      <c r="B40" s="26" t="s">
        <v>8</v>
      </c>
      <c r="C40" s="26" t="s">
        <v>73</v>
      </c>
      <c r="D40" s="26">
        <f>IF('User Guide'!B6="ON", -0.5*D38, 0)</f>
        <v>-17848675.305416893</v>
      </c>
      <c r="E40" t="s">
        <v>180</v>
      </c>
      <c r="F40" s="26" t="s">
        <v>8</v>
      </c>
      <c r="G40" s="26" t="s">
        <v>73</v>
      </c>
      <c r="H40" s="26">
        <f>IF('User Guide'!B6="ON", -0.5*H38, 0)</f>
        <v>-17848675.305416893</v>
      </c>
      <c r="I40" t="s">
        <v>180</v>
      </c>
    </row>
    <row r="41" spans="2:9" x14ac:dyDescent="0.35">
      <c r="B41" s="26" t="s">
        <v>181</v>
      </c>
      <c r="C41" s="26" t="s">
        <v>73</v>
      </c>
      <c r="D41" s="26">
        <f>D38+D39+D40</f>
        <v>28557880.48866703</v>
      </c>
      <c r="F41" s="26" t="s">
        <v>181</v>
      </c>
      <c r="G41" s="26" t="s">
        <v>73</v>
      </c>
      <c r="H41" s="26">
        <f>H38+H39+H40</f>
        <v>28557880.48866703</v>
      </c>
    </row>
    <row r="43" spans="2:9" ht="29" customHeight="1" x14ac:dyDescent="0.35">
      <c r="B43" s="96" t="s">
        <v>182</v>
      </c>
      <c r="C43" s="97"/>
      <c r="D43" s="97"/>
      <c r="F43" s="98" t="s">
        <v>77</v>
      </c>
      <c r="G43" s="97"/>
      <c r="H43" s="97"/>
    </row>
    <row r="44" spans="2:9" ht="29" customHeight="1" x14ac:dyDescent="0.35">
      <c r="B44" s="34" t="s">
        <v>125</v>
      </c>
      <c r="C44" s="35" t="s">
        <v>52</v>
      </c>
      <c r="D44" s="35">
        <f>D41*0.04</f>
        <v>1142315.2195466813</v>
      </c>
      <c r="F44" s="34" t="s">
        <v>78</v>
      </c>
      <c r="G44" s="35" t="s">
        <v>52</v>
      </c>
      <c r="H44" s="35">
        <f>H41*0.04</f>
        <v>1142315.2195466813</v>
      </c>
    </row>
    <row r="45" spans="2:9" x14ac:dyDescent="0.35">
      <c r="B45" s="34" t="s">
        <v>84</v>
      </c>
      <c r="C45" s="35" t="s">
        <v>52</v>
      </c>
      <c r="D45" s="35">
        <f>D20*D21</f>
        <v>1575000</v>
      </c>
      <c r="F45" s="34" t="s">
        <v>84</v>
      </c>
      <c r="G45" s="35" t="s">
        <v>52</v>
      </c>
      <c r="H45" s="35">
        <f>H28</f>
        <v>1551176.4705882352</v>
      </c>
    </row>
    <row r="46" spans="2:9" x14ac:dyDescent="0.35">
      <c r="B46" s="35" t="s">
        <v>87</v>
      </c>
      <c r="C46" s="35"/>
      <c r="D46" s="35"/>
      <c r="F46" s="35" t="s">
        <v>87</v>
      </c>
      <c r="G46" s="35"/>
      <c r="H46" s="35"/>
    </row>
    <row r="47" spans="2:9" x14ac:dyDescent="0.35">
      <c r="B47" s="32" t="s">
        <v>85</v>
      </c>
      <c r="C47" s="32" t="s">
        <v>49</v>
      </c>
      <c r="D47" s="32">
        <v>65</v>
      </c>
      <c r="F47" s="32" t="s">
        <v>85</v>
      </c>
      <c r="G47" s="32" t="s">
        <v>49</v>
      </c>
      <c r="H47" s="32">
        <v>65</v>
      </c>
    </row>
    <row r="48" spans="2:9" x14ac:dyDescent="0.35">
      <c r="B48" s="33" t="s">
        <v>86</v>
      </c>
      <c r="C48" s="32" t="s">
        <v>44</v>
      </c>
      <c r="D48" s="32">
        <f>(D9*D11)/1000</f>
        <v>700</v>
      </c>
      <c r="E48" s="4" t="s">
        <v>71</v>
      </c>
      <c r="F48" s="33" t="s">
        <v>86</v>
      </c>
      <c r="G48" s="32" t="s">
        <v>44</v>
      </c>
      <c r="H48" s="32">
        <f>(H10*H12)/1000</f>
        <v>700</v>
      </c>
      <c r="I48" s="4" t="s">
        <v>71</v>
      </c>
    </row>
    <row r="49" spans="2:9" x14ac:dyDescent="0.35">
      <c r="B49" s="32" t="s">
        <v>131</v>
      </c>
      <c r="C49" s="32" t="s">
        <v>52</v>
      </c>
      <c r="D49" s="35">
        <f>D48*D47</f>
        <v>45500</v>
      </c>
      <c r="F49" s="32" t="s">
        <v>131</v>
      </c>
      <c r="G49" s="32" t="s">
        <v>52</v>
      </c>
      <c r="H49" s="35">
        <f>H48*H47</f>
        <v>45500</v>
      </c>
    </row>
    <row r="51" spans="2:9" x14ac:dyDescent="0.35">
      <c r="B51" s="49" t="s">
        <v>88</v>
      </c>
      <c r="C51" s="49" t="s">
        <v>89</v>
      </c>
      <c r="D51" s="9"/>
      <c r="F51" s="49" t="s">
        <v>88</v>
      </c>
      <c r="G51" s="49" t="s">
        <v>89</v>
      </c>
      <c r="H51" s="9"/>
    </row>
    <row r="52" spans="2:9" s="14" customFormat="1" ht="17.149999999999999" customHeight="1" x14ac:dyDescent="0.35">
      <c r="B52" s="48" t="s">
        <v>90</v>
      </c>
      <c r="C52" s="48">
        <f>D41</f>
        <v>28557880.48866703</v>
      </c>
      <c r="F52" s="48" t="s">
        <v>90</v>
      </c>
      <c r="G52" s="48">
        <f>H41</f>
        <v>28557880.48866703</v>
      </c>
    </row>
    <row r="53" spans="2:9" ht="15.65" customHeight="1" x14ac:dyDescent="0.35">
      <c r="B53" s="48" t="s">
        <v>91</v>
      </c>
      <c r="C53" s="48">
        <f>D44*D12</f>
        <v>22846304.390933625</v>
      </c>
      <c r="E53" t="s">
        <v>183</v>
      </c>
      <c r="F53" s="48" t="s">
        <v>91</v>
      </c>
      <c r="G53" s="48">
        <f>H44*H13</f>
        <v>22846304.390933625</v>
      </c>
      <c r="I53" t="s">
        <v>183</v>
      </c>
    </row>
    <row r="54" spans="2:9" x14ac:dyDescent="0.35">
      <c r="B54" s="48" t="s">
        <v>92</v>
      </c>
      <c r="C54" s="48">
        <f>(D45+D49)*D12</f>
        <v>32410000</v>
      </c>
      <c r="F54" s="48" t="s">
        <v>92</v>
      </c>
      <c r="G54" s="48">
        <f>(H45+H49)*H13</f>
        <v>31933529.411764704</v>
      </c>
    </row>
    <row r="55" spans="2:9" x14ac:dyDescent="0.35">
      <c r="B55" s="48" t="s">
        <v>93</v>
      </c>
      <c r="C55" s="48">
        <f>SUM(C52:C54)</f>
        <v>83814184.879600659</v>
      </c>
      <c r="F55" s="48" t="s">
        <v>93</v>
      </c>
      <c r="G55" s="48">
        <f>SUM(G52:G54)</f>
        <v>83337714.291365355</v>
      </c>
    </row>
    <row r="56" spans="2:9" x14ac:dyDescent="0.35">
      <c r="E56" t="s">
        <v>83</v>
      </c>
      <c r="I56" t="s">
        <v>83</v>
      </c>
    </row>
    <row r="57" spans="2:9" x14ac:dyDescent="0.35">
      <c r="B57" s="50" t="s">
        <v>94</v>
      </c>
      <c r="C57" s="50" t="s">
        <v>89</v>
      </c>
      <c r="D57" s="9"/>
      <c r="F57" s="50" t="s">
        <v>94</v>
      </c>
      <c r="G57" s="50" t="s">
        <v>89</v>
      </c>
      <c r="H57" s="9"/>
    </row>
    <row r="58" spans="2:9" x14ac:dyDescent="0.35">
      <c r="B58" s="51" t="s">
        <v>95</v>
      </c>
      <c r="C58" s="51">
        <f>D9*D12</f>
        <v>1400000</v>
      </c>
      <c r="F58" s="51" t="s">
        <v>95</v>
      </c>
      <c r="G58" s="51">
        <f>H10*H13</f>
        <v>1400000</v>
      </c>
    </row>
    <row r="60" spans="2:9" x14ac:dyDescent="0.35">
      <c r="B60" s="53" t="s">
        <v>184</v>
      </c>
      <c r="C60" s="53" t="s">
        <v>49</v>
      </c>
      <c r="D60" s="53">
        <f>C55/C58</f>
        <v>59.867274914000468</v>
      </c>
      <c r="F60" s="53" t="s">
        <v>184</v>
      </c>
      <c r="G60" s="53" t="s">
        <v>49</v>
      </c>
      <c r="H60" s="53">
        <f>G55/G58</f>
        <v>59.526938779546683</v>
      </c>
    </row>
    <row r="62" spans="2:9" x14ac:dyDescent="0.35">
      <c r="B62" s="106" t="s">
        <v>145</v>
      </c>
      <c r="C62" s="106" t="s">
        <v>146</v>
      </c>
      <c r="D62" s="106">
        <f>'Natural Gas Boiler'!D8-D10</f>
        <v>11550</v>
      </c>
      <c r="F62" s="106" t="s">
        <v>145</v>
      </c>
      <c r="G62" s="106" t="s">
        <v>146</v>
      </c>
      <c r="H62" s="106">
        <f>'Natural Gas Boiler'!D8-H11</f>
        <v>11550</v>
      </c>
    </row>
    <row r="63" spans="2:9" ht="29" customHeight="1" x14ac:dyDescent="0.35">
      <c r="B63" s="107" t="s">
        <v>148</v>
      </c>
      <c r="C63" s="108" t="s">
        <v>149</v>
      </c>
      <c r="D63" s="108">
        <v>0.20200000000000001</v>
      </c>
      <c r="F63" s="107" t="s">
        <v>148</v>
      </c>
      <c r="G63" s="108" t="s">
        <v>149</v>
      </c>
      <c r="H63" s="108">
        <v>0.20200000000000001</v>
      </c>
    </row>
    <row r="64" spans="2:9" x14ac:dyDescent="0.35">
      <c r="B64" s="108" t="s">
        <v>150</v>
      </c>
      <c r="C64" s="108" t="s">
        <v>151</v>
      </c>
      <c r="D64" s="108">
        <f>'Natural Gas Boiler'!D51</f>
        <v>67.888603174800835</v>
      </c>
      <c r="F64" s="108" t="s">
        <v>150</v>
      </c>
      <c r="G64" s="108" t="s">
        <v>151</v>
      </c>
      <c r="H64" s="108">
        <f>'Natural Gas Boiler'!D51</f>
        <v>67.888603174800835</v>
      </c>
    </row>
    <row r="65" spans="2:8" x14ac:dyDescent="0.35">
      <c r="B65" s="109" t="s">
        <v>185</v>
      </c>
      <c r="C65" s="109" t="s">
        <v>153</v>
      </c>
      <c r="D65" s="109">
        <f>(D60-D64)/(D8-D63)</f>
        <v>48.614110671517373</v>
      </c>
      <c r="F65" s="109" t="s">
        <v>185</v>
      </c>
      <c r="G65" s="109" t="s">
        <v>153</v>
      </c>
      <c r="H65" s="109">
        <f>(H60-H64)/(H9-H63)</f>
        <v>50.676753910631227</v>
      </c>
    </row>
    <row r="69" spans="2:8" ht="14.5" customHeight="1" x14ac:dyDescent="0.35">
      <c r="B69" s="149" t="s">
        <v>186</v>
      </c>
      <c r="C69" s="150"/>
      <c r="D69" s="150"/>
    </row>
    <row r="70" spans="2:8" ht="14.5" customHeight="1" x14ac:dyDescent="0.35">
      <c r="B70" s="150"/>
      <c r="C70" s="150"/>
      <c r="D70" s="150"/>
    </row>
    <row r="71" spans="2:8" ht="14.5" customHeight="1" x14ac:dyDescent="0.35">
      <c r="B71" s="150"/>
      <c r="C71" s="150"/>
      <c r="D71" s="150"/>
    </row>
    <row r="72" spans="2:8" ht="14.5" customHeight="1" x14ac:dyDescent="0.35">
      <c r="B72" s="150"/>
      <c r="C72" s="150"/>
      <c r="D72" s="150"/>
    </row>
    <row r="73" spans="2:8" ht="14.5" customHeight="1" x14ac:dyDescent="0.35">
      <c r="B73" s="150"/>
      <c r="C73" s="150"/>
      <c r="D73" s="150"/>
    </row>
    <row r="74" spans="2:8" ht="14.5" customHeight="1" x14ac:dyDescent="0.35">
      <c r="B74" s="150"/>
      <c r="C74" s="150"/>
      <c r="D74" s="150"/>
    </row>
    <row r="75" spans="2:8" ht="14.5" customHeight="1" x14ac:dyDescent="0.35">
      <c r="B75" s="150"/>
      <c r="C75" s="150"/>
      <c r="D75" s="150"/>
    </row>
    <row r="76" spans="2:8" ht="14.5" customHeight="1" x14ac:dyDescent="0.35">
      <c r="B76" s="150"/>
      <c r="C76" s="150"/>
      <c r="D76" s="150"/>
    </row>
    <row r="77" spans="2:8" ht="14.5" customHeight="1" x14ac:dyDescent="0.35">
      <c r="B77" s="150"/>
      <c r="C77" s="150"/>
      <c r="D77" s="150"/>
    </row>
    <row r="78" spans="2:8" ht="14.5" customHeight="1" x14ac:dyDescent="0.35">
      <c r="B78" s="150"/>
      <c r="C78" s="150"/>
      <c r="D78" s="150"/>
    </row>
    <row r="79" spans="2:8" ht="14.5" customHeight="1" x14ac:dyDescent="0.35">
      <c r="B79" s="150"/>
      <c r="C79" s="150"/>
      <c r="D79" s="150"/>
    </row>
    <row r="80" spans="2:8" ht="14.5" customHeight="1" x14ac:dyDescent="0.35">
      <c r="B80" s="150"/>
      <c r="C80" s="150"/>
      <c r="D80" s="150"/>
    </row>
    <row r="81" spans="2:4" ht="14.5" customHeight="1" x14ac:dyDescent="0.35">
      <c r="B81" s="150"/>
      <c r="C81" s="150"/>
      <c r="D81" s="150"/>
    </row>
    <row r="82" spans="2:4" ht="14.5" customHeight="1" x14ac:dyDescent="0.35">
      <c r="B82" s="150"/>
      <c r="C82" s="150"/>
      <c r="D82" s="150"/>
    </row>
    <row r="83" spans="2:4" ht="14.5" customHeight="1" x14ac:dyDescent="0.35">
      <c r="B83" s="150"/>
      <c r="C83" s="150"/>
      <c r="D83" s="150"/>
    </row>
    <row r="84" spans="2:4" ht="14.5" customHeight="1" x14ac:dyDescent="0.35">
      <c r="B84" s="150"/>
      <c r="C84" s="150"/>
      <c r="D84" s="150"/>
    </row>
    <row r="85" spans="2:4" ht="14.5" customHeight="1" x14ac:dyDescent="0.35">
      <c r="B85" s="150"/>
      <c r="C85" s="150"/>
      <c r="D85" s="150"/>
    </row>
    <row r="86" spans="2:4" ht="14.5" customHeight="1" x14ac:dyDescent="0.35">
      <c r="B86" s="150"/>
      <c r="C86" s="150"/>
      <c r="D86" s="150"/>
    </row>
    <row r="87" spans="2:4" x14ac:dyDescent="0.35">
      <c r="B87" s="150"/>
      <c r="C87" s="150"/>
      <c r="D87" s="150"/>
    </row>
    <row r="88" spans="2:4" x14ac:dyDescent="0.35">
      <c r="B88" s="150"/>
      <c r="C88" s="150"/>
      <c r="D88" s="150"/>
    </row>
    <row r="89" spans="2:4" x14ac:dyDescent="0.35">
      <c r="B89" s="150"/>
      <c r="C89" s="150"/>
      <c r="D89" s="150"/>
    </row>
  </sheetData>
  <mergeCells count="3">
    <mergeCell ref="F4:H4"/>
    <mergeCell ref="B4:D4"/>
    <mergeCell ref="B69:D89"/>
  </mergeCells>
  <pageMargins left="0.7" right="0.7" top="0.75" bottom="0.75" header="0.3" footer="0.3"/>
  <headerFooter>
    <oddHeader>&amp;R&amp;"Calibri"&amp;1 &amp;KFF8C00 CONFIDENTIAL#_x000D_</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2:Q62"/>
  <sheetViews>
    <sheetView zoomScale="60" workbookViewId="0">
      <selection activeCell="K28" sqref="K28"/>
    </sheetView>
  </sheetViews>
  <sheetFormatPr defaultRowHeight="14.5" x14ac:dyDescent="0.35"/>
  <cols>
    <col min="3" max="3" width="29.453125" bestFit="1" customWidth="1"/>
    <col min="4" max="4" width="11.7265625" bestFit="1" customWidth="1"/>
    <col min="5" max="5" width="14.453125" bestFit="1" customWidth="1"/>
    <col min="9" max="9" width="29.453125" bestFit="1" customWidth="1"/>
    <col min="10" max="10" width="11.7265625" bestFit="1" customWidth="1"/>
    <col min="11" max="11" width="14.36328125" bestFit="1" customWidth="1"/>
    <col min="14" max="14" width="55.26953125" bestFit="1" customWidth="1"/>
    <col min="15" max="15" width="13.1796875" bestFit="1" customWidth="1"/>
    <col min="16" max="16" width="23.1796875" bestFit="1" customWidth="1"/>
    <col min="17" max="17" width="21.1796875" bestFit="1" customWidth="1"/>
  </cols>
  <sheetData>
    <row r="2" spans="3:17" ht="16" customHeight="1" x14ac:dyDescent="0.4">
      <c r="C2" s="146" t="s">
        <v>187</v>
      </c>
      <c r="D2" s="147"/>
      <c r="E2" s="148"/>
      <c r="I2" s="146" t="s">
        <v>188</v>
      </c>
      <c r="J2" s="147"/>
      <c r="K2" s="148"/>
    </row>
    <row r="3" spans="3:17" x14ac:dyDescent="0.35">
      <c r="N3" s="9" t="s">
        <v>189</v>
      </c>
      <c r="O3" s="21">
        <v>6000000</v>
      </c>
    </row>
    <row r="4" spans="3:17" x14ac:dyDescent="0.35">
      <c r="C4" s="44" t="s">
        <v>190</v>
      </c>
      <c r="D4" s="44" t="s">
        <v>44</v>
      </c>
      <c r="E4" s="81">
        <f>'User Guide'!B3</f>
        <v>70000</v>
      </c>
      <c r="I4" s="44" t="s">
        <v>190</v>
      </c>
      <c r="J4" s="44" t="s">
        <v>44</v>
      </c>
      <c r="K4" s="81">
        <f>'User Guide'!B3</f>
        <v>70000</v>
      </c>
      <c r="N4" t="s">
        <v>191</v>
      </c>
      <c r="O4">
        <v>50</v>
      </c>
    </row>
    <row r="5" spans="3:17" x14ac:dyDescent="0.35">
      <c r="C5" s="44" t="s">
        <v>192</v>
      </c>
      <c r="D5" s="44" t="s">
        <v>193</v>
      </c>
      <c r="E5" s="81">
        <v>2.8</v>
      </c>
      <c r="I5" s="44" t="s">
        <v>192</v>
      </c>
      <c r="J5" s="44" t="s">
        <v>193</v>
      </c>
      <c r="K5" s="81">
        <v>4</v>
      </c>
      <c r="N5" t="s">
        <v>194</v>
      </c>
      <c r="O5">
        <v>30</v>
      </c>
    </row>
    <row r="6" spans="3:17" x14ac:dyDescent="0.35">
      <c r="C6" s="44" t="s">
        <v>195</v>
      </c>
      <c r="D6" s="44" t="s">
        <v>44</v>
      </c>
      <c r="E6" s="81">
        <f>E4/E5</f>
        <v>25000</v>
      </c>
      <c r="I6" s="44" t="s">
        <v>195</v>
      </c>
      <c r="J6" s="44" t="s">
        <v>44</v>
      </c>
      <c r="K6" s="81">
        <f>K4/K5</f>
        <v>17500</v>
      </c>
    </row>
    <row r="7" spans="3:17" x14ac:dyDescent="0.35">
      <c r="C7" s="44" t="s">
        <v>196</v>
      </c>
      <c r="D7" s="44" t="s">
        <v>58</v>
      </c>
      <c r="E7" s="81">
        <v>8200</v>
      </c>
      <c r="I7" s="44" t="s">
        <v>196</v>
      </c>
      <c r="J7" s="44" t="s">
        <v>58</v>
      </c>
      <c r="K7" s="81">
        <v>8200</v>
      </c>
      <c r="N7" s="9" t="s">
        <v>197</v>
      </c>
      <c r="O7" s="9" t="s">
        <v>198</v>
      </c>
      <c r="P7" s="9" t="s">
        <v>199</v>
      </c>
      <c r="Q7" s="9" t="s">
        <v>200</v>
      </c>
    </row>
    <row r="8" spans="3:17" x14ac:dyDescent="0.35">
      <c r="C8" s="44" t="s">
        <v>201</v>
      </c>
      <c r="D8" s="44" t="s">
        <v>202</v>
      </c>
      <c r="E8" s="81">
        <f>E6/E7</f>
        <v>3.0487804878048781</v>
      </c>
      <c r="I8" s="44" t="s">
        <v>201</v>
      </c>
      <c r="J8" s="44" t="s">
        <v>202</v>
      </c>
      <c r="K8" s="81">
        <f>K6/K7</f>
        <v>2.1341463414634148</v>
      </c>
      <c r="N8">
        <v>50</v>
      </c>
      <c r="O8">
        <f>N8-O5</f>
        <v>20</v>
      </c>
      <c r="P8" s="20">
        <f>O4*4.18*O8</f>
        <v>4180</v>
      </c>
      <c r="Q8" s="22">
        <f t="shared" ref="Q8:Q15" si="0">$O$3/P8</f>
        <v>1435.4066985645934</v>
      </c>
    </row>
    <row r="9" spans="3:17" x14ac:dyDescent="0.35">
      <c r="E9" s="21"/>
      <c r="K9" s="21"/>
      <c r="N9">
        <v>60</v>
      </c>
      <c r="O9">
        <f>N9-O5</f>
        <v>30</v>
      </c>
      <c r="P9" s="20">
        <f>O4*4.18*O9</f>
        <v>6270</v>
      </c>
      <c r="Q9" s="22">
        <f t="shared" si="0"/>
        <v>956.93779904306223</v>
      </c>
    </row>
    <row r="10" spans="3:17" x14ac:dyDescent="0.35">
      <c r="C10" s="27" t="s">
        <v>203</v>
      </c>
      <c r="D10" s="27"/>
      <c r="E10" s="82">
        <f>E13+E16</f>
        <v>8439024.3902439028</v>
      </c>
      <c r="I10" s="27" t="s">
        <v>203</v>
      </c>
      <c r="J10" s="27"/>
      <c r="K10" s="82">
        <f>K13+K16</f>
        <v>7040650.4065040657</v>
      </c>
      <c r="N10">
        <v>70</v>
      </c>
      <c r="O10">
        <f>N10-O5</f>
        <v>40</v>
      </c>
      <c r="P10" s="20">
        <f>O4*4.18*O10</f>
        <v>8360</v>
      </c>
      <c r="Q10" s="22">
        <f t="shared" si="0"/>
        <v>717.7033492822967</v>
      </c>
    </row>
    <row r="11" spans="3:17" x14ac:dyDescent="0.35">
      <c r="C11" s="27" t="s">
        <v>204</v>
      </c>
      <c r="D11" s="27"/>
      <c r="E11" s="82">
        <f>E10+E17</f>
        <v>5907317.0731707327</v>
      </c>
      <c r="I11" s="27" t="s">
        <v>204</v>
      </c>
      <c r="J11" s="27"/>
      <c r="K11" s="82">
        <f>K10+K17</f>
        <v>4928455.2845528461</v>
      </c>
      <c r="N11">
        <v>80</v>
      </c>
      <c r="O11">
        <f>N11-O5</f>
        <v>50</v>
      </c>
      <c r="P11" s="20">
        <f>O4*4.18*O11</f>
        <v>10450</v>
      </c>
      <c r="Q11" s="22">
        <f t="shared" si="0"/>
        <v>574.16267942583727</v>
      </c>
    </row>
    <row r="12" spans="3:17" x14ac:dyDescent="0.35">
      <c r="C12" s="26" t="s">
        <v>205</v>
      </c>
      <c r="D12" s="26" t="s">
        <v>206</v>
      </c>
      <c r="E12" s="83">
        <v>800000</v>
      </c>
      <c r="I12" s="26" t="s">
        <v>205</v>
      </c>
      <c r="J12" s="26" t="s">
        <v>206</v>
      </c>
      <c r="K12" s="83">
        <v>800000</v>
      </c>
      <c r="N12">
        <v>90</v>
      </c>
      <c r="O12">
        <f>N12-O5</f>
        <v>60</v>
      </c>
      <c r="P12" s="20">
        <f>O4*4.18*O12</f>
        <v>12540</v>
      </c>
      <c r="Q12" s="22">
        <f t="shared" si="0"/>
        <v>478.46889952153111</v>
      </c>
    </row>
    <row r="13" spans="3:17" x14ac:dyDescent="0.35">
      <c r="C13" s="26" t="s">
        <v>207</v>
      </c>
      <c r="D13" s="26"/>
      <c r="E13" s="83">
        <f>E12*E14</f>
        <v>2439024.3902439023</v>
      </c>
      <c r="I13" s="26" t="s">
        <v>207</v>
      </c>
      <c r="J13" s="26"/>
      <c r="K13" s="83">
        <f>K12*K14</f>
        <v>1707317.0731707318</v>
      </c>
      <c r="N13">
        <v>100</v>
      </c>
      <c r="O13">
        <f>N13-O5</f>
        <v>70</v>
      </c>
      <c r="P13" s="20">
        <f>O4*4.18*O13</f>
        <v>14630</v>
      </c>
      <c r="Q13" s="22">
        <f t="shared" si="0"/>
        <v>410.11619958988382</v>
      </c>
    </row>
    <row r="14" spans="3:17" x14ac:dyDescent="0.35">
      <c r="C14" s="26" t="s">
        <v>208</v>
      </c>
      <c r="D14" s="26"/>
      <c r="E14" s="83">
        <f>E8</f>
        <v>3.0487804878048781</v>
      </c>
      <c r="I14" s="26" t="s">
        <v>208</v>
      </c>
      <c r="J14" s="26"/>
      <c r="K14" s="83">
        <f>K8</f>
        <v>2.1341463414634148</v>
      </c>
      <c r="N14">
        <v>110</v>
      </c>
      <c r="O14">
        <f>N14-O5</f>
        <v>80</v>
      </c>
      <c r="P14" s="20">
        <f>O4*4.18*O14</f>
        <v>16720</v>
      </c>
      <c r="Q14" s="22">
        <f t="shared" si="0"/>
        <v>358.85167464114835</v>
      </c>
    </row>
    <row r="15" spans="3:17" x14ac:dyDescent="0.35">
      <c r="C15" s="26" t="s">
        <v>209</v>
      </c>
      <c r="D15" s="26" t="s">
        <v>210</v>
      </c>
      <c r="E15" s="83">
        <f>Q9</f>
        <v>956.93779904306223</v>
      </c>
      <c r="I15" s="26" t="s">
        <v>209</v>
      </c>
      <c r="J15" s="26" t="s">
        <v>210</v>
      </c>
      <c r="K15" s="83">
        <f>Q15</f>
        <v>318.97926634768743</v>
      </c>
      <c r="N15">
        <v>120</v>
      </c>
      <c r="O15">
        <f>N15-O5</f>
        <v>90</v>
      </c>
      <c r="P15" s="20">
        <f>O4*4.18*O15</f>
        <v>18810</v>
      </c>
      <c r="Q15" s="22">
        <f t="shared" si="0"/>
        <v>318.97926634768743</v>
      </c>
    </row>
    <row r="16" spans="3:17" x14ac:dyDescent="0.35">
      <c r="C16" s="26" t="s">
        <v>211</v>
      </c>
      <c r="D16" s="26" t="s">
        <v>212</v>
      </c>
      <c r="E16" s="83">
        <f>E15*P9</f>
        <v>6000000</v>
      </c>
      <c r="I16" s="26" t="s">
        <v>211</v>
      </c>
      <c r="J16" s="26"/>
      <c r="K16" s="83">
        <f>K15*P14</f>
        <v>5333333.333333334</v>
      </c>
    </row>
    <row r="17" spans="3:14" x14ac:dyDescent="0.35">
      <c r="C17" s="26" t="s">
        <v>8</v>
      </c>
      <c r="D17" s="26" t="s">
        <v>212</v>
      </c>
      <c r="E17" s="83">
        <f>IF('User Guide'!B6="ON", -0.3*Geothermal!E10, 0)</f>
        <v>-2531707.3170731706</v>
      </c>
      <c r="F17" t="s">
        <v>213</v>
      </c>
      <c r="I17" s="26" t="s">
        <v>8</v>
      </c>
      <c r="J17" s="26" t="s">
        <v>212</v>
      </c>
      <c r="K17" s="83">
        <f>IF('User Guide'!B6="ON", -0.3*Geothermal!K10, 0)</f>
        <v>-2112195.1219512196</v>
      </c>
      <c r="L17" t="s">
        <v>213</v>
      </c>
    </row>
    <row r="18" spans="3:14" x14ac:dyDescent="0.35">
      <c r="E18" s="21"/>
      <c r="K18" s="21"/>
      <c r="N18" t="s">
        <v>214</v>
      </c>
    </row>
    <row r="19" spans="3:14" x14ac:dyDescent="0.35">
      <c r="C19" s="29" t="s">
        <v>215</v>
      </c>
      <c r="D19" s="29"/>
      <c r="E19" s="84">
        <f>E20+E22+E24</f>
        <v>2612170.7317073168</v>
      </c>
      <c r="I19" s="29" t="s">
        <v>215</v>
      </c>
      <c r="J19" s="29"/>
      <c r="K19" s="84">
        <f>K20+K22+K24</f>
        <v>1990219.512195122</v>
      </c>
    </row>
    <row r="20" spans="3:14" x14ac:dyDescent="0.35">
      <c r="C20" s="32" t="s">
        <v>216</v>
      </c>
      <c r="D20" s="32" t="s">
        <v>217</v>
      </c>
      <c r="E20" s="85">
        <f>E13*0.03</f>
        <v>73170.731707317071</v>
      </c>
      <c r="I20" s="32" t="s">
        <v>216</v>
      </c>
      <c r="J20" s="32" t="s">
        <v>217</v>
      </c>
      <c r="K20" s="85">
        <f>K13*0.03</f>
        <v>51219.512195121948</v>
      </c>
    </row>
    <row r="21" spans="3:14" x14ac:dyDescent="0.35">
      <c r="C21" s="32" t="s">
        <v>218</v>
      </c>
      <c r="D21" s="32" t="s">
        <v>219</v>
      </c>
      <c r="E21" s="85">
        <v>80</v>
      </c>
      <c r="I21" s="32" t="s">
        <v>218</v>
      </c>
      <c r="J21" s="32" t="s">
        <v>219</v>
      </c>
      <c r="K21" s="85">
        <v>80</v>
      </c>
    </row>
    <row r="22" spans="3:14" x14ac:dyDescent="0.35">
      <c r="C22" s="32" t="s">
        <v>220</v>
      </c>
      <c r="D22" s="32" t="s">
        <v>219</v>
      </c>
      <c r="E22" s="85">
        <f>E6*E21</f>
        <v>2000000</v>
      </c>
      <c r="I22" s="32" t="s">
        <v>220</v>
      </c>
      <c r="J22" s="32" t="s">
        <v>219</v>
      </c>
      <c r="K22" s="85">
        <f>K6*K21</f>
        <v>1400000</v>
      </c>
    </row>
    <row r="23" spans="3:14" x14ac:dyDescent="0.35">
      <c r="C23" s="32" t="s">
        <v>79</v>
      </c>
      <c r="D23" s="32" t="s">
        <v>80</v>
      </c>
      <c r="E23" s="32">
        <v>70</v>
      </c>
      <c r="I23" s="32" t="s">
        <v>79</v>
      </c>
      <c r="J23" s="32" t="s">
        <v>80</v>
      </c>
      <c r="K23" s="32">
        <v>70</v>
      </c>
    </row>
    <row r="24" spans="3:14" x14ac:dyDescent="0.35">
      <c r="C24" s="32" t="s">
        <v>81</v>
      </c>
      <c r="D24" s="32" t="s">
        <v>52</v>
      </c>
      <c r="E24" s="143">
        <f>E36*E23</f>
        <v>539000</v>
      </c>
      <c r="I24" s="32" t="s">
        <v>81</v>
      </c>
      <c r="J24" s="32" t="s">
        <v>52</v>
      </c>
      <c r="K24" s="143">
        <f>K36*K23</f>
        <v>539000</v>
      </c>
    </row>
    <row r="25" spans="3:14" x14ac:dyDescent="0.35">
      <c r="E25" s="21"/>
      <c r="K25" s="21"/>
    </row>
    <row r="26" spans="3:14" x14ac:dyDescent="0.35">
      <c r="C26" s="88" t="s">
        <v>221</v>
      </c>
      <c r="D26" s="61"/>
      <c r="E26" s="68"/>
      <c r="I26" s="61" t="s">
        <v>221</v>
      </c>
      <c r="J26" s="61"/>
      <c r="K26" s="68"/>
    </row>
    <row r="27" spans="3:14" x14ac:dyDescent="0.35">
      <c r="C27" s="48" t="s">
        <v>222</v>
      </c>
      <c r="D27" s="48" t="s">
        <v>212</v>
      </c>
      <c r="E27" s="86">
        <f>E11</f>
        <v>5907317.0731707327</v>
      </c>
      <c r="I27" s="48" t="s">
        <v>222</v>
      </c>
      <c r="J27" s="48" t="s">
        <v>212</v>
      </c>
      <c r="K27" s="86">
        <f>K11</f>
        <v>4928455.2845528461</v>
      </c>
    </row>
    <row r="28" spans="3:14" x14ac:dyDescent="0.35">
      <c r="C28" s="48" t="s">
        <v>223</v>
      </c>
      <c r="D28" s="48" t="s">
        <v>212</v>
      </c>
      <c r="E28" s="86">
        <f>E19*E30</f>
        <v>52243414.634146333</v>
      </c>
      <c r="I28" s="48" t="s">
        <v>223</v>
      </c>
      <c r="J28" s="48" t="s">
        <v>212</v>
      </c>
      <c r="K28" s="86">
        <f>K19*K30</f>
        <v>39804390.243902437</v>
      </c>
    </row>
    <row r="29" spans="3:14" x14ac:dyDescent="0.35">
      <c r="C29" s="48" t="s">
        <v>224</v>
      </c>
      <c r="D29" s="48" t="s">
        <v>212</v>
      </c>
      <c r="E29" s="86">
        <f>E27+E28</f>
        <v>58150731.707317069</v>
      </c>
      <c r="I29" s="48" t="s">
        <v>224</v>
      </c>
      <c r="J29" s="48" t="s">
        <v>212</v>
      </c>
      <c r="K29" s="86">
        <f>K27+K28</f>
        <v>44732845.528455287</v>
      </c>
    </row>
    <row r="30" spans="3:14" x14ac:dyDescent="0.35">
      <c r="C30" s="48" t="s">
        <v>225</v>
      </c>
      <c r="D30" s="48" t="s">
        <v>56</v>
      </c>
      <c r="E30" s="87">
        <v>20</v>
      </c>
      <c r="I30" s="48" t="s">
        <v>225</v>
      </c>
      <c r="J30" s="48" t="s">
        <v>56</v>
      </c>
      <c r="K30" s="87">
        <v>20</v>
      </c>
      <c r="N30">
        <f>0.107+0.027</f>
        <v>0.13400000000000001</v>
      </c>
    </row>
    <row r="31" spans="3:14" x14ac:dyDescent="0.35">
      <c r="E31" s="21"/>
      <c r="K31" s="21"/>
    </row>
    <row r="32" spans="3:14" x14ac:dyDescent="0.35">
      <c r="C32" s="43" t="s">
        <v>226</v>
      </c>
      <c r="D32" s="43" t="s">
        <v>227</v>
      </c>
      <c r="E32" s="89">
        <f>E6*E30</f>
        <v>500000</v>
      </c>
      <c r="I32" s="43" t="s">
        <v>226</v>
      </c>
      <c r="J32" s="43" t="s">
        <v>227</v>
      </c>
      <c r="K32" s="89">
        <f>K6*K30</f>
        <v>350000</v>
      </c>
    </row>
    <row r="33" spans="3:11" x14ac:dyDescent="0.35">
      <c r="C33" s="43" t="s">
        <v>228</v>
      </c>
      <c r="D33" s="43"/>
      <c r="E33" s="89">
        <f>E29/E32</f>
        <v>116.30146341463414</v>
      </c>
      <c r="I33" s="43" t="s">
        <v>228</v>
      </c>
      <c r="J33" s="43"/>
      <c r="K33" s="89">
        <f>K29/K32</f>
        <v>127.80813008130082</v>
      </c>
    </row>
    <row r="34" spans="3:11" x14ac:dyDescent="0.35">
      <c r="E34" s="21"/>
      <c r="K34" s="21"/>
    </row>
    <row r="35" spans="3:11" x14ac:dyDescent="0.35">
      <c r="C35" s="112" t="s">
        <v>229</v>
      </c>
      <c r="D35" s="112" t="s">
        <v>149</v>
      </c>
      <c r="E35" s="112">
        <v>0.11</v>
      </c>
      <c r="I35" s="112" t="s">
        <v>229</v>
      </c>
      <c r="J35" s="112" t="s">
        <v>149</v>
      </c>
      <c r="K35" s="112">
        <v>0.11</v>
      </c>
    </row>
    <row r="36" spans="3:11" x14ac:dyDescent="0.35">
      <c r="C36" s="112" t="s">
        <v>230</v>
      </c>
      <c r="D36" s="112" t="s">
        <v>231</v>
      </c>
      <c r="E36" s="114">
        <f>E35*E4</f>
        <v>7700</v>
      </c>
      <c r="I36" s="112" t="s">
        <v>230</v>
      </c>
      <c r="J36" s="112" t="s">
        <v>231</v>
      </c>
      <c r="K36" s="114">
        <f>K35*K4</f>
        <v>7700</v>
      </c>
    </row>
    <row r="37" spans="3:11" x14ac:dyDescent="0.35">
      <c r="C37" s="112" t="s">
        <v>145</v>
      </c>
      <c r="D37" s="112" t="s">
        <v>146</v>
      </c>
      <c r="E37" s="114">
        <f>'Natural Gas Boiler'!D8-Geothermal!E36</f>
        <v>6440</v>
      </c>
      <c r="I37" s="112" t="s">
        <v>145</v>
      </c>
      <c r="J37" s="112" t="s">
        <v>146</v>
      </c>
      <c r="K37" s="114">
        <f>'Natural Gas Boiler'!D8-Geothermal!K36</f>
        <v>6440</v>
      </c>
    </row>
    <row r="38" spans="3:11" ht="29" customHeight="1" x14ac:dyDescent="0.35">
      <c r="C38" s="113" t="s">
        <v>148</v>
      </c>
      <c r="D38" s="112" t="s">
        <v>149</v>
      </c>
      <c r="E38" s="112">
        <v>0.20200000000000001</v>
      </c>
      <c r="I38" s="113" t="s">
        <v>148</v>
      </c>
      <c r="J38" s="112" t="s">
        <v>149</v>
      </c>
      <c r="K38" s="112">
        <v>0.20200000000000001</v>
      </c>
    </row>
    <row r="39" spans="3:11" x14ac:dyDescent="0.35">
      <c r="C39" s="111" t="s">
        <v>150</v>
      </c>
      <c r="D39" s="111" t="s">
        <v>151</v>
      </c>
      <c r="E39" s="111">
        <f>'Natural Gas Boiler'!D51</f>
        <v>67.888603174800835</v>
      </c>
      <c r="I39" s="111" t="s">
        <v>150</v>
      </c>
      <c r="J39" s="111" t="s">
        <v>151</v>
      </c>
      <c r="K39" s="111">
        <f>'Natural Gas Boiler'!D51</f>
        <v>67.888603174800835</v>
      </c>
    </row>
    <row r="40" spans="3:11" x14ac:dyDescent="0.35">
      <c r="C40" s="109" t="s">
        <v>185</v>
      </c>
      <c r="D40" s="109" t="s">
        <v>153</v>
      </c>
      <c r="E40" s="115">
        <f>(E33-E39)/(E35-E38)</f>
        <v>-526.22674173731843</v>
      </c>
      <c r="I40" s="109" t="s">
        <v>185</v>
      </c>
      <c r="J40" s="109" t="s">
        <v>153</v>
      </c>
      <c r="K40" s="115">
        <f>(K33-K39)/(K35-K38)</f>
        <v>-651.29920550543454</v>
      </c>
    </row>
    <row r="41" spans="3:11" x14ac:dyDescent="0.35">
      <c r="K41" s="21"/>
    </row>
    <row r="42" spans="3:11" ht="14.5" customHeight="1" x14ac:dyDescent="0.35">
      <c r="C42" s="149" t="s">
        <v>232</v>
      </c>
      <c r="D42" s="150"/>
      <c r="E42" s="150"/>
      <c r="K42" s="21"/>
    </row>
    <row r="43" spans="3:11" ht="14.5" customHeight="1" x14ac:dyDescent="0.35">
      <c r="C43" s="150"/>
      <c r="D43" s="150"/>
      <c r="E43" s="150"/>
    </row>
    <row r="44" spans="3:11" ht="14.5" customHeight="1" x14ac:dyDescent="0.35">
      <c r="C44" s="150"/>
      <c r="D44" s="150"/>
      <c r="E44" s="150"/>
    </row>
    <row r="45" spans="3:11" ht="14.5" customHeight="1" x14ac:dyDescent="0.35">
      <c r="C45" s="150"/>
      <c r="D45" s="150"/>
      <c r="E45" s="150"/>
    </row>
    <row r="46" spans="3:11" ht="14.5" customHeight="1" x14ac:dyDescent="0.35">
      <c r="C46" s="150"/>
      <c r="D46" s="150"/>
      <c r="E46" s="150"/>
    </row>
    <row r="47" spans="3:11" ht="14.5" customHeight="1" x14ac:dyDescent="0.35">
      <c r="C47" s="150"/>
      <c r="D47" s="150"/>
      <c r="E47" s="150"/>
    </row>
    <row r="48" spans="3:11" ht="14.5" customHeight="1" x14ac:dyDescent="0.35">
      <c r="C48" s="150"/>
      <c r="D48" s="150"/>
      <c r="E48" s="150"/>
    </row>
    <row r="49" spans="3:5" ht="14.5" customHeight="1" x14ac:dyDescent="0.35">
      <c r="C49" s="150"/>
      <c r="D49" s="150"/>
      <c r="E49" s="150"/>
    </row>
    <row r="50" spans="3:5" ht="14.5" customHeight="1" x14ac:dyDescent="0.35">
      <c r="C50" s="150"/>
      <c r="D50" s="150"/>
      <c r="E50" s="150"/>
    </row>
    <row r="51" spans="3:5" ht="14.5" customHeight="1" x14ac:dyDescent="0.35">
      <c r="C51" s="150"/>
      <c r="D51" s="150"/>
      <c r="E51" s="150"/>
    </row>
    <row r="52" spans="3:5" ht="14.5" customHeight="1" x14ac:dyDescent="0.35">
      <c r="C52" s="150"/>
      <c r="D52" s="150"/>
      <c r="E52" s="150"/>
    </row>
    <row r="53" spans="3:5" ht="14.5" customHeight="1" x14ac:dyDescent="0.35">
      <c r="C53" s="150"/>
      <c r="D53" s="150"/>
      <c r="E53" s="150"/>
    </row>
    <row r="54" spans="3:5" ht="14.5" customHeight="1" x14ac:dyDescent="0.35">
      <c r="C54" s="150"/>
      <c r="D54" s="150"/>
      <c r="E54" s="150"/>
    </row>
    <row r="55" spans="3:5" ht="14.5" customHeight="1" x14ac:dyDescent="0.35">
      <c r="C55" s="150"/>
      <c r="D55" s="150"/>
      <c r="E55" s="150"/>
    </row>
    <row r="56" spans="3:5" ht="14.5" customHeight="1" x14ac:dyDescent="0.35"/>
    <row r="57" spans="3:5" ht="14.5" customHeight="1" x14ac:dyDescent="0.35"/>
    <row r="58" spans="3:5" ht="14.5" customHeight="1" x14ac:dyDescent="0.35"/>
    <row r="59" spans="3:5" ht="14.5" customHeight="1" x14ac:dyDescent="0.35"/>
    <row r="60" spans="3:5" ht="14.5" customHeight="1" x14ac:dyDescent="0.35"/>
    <row r="61" spans="3:5" ht="14.5" customHeight="1" x14ac:dyDescent="0.35"/>
    <row r="62" spans="3:5" ht="14.5" customHeight="1" x14ac:dyDescent="0.35"/>
  </sheetData>
  <mergeCells count="3">
    <mergeCell ref="C2:E2"/>
    <mergeCell ref="I2:K2"/>
    <mergeCell ref="C42:E55"/>
  </mergeCells>
  <pageMargins left="0.7" right="0.7" top="0.75" bottom="0.75" header="0.3" footer="0.3"/>
  <headerFooter>
    <oddHeader>&amp;R&amp;"Calibri"&amp;1 &amp;KFF8C00 CONFIDENTIAL#_x000D_</oddHead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L56"/>
  <sheetViews>
    <sheetView zoomScale="60" workbookViewId="0">
      <selection activeCell="D15" sqref="D15"/>
    </sheetView>
  </sheetViews>
  <sheetFormatPr defaultColWidth="8.81640625" defaultRowHeight="14.5" x14ac:dyDescent="0.35"/>
  <cols>
    <col min="2" max="2" width="36.453125" bestFit="1" customWidth="1"/>
    <col min="3" max="3" width="10" bestFit="1" customWidth="1"/>
    <col min="4" max="4" width="22.453125" bestFit="1" customWidth="1"/>
    <col min="5" max="5" width="45.7265625" customWidth="1"/>
    <col min="6" max="6" width="18" customWidth="1"/>
    <col min="7" max="7" width="31.81640625" bestFit="1" customWidth="1"/>
    <col min="12" max="12" width="111.1796875" bestFit="1" customWidth="1"/>
  </cols>
  <sheetData>
    <row r="2" spans="2:8" ht="16" customHeight="1" x14ac:dyDescent="0.35">
      <c r="B2" s="151" t="s">
        <v>24</v>
      </c>
      <c r="C2" s="147"/>
      <c r="D2" s="148"/>
    </row>
    <row r="4" spans="2:8" x14ac:dyDescent="0.35">
      <c r="B4" s="90" t="s">
        <v>104</v>
      </c>
      <c r="C4" s="90" t="s">
        <v>44</v>
      </c>
      <c r="D4" s="91">
        <f>'User Guide'!B3</f>
        <v>70000</v>
      </c>
    </row>
    <row r="5" spans="2:8" x14ac:dyDescent="0.35">
      <c r="B5" s="90" t="s">
        <v>192</v>
      </c>
      <c r="C5" s="90"/>
      <c r="D5" s="92">
        <f>0.95</f>
        <v>0.95</v>
      </c>
    </row>
    <row r="6" spans="2:8" x14ac:dyDescent="0.35">
      <c r="B6" s="90" t="s">
        <v>195</v>
      </c>
      <c r="C6" s="90" t="s">
        <v>44</v>
      </c>
      <c r="D6" s="90">
        <f>D4/D5</f>
        <v>73684.210526315786</v>
      </c>
    </row>
    <row r="7" spans="2:8" x14ac:dyDescent="0.35">
      <c r="B7" s="90" t="s">
        <v>196</v>
      </c>
      <c r="C7" s="90" t="s">
        <v>58</v>
      </c>
      <c r="D7" s="90">
        <v>8200</v>
      </c>
    </row>
    <row r="8" spans="2:8" x14ac:dyDescent="0.35">
      <c r="B8" s="79" t="s">
        <v>233</v>
      </c>
      <c r="C8" s="79" t="s">
        <v>202</v>
      </c>
      <c r="D8" s="79">
        <f>D6/D7</f>
        <v>8.9858793324775341</v>
      </c>
    </row>
    <row r="9" spans="2:8" x14ac:dyDescent="0.35">
      <c r="B9" s="44" t="s">
        <v>59</v>
      </c>
      <c r="C9" s="44" t="s">
        <v>60</v>
      </c>
      <c r="D9" s="44">
        <v>400000</v>
      </c>
      <c r="E9" s="2" t="s">
        <v>234</v>
      </c>
    </row>
    <row r="10" spans="2:8" x14ac:dyDescent="0.35">
      <c r="B10" s="44" t="s">
        <v>103</v>
      </c>
      <c r="C10" s="44" t="s">
        <v>60</v>
      </c>
      <c r="D10" s="44">
        <v>100000</v>
      </c>
    </row>
    <row r="11" spans="2:8" x14ac:dyDescent="0.35">
      <c r="B11" s="44" t="s">
        <v>62</v>
      </c>
      <c r="C11" s="44"/>
      <c r="D11" s="44">
        <f>(D10-D9)/(70-1)</f>
        <v>-4347.826086956522</v>
      </c>
    </row>
    <row r="13" spans="2:8" ht="43.5" customHeight="1" x14ac:dyDescent="0.35">
      <c r="B13" s="55" t="s">
        <v>203</v>
      </c>
      <c r="C13" s="55"/>
      <c r="D13" s="55"/>
      <c r="E13" s="67" t="s">
        <v>235</v>
      </c>
      <c r="G13" s="10" t="s">
        <v>236</v>
      </c>
      <c r="H13" s="10">
        <v>2</v>
      </c>
    </row>
    <row r="14" spans="2:8" ht="23.5" customHeight="1" x14ac:dyDescent="0.35">
      <c r="B14" s="56" t="s">
        <v>205</v>
      </c>
      <c r="C14" s="56" t="s">
        <v>206</v>
      </c>
      <c r="D14" s="56">
        <f>D9+(D11*D8)</f>
        <v>360930.95942401071</v>
      </c>
      <c r="E14" s="4"/>
      <c r="G14" s="10"/>
      <c r="H14" s="10"/>
    </row>
    <row r="15" spans="2:8" x14ac:dyDescent="0.35">
      <c r="B15" s="56" t="s">
        <v>203</v>
      </c>
      <c r="C15" s="56"/>
      <c r="D15" s="57">
        <f>D14*D16*D18+D17</f>
        <v>4864923.073109258</v>
      </c>
      <c r="E15" s="4"/>
      <c r="G15" s="10" t="s">
        <v>237</v>
      </c>
      <c r="H15" s="10">
        <v>1.02</v>
      </c>
    </row>
    <row r="16" spans="2:8" ht="29" customHeight="1" x14ac:dyDescent="0.35">
      <c r="B16" s="58" t="s">
        <v>238</v>
      </c>
      <c r="C16" s="56" t="s">
        <v>239</v>
      </c>
      <c r="D16" s="57">
        <v>1.5</v>
      </c>
    </row>
    <row r="17" spans="2:12" x14ac:dyDescent="0.35">
      <c r="B17" s="58" t="s">
        <v>240</v>
      </c>
      <c r="C17" s="56" t="s">
        <v>212</v>
      </c>
      <c r="D17" s="57">
        <v>0</v>
      </c>
    </row>
    <row r="18" spans="2:12" x14ac:dyDescent="0.35">
      <c r="B18" s="56" t="s">
        <v>208</v>
      </c>
      <c r="C18" s="56"/>
      <c r="D18" s="56">
        <f>D8</f>
        <v>8.9858793324775341</v>
      </c>
    </row>
    <row r="19" spans="2:12" x14ac:dyDescent="0.35">
      <c r="B19" s="125" t="s">
        <v>8</v>
      </c>
      <c r="C19" s="125" t="s">
        <v>212</v>
      </c>
      <c r="D19" s="125">
        <f>IF('User Guide'!B6="ON", -0.3*D15, 0)</f>
        <v>-1459476.9219327774</v>
      </c>
    </row>
    <row r="20" spans="2:12" x14ac:dyDescent="0.35">
      <c r="B20" s="26" t="s">
        <v>241</v>
      </c>
      <c r="C20" s="26" t="s">
        <v>212</v>
      </c>
      <c r="D20" s="126">
        <f>D15+D19</f>
        <v>3405446.1511764806</v>
      </c>
    </row>
    <row r="22" spans="2:12" x14ac:dyDescent="0.35">
      <c r="B22" s="77" t="s">
        <v>215</v>
      </c>
      <c r="C22" s="77"/>
      <c r="D22" s="77"/>
      <c r="L22" s="2"/>
    </row>
    <row r="23" spans="2:12" x14ac:dyDescent="0.35">
      <c r="B23" s="78" t="s">
        <v>216</v>
      </c>
      <c r="C23" s="78" t="s">
        <v>219</v>
      </c>
      <c r="D23" s="78">
        <v>5</v>
      </c>
    </row>
    <row r="24" spans="2:12" x14ac:dyDescent="0.35">
      <c r="B24" s="78" t="s">
        <v>218</v>
      </c>
      <c r="C24" s="78" t="s">
        <v>219</v>
      </c>
      <c r="D24" s="78">
        <v>75</v>
      </c>
    </row>
    <row r="25" spans="2:12" x14ac:dyDescent="0.35">
      <c r="B25" s="78" t="s">
        <v>242</v>
      </c>
      <c r="C25" s="78" t="s">
        <v>219</v>
      </c>
      <c r="D25" s="78">
        <v>20</v>
      </c>
    </row>
    <row r="26" spans="2:12" x14ac:dyDescent="0.35">
      <c r="B26" s="78" t="s">
        <v>243</v>
      </c>
      <c r="C26" s="78" t="s">
        <v>219</v>
      </c>
      <c r="D26" s="78">
        <v>0</v>
      </c>
    </row>
    <row r="28" spans="2:12" x14ac:dyDescent="0.35">
      <c r="B28" s="59" t="s">
        <v>221</v>
      </c>
      <c r="C28" s="60"/>
      <c r="D28" s="47"/>
    </row>
    <row r="29" spans="2:12" x14ac:dyDescent="0.35">
      <c r="B29" s="62" t="s">
        <v>222</v>
      </c>
      <c r="C29" s="63" t="s">
        <v>212</v>
      </c>
      <c r="D29" s="127">
        <f>D20</f>
        <v>3405446.1511764806</v>
      </c>
    </row>
    <row r="30" spans="2:12" x14ac:dyDescent="0.35">
      <c r="B30" s="62" t="s">
        <v>223</v>
      </c>
      <c r="C30" s="63" t="s">
        <v>212</v>
      </c>
      <c r="D30" s="48">
        <f>(D23+D24+D25+D26)*D6*D33</f>
        <v>147368421.05263156</v>
      </c>
    </row>
    <row r="31" spans="2:12" x14ac:dyDescent="0.35">
      <c r="B31" s="62" t="s">
        <v>224</v>
      </c>
      <c r="C31" s="63" t="s">
        <v>212</v>
      </c>
      <c r="D31" s="48">
        <f>D29+D30</f>
        <v>150773867.20380804</v>
      </c>
    </row>
    <row r="32" spans="2:12" x14ac:dyDescent="0.35">
      <c r="B32" s="62" t="s">
        <v>244</v>
      </c>
      <c r="C32" s="63" t="s">
        <v>212</v>
      </c>
      <c r="D32" s="48">
        <f>(D23+D24+D25+D26)*D6</f>
        <v>7368421.0526315784</v>
      </c>
    </row>
    <row r="33" spans="2:4" x14ac:dyDescent="0.35">
      <c r="B33" s="62" t="s">
        <v>225</v>
      </c>
      <c r="C33" s="63" t="s">
        <v>56</v>
      </c>
      <c r="D33" s="48">
        <v>20</v>
      </c>
    </row>
    <row r="35" spans="2:4" x14ac:dyDescent="0.35">
      <c r="B35" s="64" t="s">
        <v>226</v>
      </c>
      <c r="C35" s="65" t="s">
        <v>227</v>
      </c>
      <c r="D35" s="100">
        <f>D4*D33</f>
        <v>1400000</v>
      </c>
    </row>
    <row r="36" spans="2:4" x14ac:dyDescent="0.35">
      <c r="B36" s="66" t="s">
        <v>228</v>
      </c>
      <c r="C36" s="99"/>
      <c r="D36" s="52">
        <f>D31/D35</f>
        <v>107.69561943129146</v>
      </c>
    </row>
    <row r="39" spans="2:4" x14ac:dyDescent="0.35">
      <c r="B39" s="128" t="s">
        <v>245</v>
      </c>
      <c r="C39" s="128" t="s">
        <v>227</v>
      </c>
      <c r="D39" s="128">
        <v>0</v>
      </c>
    </row>
    <row r="40" spans="2:4" x14ac:dyDescent="0.35">
      <c r="B40" s="128" t="s">
        <v>246</v>
      </c>
      <c r="C40" s="128" t="s">
        <v>247</v>
      </c>
      <c r="D40" s="128">
        <v>0</v>
      </c>
    </row>
    <row r="41" spans="2:4" x14ac:dyDescent="0.35">
      <c r="B41" s="129" t="s">
        <v>248</v>
      </c>
      <c r="C41" s="129" t="s">
        <v>249</v>
      </c>
      <c r="D41" s="129">
        <f>D40*D39</f>
        <v>0</v>
      </c>
    </row>
    <row r="42" spans="2:4" x14ac:dyDescent="0.35">
      <c r="B42" s="130" t="s">
        <v>148</v>
      </c>
      <c r="C42" s="128" t="s">
        <v>149</v>
      </c>
      <c r="D42" s="128">
        <v>0.20200000000000001</v>
      </c>
    </row>
    <row r="43" spans="2:4" x14ac:dyDescent="0.35">
      <c r="B43" s="128" t="s">
        <v>150</v>
      </c>
      <c r="C43" s="128" t="s">
        <v>151</v>
      </c>
      <c r="D43" s="128">
        <f>'Natural Gas Boiler'!D51</f>
        <v>67.888603174800835</v>
      </c>
    </row>
    <row r="44" spans="2:4" x14ac:dyDescent="0.35">
      <c r="B44" s="109" t="s">
        <v>185</v>
      </c>
      <c r="C44" s="109" t="s">
        <v>153</v>
      </c>
      <c r="D44" s="109">
        <f>(D36-D43)/(D41-D42)</f>
        <v>-197.06443691331992</v>
      </c>
    </row>
    <row r="47" spans="2:4" x14ac:dyDescent="0.35">
      <c r="B47" s="149" t="s">
        <v>250</v>
      </c>
      <c r="C47" s="150"/>
      <c r="D47" s="150"/>
    </row>
    <row r="48" spans="2:4" x14ac:dyDescent="0.35">
      <c r="B48" s="150"/>
      <c r="C48" s="150"/>
      <c r="D48" s="150"/>
    </row>
    <row r="49" spans="2:4" x14ac:dyDescent="0.35">
      <c r="B49" s="150"/>
      <c r="C49" s="150"/>
      <c r="D49" s="150"/>
    </row>
    <row r="50" spans="2:4" x14ac:dyDescent="0.35">
      <c r="B50" s="150"/>
      <c r="C50" s="150"/>
      <c r="D50" s="150"/>
    </row>
    <row r="51" spans="2:4" x14ac:dyDescent="0.35">
      <c r="B51" s="150"/>
      <c r="C51" s="150"/>
      <c r="D51" s="150"/>
    </row>
    <row r="52" spans="2:4" x14ac:dyDescent="0.35">
      <c r="B52" s="150"/>
      <c r="C52" s="150"/>
      <c r="D52" s="150"/>
    </row>
    <row r="53" spans="2:4" x14ac:dyDescent="0.35">
      <c r="B53" s="150"/>
      <c r="C53" s="150"/>
      <c r="D53" s="150"/>
    </row>
    <row r="54" spans="2:4" x14ac:dyDescent="0.35">
      <c r="B54" s="150"/>
      <c r="C54" s="150"/>
      <c r="D54" s="150"/>
    </row>
    <row r="55" spans="2:4" x14ac:dyDescent="0.35">
      <c r="B55" s="150"/>
      <c r="C55" s="150"/>
      <c r="D55" s="150"/>
    </row>
    <row r="56" spans="2:4" x14ac:dyDescent="0.35">
      <c r="B56" s="150"/>
      <c r="C56" s="150"/>
      <c r="D56" s="150"/>
    </row>
  </sheetData>
  <mergeCells count="2">
    <mergeCell ref="B2:D2"/>
    <mergeCell ref="B47:D56"/>
  </mergeCells>
  <hyperlinks>
    <hyperlink ref="E9" r:id="rId1" xr:uid="{00000000-0004-0000-0700-000000000000}"/>
  </hyperlinks>
  <pageMargins left="0.7" right="0.7" top="0.75" bottom="0.75" header="0.3" footer="0.3"/>
  <headerFooter>
    <oddHeader>&amp;R&amp;"Calibri"&amp;1 &amp;KFF8C00 CONFIDENTIAL#_x000D_</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4:E37"/>
  <sheetViews>
    <sheetView zoomScale="83" workbookViewId="0">
      <selection activeCell="B5" sqref="B5"/>
    </sheetView>
  </sheetViews>
  <sheetFormatPr defaultRowHeight="14.5" x14ac:dyDescent="0.35"/>
  <cols>
    <col min="3" max="3" width="23" bestFit="1" customWidth="1"/>
    <col min="4" max="4" width="11.7265625" bestFit="1" customWidth="1"/>
    <col min="5" max="5" width="13.81640625" style="21" bestFit="1" customWidth="1"/>
  </cols>
  <sheetData>
    <row r="4" spans="3:5" x14ac:dyDescent="0.35">
      <c r="C4" s="75" t="s">
        <v>251</v>
      </c>
      <c r="D4" s="75" t="s">
        <v>44</v>
      </c>
      <c r="E4" s="76">
        <f>'User Guide'!B3</f>
        <v>70000</v>
      </c>
    </row>
    <row r="5" spans="3:5" x14ac:dyDescent="0.35">
      <c r="C5" s="75" t="s">
        <v>192</v>
      </c>
      <c r="D5" s="75" t="s">
        <v>193</v>
      </c>
      <c r="E5" s="76">
        <v>2</v>
      </c>
    </row>
    <row r="6" spans="3:5" x14ac:dyDescent="0.35">
      <c r="C6" s="75" t="s">
        <v>195</v>
      </c>
      <c r="D6" s="75" t="s">
        <v>44</v>
      </c>
      <c r="E6" s="76">
        <f>E4/E5</f>
        <v>35000</v>
      </c>
    </row>
    <row r="7" spans="3:5" x14ac:dyDescent="0.35">
      <c r="C7" s="75" t="s">
        <v>196</v>
      </c>
      <c r="D7" s="75" t="s">
        <v>58</v>
      </c>
      <c r="E7" s="76">
        <v>8200</v>
      </c>
    </row>
    <row r="8" spans="3:5" x14ac:dyDescent="0.35">
      <c r="C8" s="75" t="s">
        <v>201</v>
      </c>
      <c r="D8" s="75" t="s">
        <v>202</v>
      </c>
      <c r="E8" s="76">
        <f>E6/E7</f>
        <v>4.2682926829268295</v>
      </c>
    </row>
    <row r="10" spans="3:5" x14ac:dyDescent="0.35">
      <c r="C10" s="69" t="s">
        <v>203</v>
      </c>
      <c r="D10" s="69"/>
      <c r="E10" s="70">
        <f>E12-E14</f>
        <v>3414634.1463414636</v>
      </c>
    </row>
    <row r="11" spans="3:5" x14ac:dyDescent="0.35">
      <c r="C11" s="69" t="s">
        <v>205</v>
      </c>
      <c r="D11" s="69" t="s">
        <v>206</v>
      </c>
      <c r="E11" s="70">
        <v>800000</v>
      </c>
    </row>
    <row r="12" spans="3:5" x14ac:dyDescent="0.35">
      <c r="C12" s="69" t="s">
        <v>203</v>
      </c>
      <c r="D12" s="69"/>
      <c r="E12" s="70">
        <f>E11*E13</f>
        <v>3414634.1463414636</v>
      </c>
    </row>
    <row r="13" spans="3:5" x14ac:dyDescent="0.35">
      <c r="C13" s="69" t="s">
        <v>208</v>
      </c>
      <c r="D13" s="69"/>
      <c r="E13" s="70">
        <f>E8</f>
        <v>4.2682926829268295</v>
      </c>
    </row>
    <row r="14" spans="3:5" x14ac:dyDescent="0.35">
      <c r="C14" s="69" t="s">
        <v>252</v>
      </c>
      <c r="D14" s="69" t="s">
        <v>212</v>
      </c>
      <c r="E14" s="70">
        <v>0</v>
      </c>
    </row>
    <row r="16" spans="3:5" x14ac:dyDescent="0.35">
      <c r="C16" s="71" t="s">
        <v>215</v>
      </c>
      <c r="D16" s="71"/>
      <c r="E16" s="72">
        <f>E17+E19</f>
        <v>2727439.0243902439</v>
      </c>
    </row>
    <row r="17" spans="3:5" x14ac:dyDescent="0.35">
      <c r="C17" s="71" t="s">
        <v>216</v>
      </c>
      <c r="D17" s="71" t="s">
        <v>217</v>
      </c>
      <c r="E17" s="72">
        <f>E12*0.03</f>
        <v>102439.0243902439</v>
      </c>
    </row>
    <row r="18" spans="3:5" x14ac:dyDescent="0.35">
      <c r="C18" s="71" t="s">
        <v>218</v>
      </c>
      <c r="D18" s="71" t="s">
        <v>219</v>
      </c>
      <c r="E18" s="72">
        <v>75</v>
      </c>
    </row>
    <row r="19" spans="3:5" x14ac:dyDescent="0.35">
      <c r="C19" s="71" t="s">
        <v>220</v>
      </c>
      <c r="D19" s="71" t="s">
        <v>219</v>
      </c>
      <c r="E19" s="72">
        <f>E6*E18</f>
        <v>2625000</v>
      </c>
    </row>
    <row r="21" spans="3:5" x14ac:dyDescent="0.35">
      <c r="C21" s="59" t="s">
        <v>221</v>
      </c>
      <c r="D21" s="59"/>
      <c r="E21" s="68"/>
    </row>
    <row r="22" spans="3:5" x14ac:dyDescent="0.35">
      <c r="C22" s="59" t="s">
        <v>222</v>
      </c>
      <c r="D22" s="59" t="s">
        <v>212</v>
      </c>
      <c r="E22" s="68">
        <f>E10</f>
        <v>3414634.1463414636</v>
      </c>
    </row>
    <row r="23" spans="3:5" x14ac:dyDescent="0.35">
      <c r="C23" s="59" t="s">
        <v>223</v>
      </c>
      <c r="D23" s="59" t="s">
        <v>212</v>
      </c>
      <c r="E23" s="68">
        <f>E16*E26</f>
        <v>54548780.487804875</v>
      </c>
    </row>
    <row r="24" spans="3:5" x14ac:dyDescent="0.35">
      <c r="C24" s="59" t="s">
        <v>224</v>
      </c>
      <c r="D24" s="59" t="s">
        <v>212</v>
      </c>
      <c r="E24" s="68">
        <f>E22+E23</f>
        <v>57963414.63414634</v>
      </c>
    </row>
    <row r="25" spans="3:5" x14ac:dyDescent="0.35">
      <c r="C25" s="59" t="s">
        <v>244</v>
      </c>
      <c r="D25" s="59" t="s">
        <v>212</v>
      </c>
      <c r="E25" s="68"/>
    </row>
    <row r="26" spans="3:5" x14ac:dyDescent="0.35">
      <c r="C26" s="59" t="s">
        <v>225</v>
      </c>
      <c r="D26" s="59" t="s">
        <v>56</v>
      </c>
      <c r="E26" s="73">
        <v>20</v>
      </c>
    </row>
    <row r="27" spans="3:5" x14ac:dyDescent="0.35">
      <c r="C27" s="74"/>
      <c r="D27" s="74"/>
      <c r="E27" s="68"/>
    </row>
    <row r="28" spans="3:5" x14ac:dyDescent="0.35">
      <c r="C28" s="59" t="s">
        <v>226</v>
      </c>
      <c r="D28" s="60" t="s">
        <v>227</v>
      </c>
      <c r="E28" s="68">
        <f>E6*E26</f>
        <v>700000</v>
      </c>
    </row>
    <row r="29" spans="3:5" x14ac:dyDescent="0.35">
      <c r="C29" s="59" t="s">
        <v>228</v>
      </c>
      <c r="D29" s="59"/>
      <c r="E29" s="68">
        <f>E24/E28</f>
        <v>82.804878048780481</v>
      </c>
    </row>
    <row r="32" spans="3:5" x14ac:dyDescent="0.35">
      <c r="C32" s="10" t="s">
        <v>245</v>
      </c>
      <c r="D32" s="10" t="s">
        <v>227</v>
      </c>
    </row>
    <row r="33" spans="3:4" x14ac:dyDescent="0.35">
      <c r="C33" s="10" t="s">
        <v>246</v>
      </c>
      <c r="D33" s="10" t="s">
        <v>247</v>
      </c>
    </row>
    <row r="34" spans="3:4" x14ac:dyDescent="0.35">
      <c r="C34" s="13" t="s">
        <v>248</v>
      </c>
      <c r="D34" s="13" t="s">
        <v>249</v>
      </c>
    </row>
    <row r="35" spans="3:4" ht="29" customHeight="1" x14ac:dyDescent="0.35">
      <c r="C35" s="12" t="s">
        <v>148</v>
      </c>
      <c r="D35" s="10" t="s">
        <v>249</v>
      </c>
    </row>
    <row r="36" spans="3:4" x14ac:dyDescent="0.35">
      <c r="C36" s="10" t="s">
        <v>150</v>
      </c>
      <c r="D36" s="10" t="s">
        <v>151</v>
      </c>
    </row>
    <row r="37" spans="3:4" x14ac:dyDescent="0.35">
      <c r="C37" s="10" t="s">
        <v>185</v>
      </c>
      <c r="D37" s="10" t="s">
        <v>153</v>
      </c>
    </row>
  </sheetData>
  <pageMargins left="0.7" right="0.7" top="0.75" bottom="0.75" header="0.3" footer="0.3"/>
  <headerFooter>
    <oddHeader>&amp;R&amp;"Calibri"&amp;1 &amp;KFF8C00 CONFIDENTIAL#_x000D_</oddHead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G43"/>
  <sheetViews>
    <sheetView topLeftCell="A4" zoomScale="71" workbookViewId="0">
      <selection activeCell="C20" sqref="C20"/>
    </sheetView>
  </sheetViews>
  <sheetFormatPr defaultColWidth="8.81640625" defaultRowHeight="14.5" x14ac:dyDescent="0.35"/>
  <cols>
    <col min="2" max="2" width="36.54296875" customWidth="1"/>
    <col min="3" max="3" width="13.1796875" customWidth="1"/>
    <col min="4" max="4" width="15" customWidth="1"/>
    <col min="5" max="5" width="15.453125" customWidth="1"/>
    <col min="6" max="6" width="36.453125" bestFit="1" customWidth="1"/>
    <col min="7" max="7" width="83.1796875" bestFit="1" customWidth="1"/>
    <col min="16384" max="16384" width="9.1796875" bestFit="1" customWidth="1"/>
  </cols>
  <sheetData>
    <row r="2" spans="2:7" x14ac:dyDescent="0.35">
      <c r="B2" s="3">
        <v>1</v>
      </c>
      <c r="F2" t="s">
        <v>253</v>
      </c>
    </row>
    <row r="3" spans="2:7" ht="43.5" customHeight="1" x14ac:dyDescent="0.35">
      <c r="B3" s="10" t="s">
        <v>254</v>
      </c>
      <c r="C3" s="10" t="s">
        <v>44</v>
      </c>
      <c r="D3" s="10">
        <v>50000</v>
      </c>
      <c r="F3" s="15" t="s">
        <v>255</v>
      </c>
    </row>
    <row r="4" spans="2:7" ht="29" customHeight="1" x14ac:dyDescent="0.35">
      <c r="B4" s="10" t="s">
        <v>256</v>
      </c>
      <c r="C4" s="10" t="s">
        <v>257</v>
      </c>
      <c r="D4" s="10">
        <v>1500</v>
      </c>
      <c r="F4" s="15" t="s">
        <v>258</v>
      </c>
      <c r="G4" s="2" t="s">
        <v>259</v>
      </c>
    </row>
    <row r="5" spans="2:7" x14ac:dyDescent="0.35">
      <c r="B5" s="10" t="s">
        <v>260</v>
      </c>
      <c r="C5" s="10" t="s">
        <v>261</v>
      </c>
      <c r="D5" s="10">
        <f>D4/365</f>
        <v>4.1095890410958908</v>
      </c>
      <c r="F5" s="2"/>
    </row>
    <row r="6" spans="2:7" x14ac:dyDescent="0.35">
      <c r="B6" s="10" t="s">
        <v>262</v>
      </c>
      <c r="C6" s="10" t="s">
        <v>263</v>
      </c>
      <c r="D6" s="10">
        <v>35</v>
      </c>
      <c r="E6" t="s">
        <v>264</v>
      </c>
      <c r="F6" s="2"/>
    </row>
    <row r="7" spans="2:7" x14ac:dyDescent="0.35">
      <c r="B7" s="10" t="s">
        <v>265</v>
      </c>
      <c r="C7" s="10" t="s">
        <v>266</v>
      </c>
      <c r="D7" s="11">
        <v>0.8</v>
      </c>
      <c r="F7" s="2"/>
    </row>
    <row r="8" spans="2:7" x14ac:dyDescent="0.35">
      <c r="B8" s="10" t="s">
        <v>267</v>
      </c>
      <c r="C8" s="10" t="s">
        <v>268</v>
      </c>
      <c r="D8" s="10">
        <v>2400</v>
      </c>
      <c r="F8" s="2">
        <f>D11*2400</f>
        <v>1.08</v>
      </c>
    </row>
    <row r="9" spans="2:7" x14ac:dyDescent="0.35">
      <c r="B9" s="10" t="s">
        <v>269</v>
      </c>
      <c r="C9" s="10" t="s">
        <v>44</v>
      </c>
      <c r="D9" s="23">
        <f>D3/D7</f>
        <v>62500</v>
      </c>
      <c r="F9" s="2"/>
    </row>
    <row r="10" spans="2:7" x14ac:dyDescent="0.35">
      <c r="B10" s="13" t="s">
        <v>70</v>
      </c>
      <c r="C10" s="13" t="s">
        <v>66</v>
      </c>
      <c r="D10" s="24">
        <f>D9/D8</f>
        <v>26.041666666666668</v>
      </c>
      <c r="F10" s="2"/>
    </row>
    <row r="11" spans="2:7" x14ac:dyDescent="0.35">
      <c r="B11" s="13" t="s">
        <v>270</v>
      </c>
      <c r="C11" s="13" t="s">
        <v>66</v>
      </c>
      <c r="D11" s="13">
        <v>4.4999999999999999E-4</v>
      </c>
      <c r="F11" s="2" t="s">
        <v>271</v>
      </c>
    </row>
    <row r="12" spans="2:7" x14ac:dyDescent="0.35">
      <c r="B12" s="13"/>
      <c r="C12" s="13" t="s">
        <v>272</v>
      </c>
      <c r="D12" s="13">
        <v>0.45</v>
      </c>
      <c r="F12" s="2"/>
    </row>
    <row r="13" spans="2:7" ht="72.5" customHeight="1" x14ac:dyDescent="0.35">
      <c r="B13" s="10" t="s">
        <v>273</v>
      </c>
      <c r="C13" s="10" t="s">
        <v>274</v>
      </c>
      <c r="D13" s="10">
        <v>2.5</v>
      </c>
      <c r="E13" s="4" t="s">
        <v>275</v>
      </c>
      <c r="F13" s="2" t="s">
        <v>276</v>
      </c>
    </row>
    <row r="14" spans="2:7" x14ac:dyDescent="0.35">
      <c r="B14" s="10" t="s">
        <v>277</v>
      </c>
      <c r="C14" s="10" t="s">
        <v>278</v>
      </c>
      <c r="D14" s="10">
        <f>D9/F8</f>
        <v>57870.370370370365</v>
      </c>
      <c r="E14" s="4"/>
      <c r="F14" s="2"/>
    </row>
    <row r="15" spans="2:7" x14ac:dyDescent="0.35">
      <c r="B15" s="10" t="s">
        <v>279</v>
      </c>
      <c r="C15" s="10" t="s">
        <v>274</v>
      </c>
      <c r="D15" s="10">
        <f>D14*D16</f>
        <v>289351.8518518518</v>
      </c>
      <c r="E15" s="4"/>
      <c r="F15" s="2"/>
    </row>
    <row r="16" spans="2:7" x14ac:dyDescent="0.35">
      <c r="B16" s="10" t="s">
        <v>280</v>
      </c>
      <c r="C16" s="10" t="s">
        <v>281</v>
      </c>
      <c r="D16" s="10">
        <v>5</v>
      </c>
      <c r="E16" s="4"/>
      <c r="F16" s="2"/>
    </row>
    <row r="17" spans="2:7" x14ac:dyDescent="0.35">
      <c r="B17" s="13" t="s">
        <v>282</v>
      </c>
      <c r="C17" s="13" t="s">
        <v>274</v>
      </c>
      <c r="D17" s="13">
        <f>D14*D16</f>
        <v>289351.8518518518</v>
      </c>
      <c r="E17" s="4"/>
      <c r="F17" s="2"/>
    </row>
    <row r="18" spans="2:7" x14ac:dyDescent="0.35">
      <c r="B18" s="10" t="s">
        <v>283</v>
      </c>
      <c r="C18" s="10" t="s">
        <v>266</v>
      </c>
      <c r="D18" s="11">
        <v>0.2</v>
      </c>
    </row>
    <row r="19" spans="2:7" x14ac:dyDescent="0.35">
      <c r="B19" s="10" t="s">
        <v>284</v>
      </c>
      <c r="C19" s="10" t="s">
        <v>285</v>
      </c>
      <c r="D19" s="10">
        <f>D11*D8*D14*D18</f>
        <v>12500</v>
      </c>
    </row>
    <row r="22" spans="2:7" x14ac:dyDescent="0.35">
      <c r="B22" s="3">
        <v>2</v>
      </c>
    </row>
    <row r="23" spans="2:7" x14ac:dyDescent="0.35">
      <c r="B23" s="10"/>
      <c r="C23" s="10"/>
      <c r="D23" s="17" t="s">
        <v>286</v>
      </c>
      <c r="E23" s="10" t="s">
        <v>287</v>
      </c>
      <c r="F23" s="2"/>
    </row>
    <row r="24" spans="2:7" x14ac:dyDescent="0.35">
      <c r="B24" s="10" t="s">
        <v>72</v>
      </c>
      <c r="C24" s="10"/>
      <c r="D24" s="17"/>
      <c r="E24" s="12"/>
      <c r="F24" s="15"/>
    </row>
    <row r="25" spans="2:7" ht="29" customHeight="1" x14ac:dyDescent="0.35">
      <c r="B25" s="10" t="s">
        <v>288</v>
      </c>
      <c r="C25" s="10" t="s">
        <v>66</v>
      </c>
      <c r="D25" s="10">
        <f>D9/1000</f>
        <v>62.5</v>
      </c>
      <c r="E25" s="10">
        <f>D9/1000</f>
        <v>62.5</v>
      </c>
      <c r="F25" s="16" t="s">
        <v>289</v>
      </c>
      <c r="G25" s="15"/>
    </row>
    <row r="26" spans="2:7" ht="27.75" customHeight="1" x14ac:dyDescent="0.35">
      <c r="B26" s="10" t="s">
        <v>205</v>
      </c>
      <c r="C26" s="10" t="s">
        <v>290</v>
      </c>
      <c r="D26" s="10">
        <v>0.8</v>
      </c>
      <c r="E26" s="10">
        <v>0.8</v>
      </c>
      <c r="F26" s="4" t="s">
        <v>291</v>
      </c>
      <c r="G26" s="4" t="s">
        <v>292</v>
      </c>
    </row>
    <row r="27" spans="2:7" ht="27.75" customHeight="1" x14ac:dyDescent="0.35">
      <c r="B27" s="10" t="s">
        <v>293</v>
      </c>
      <c r="C27" s="10" t="s">
        <v>212</v>
      </c>
      <c r="D27" s="17">
        <f>D25*D26*1000000</f>
        <v>50000000</v>
      </c>
      <c r="E27" s="10">
        <f>E25*E26*1000000</f>
        <v>50000000</v>
      </c>
      <c r="F27" s="4"/>
      <c r="G27" s="4"/>
    </row>
    <row r="28" spans="2:7" x14ac:dyDescent="0.35">
      <c r="B28" s="10" t="s">
        <v>294</v>
      </c>
      <c r="C28" s="10"/>
      <c r="D28" s="10">
        <v>1.1000000000000001</v>
      </c>
      <c r="E28" s="10">
        <v>1.05</v>
      </c>
      <c r="F28" s="15" t="s">
        <v>295</v>
      </c>
      <c r="G28" s="4"/>
    </row>
    <row r="29" spans="2:7" x14ac:dyDescent="0.35">
      <c r="B29" s="10" t="s">
        <v>296</v>
      </c>
      <c r="C29" s="10" t="s">
        <v>212</v>
      </c>
      <c r="D29" s="17">
        <f>D27*(D28-1)</f>
        <v>5000000.0000000047</v>
      </c>
      <c r="E29" s="17">
        <f>E27*(E28-1)</f>
        <v>2500000.0000000023</v>
      </c>
      <c r="F29" s="4"/>
      <c r="G29" s="4"/>
    </row>
    <row r="30" spans="2:7" x14ac:dyDescent="0.35">
      <c r="B30" s="10" t="s">
        <v>297</v>
      </c>
      <c r="C30" s="10" t="s">
        <v>212</v>
      </c>
      <c r="D30" s="17"/>
      <c r="E30" s="17"/>
      <c r="F30" s="4"/>
      <c r="G30" s="4"/>
    </row>
    <row r="32" spans="2:7" x14ac:dyDescent="0.35">
      <c r="D32" s="4"/>
      <c r="F32" s="4"/>
    </row>
    <row r="33" spans="2:6" x14ac:dyDescent="0.35">
      <c r="B33" s="10" t="s">
        <v>215</v>
      </c>
      <c r="C33" s="10"/>
      <c r="D33" s="12"/>
      <c r="E33" s="10"/>
      <c r="F33" s="4"/>
    </row>
    <row r="34" spans="2:6" x14ac:dyDescent="0.35">
      <c r="B34" s="10" t="s">
        <v>216</v>
      </c>
      <c r="C34" s="10" t="s">
        <v>219</v>
      </c>
      <c r="D34" s="10">
        <v>15</v>
      </c>
      <c r="E34" s="12">
        <v>10</v>
      </c>
      <c r="F34" s="4"/>
    </row>
    <row r="35" spans="2:6" x14ac:dyDescent="0.35">
      <c r="B35" s="10" t="s">
        <v>298</v>
      </c>
      <c r="C35" s="10" t="s">
        <v>299</v>
      </c>
      <c r="D35" s="17">
        <f>0.8*D17</f>
        <v>231481.48148148146</v>
      </c>
      <c r="E35" s="12">
        <f>10*D17</f>
        <v>2893518.5185185177</v>
      </c>
      <c r="F35" s="2" t="s">
        <v>300</v>
      </c>
    </row>
    <row r="36" spans="2:6" x14ac:dyDescent="0.35">
      <c r="B36" s="18" t="s">
        <v>242</v>
      </c>
      <c r="C36" s="10" t="s">
        <v>219</v>
      </c>
      <c r="D36" s="10">
        <v>2</v>
      </c>
      <c r="E36" s="12">
        <v>1.5</v>
      </c>
      <c r="F36" s="15" t="s">
        <v>295</v>
      </c>
    </row>
    <row r="37" spans="2:6" ht="29" customHeight="1" x14ac:dyDescent="0.35">
      <c r="B37" s="10" t="s">
        <v>243</v>
      </c>
      <c r="C37" s="10" t="s">
        <v>219</v>
      </c>
      <c r="D37" s="10">
        <v>1</v>
      </c>
      <c r="E37" s="12">
        <v>0.5</v>
      </c>
      <c r="F37" s="4" t="s">
        <v>301</v>
      </c>
    </row>
    <row r="38" spans="2:6" x14ac:dyDescent="0.35">
      <c r="B38" s="10" t="s">
        <v>101</v>
      </c>
      <c r="C38" s="10" t="s">
        <v>302</v>
      </c>
      <c r="D38" s="10">
        <v>20</v>
      </c>
      <c r="E38" s="12">
        <v>20</v>
      </c>
      <c r="F38" s="4"/>
    </row>
    <row r="39" spans="2:6" x14ac:dyDescent="0.35">
      <c r="B39" s="10" t="s">
        <v>303</v>
      </c>
      <c r="C39" s="10" t="s">
        <v>212</v>
      </c>
      <c r="D39" s="10">
        <f>(D34+D36+D37)*D3*D38+D35*D38</f>
        <v>22629629.629629627</v>
      </c>
      <c r="E39" s="10">
        <f>(E34+E36+E37)*D3*E38+E35*E38</f>
        <v>69870370.370370358</v>
      </c>
      <c r="F39" s="4"/>
    </row>
    <row r="40" spans="2:6" x14ac:dyDescent="0.35">
      <c r="B40" s="10" t="s">
        <v>304</v>
      </c>
      <c r="C40" s="10"/>
      <c r="D40" s="10"/>
      <c r="E40" s="12"/>
      <c r="F40" s="4"/>
    </row>
    <row r="41" spans="2:6" x14ac:dyDescent="0.35">
      <c r="B41" s="10" t="s">
        <v>305</v>
      </c>
      <c r="C41" s="10" t="s">
        <v>212</v>
      </c>
      <c r="D41" s="17">
        <f>D27+D29</f>
        <v>55000000.000000007</v>
      </c>
      <c r="E41" s="17">
        <f>E27+E29</f>
        <v>52500000</v>
      </c>
      <c r="F41" s="4"/>
    </row>
    <row r="42" spans="2:6" x14ac:dyDescent="0.35">
      <c r="B42" s="10" t="s">
        <v>306</v>
      </c>
      <c r="C42" s="10" t="s">
        <v>212</v>
      </c>
      <c r="D42" s="17">
        <f>D39+D41</f>
        <v>77629629.629629642</v>
      </c>
      <c r="E42" s="17">
        <f>E39+E41</f>
        <v>122370370.37037036</v>
      </c>
      <c r="F42" s="4"/>
    </row>
    <row r="43" spans="2:6" x14ac:dyDescent="0.35">
      <c r="B43" s="10" t="s">
        <v>307</v>
      </c>
      <c r="C43" s="10" t="s">
        <v>308</v>
      </c>
      <c r="D43" s="10">
        <f>D42/(D3*20)</f>
        <v>77.629629629629648</v>
      </c>
      <c r="E43" s="10">
        <f>E42/(D3*20)</f>
        <v>122.37037037037035</v>
      </c>
      <c r="F43" s="4"/>
    </row>
  </sheetData>
  <hyperlinks>
    <hyperlink ref="F3" r:id="rId1" xr:uid="{00000000-0004-0000-0900-000000000000}"/>
    <hyperlink ref="F4" r:id="rId2" display="https://re.jrc.ec.europa.eu/pvg_tools/en/" xr:uid="{00000000-0004-0000-0900-000001000000}"/>
    <hyperlink ref="G4" r:id="rId3" xr:uid="{00000000-0004-0000-0900-000002000000}"/>
    <hyperlink ref="F11" r:id="rId4" xr:uid="{00000000-0004-0000-0900-000003000000}"/>
    <hyperlink ref="F13" r:id="rId5" xr:uid="{00000000-0004-0000-0900-000004000000}"/>
    <hyperlink ref="F28" r:id="rId6" xr:uid="{00000000-0004-0000-0900-000005000000}"/>
    <hyperlink ref="F35" r:id="rId7" xr:uid="{00000000-0004-0000-0900-000006000000}"/>
    <hyperlink ref="F36" r:id="rId8" xr:uid="{00000000-0004-0000-0900-000007000000}"/>
  </hyperlinks>
  <pageMargins left="0.7" right="0.7" top="0.75" bottom="0.75" header="0.3" footer="0.3"/>
  <headerFooter>
    <oddHeader>&amp;R&amp;"Calibri"&amp;1 &amp;KFF8C00 CONFIDENTIAL#_x000D_</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User Guide</vt:lpstr>
      <vt:lpstr>results</vt:lpstr>
      <vt:lpstr>results2</vt:lpstr>
      <vt:lpstr>Natural Gas Boiler</vt:lpstr>
      <vt:lpstr>Hydrogen+Alkaline Electro</vt:lpstr>
      <vt:lpstr>Biomass</vt:lpstr>
      <vt:lpstr>Geothermal</vt:lpstr>
      <vt:lpstr>Electric Boiler</vt:lpstr>
      <vt:lpstr>Heat pump fed by DE-modif</vt:lpstr>
      <vt:lpstr>Solar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 KAISSI Ghida</dc:creator>
  <cp:lastModifiedBy>Jad YOUNES (contractor)</cp:lastModifiedBy>
  <dcterms:created xsi:type="dcterms:W3CDTF">2025-03-20T08:31:10Z</dcterms:created>
  <dcterms:modified xsi:type="dcterms:W3CDTF">2025-04-20T20:41:39Z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0x01010098F5A435CD39F142AE5D3A2B3985820E</vt:lpwstr>
  </property>
  <property fmtid="{D5CDD505-2E9C-101B-9397-08002B2CF9AE}" pid="3" name="MSIP_Label_d2db9220-a04a-4f06-aab9-80cbe5287fb3_Enabled">
    <vt:lpwstr>true</vt:lpwstr>
  </property>
  <property fmtid="{D5CDD505-2E9C-101B-9397-08002B2CF9AE}" pid="4" name="MSIP_Label_d2db9220-a04a-4f06-aab9-80cbe5287fb3_SetDate">
    <vt:lpwstr>2025-04-20T10:44:13Z</vt:lpwstr>
  </property>
  <property fmtid="{D5CDD505-2E9C-101B-9397-08002B2CF9AE}" pid="5" name="MSIP_Label_d2db9220-a04a-4f06-aab9-80cbe5287fb3_Method">
    <vt:lpwstr>Standard</vt:lpwstr>
  </property>
  <property fmtid="{D5CDD505-2E9C-101B-9397-08002B2CF9AE}" pid="6" name="MSIP_Label_d2db9220-a04a-4f06-aab9-80cbe5287fb3_Name">
    <vt:lpwstr>d2db9220-a04a-4f06-aab9-80cbe5287fb3</vt:lpwstr>
  </property>
  <property fmtid="{D5CDD505-2E9C-101B-9397-08002B2CF9AE}" pid="7" name="MSIP_Label_d2db9220-a04a-4f06-aab9-80cbe5287fb3_SiteId">
    <vt:lpwstr>b3f4f7c2-72ce-4192-aba4-d6c7719b5766</vt:lpwstr>
  </property>
  <property fmtid="{D5CDD505-2E9C-101B-9397-08002B2CF9AE}" pid="8" name="MSIP_Label_d2db9220-a04a-4f06-aab9-80cbe5287fb3_ActionId">
    <vt:lpwstr>e133eec0-788c-490b-834a-523bad9c926f</vt:lpwstr>
  </property>
  <property fmtid="{D5CDD505-2E9C-101B-9397-08002B2CF9AE}" pid="9" name="MSIP_Label_d2db9220-a04a-4f06-aab9-80cbe5287fb3_ContentBits">
    <vt:lpwstr>1</vt:lpwstr>
  </property>
  <property fmtid="{D5CDD505-2E9C-101B-9397-08002B2CF9AE}" pid="10" name="MSIP_Label_d2db9220-a04a-4f06-aab9-80cbe5287fb3_Tag">
    <vt:lpwstr>10, 3, 0, 1</vt:lpwstr>
  </property>
</Properties>
</file>