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nalysisVals" sheetId="2" state="visible" r:id="rId3"/>
    <sheet name="DC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<sst xmlns="http://schemas.openxmlformats.org/spreadsheetml/2006/main" count="73" uniqueCount="59">
  <si>
    <t xml:space="preserve">Год</t>
  </si>
  <si>
    <t xml:space="preserve">LTM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</si>
  <si>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</si>
  <si>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</si>
  <si>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</si>
  <si>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</si>
  <si>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</si>
  <si>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</si>
  <si>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</si>
  <si>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</si>
  <si>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</si>
  <si>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Запасы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</si>
  <si>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</si>
  <si>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</si>
  <si>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</si>
  <si>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</si>
  <si>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</si>
  <si>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</si>
  <si>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</si>
  <si>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</si>
  <si>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</si>
  <si>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</si>
  <si>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</si>
  <si>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</si>
  <si>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</si>
  <si>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</si>
  <si>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</si>
  <si>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</si>
  <si>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</si>
  <si>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</si>
  <si>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</si>
  <si>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</si>
  <si>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</si>
  <si>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</si>
  <si>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</si>
  <si>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</si>
  <si>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</si>
  <si>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</si>
  <si>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</si>
  <si>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</si>
  <si>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</si>
  <si>
    <t xml:space="preserve">Доля собственного капитала</t>
  </si>
  <si>
    <t xml:space="preserve">Доля заёмного капитала</t>
  </si>
  <si>
    <t xml:space="preserve">Безрисковая ставка, ОФЗ на 10 лет (Rf)</t>
  </si>
  <si>
    <t xml:space="preserve">Средняя доходность фондового рынка (Rm)</t>
  </si>
  <si>
    <t xml:space="preserve">β</t>
  </si>
  <si>
    <t xml:space="preserve">Стоимость акционерного капитала (Re)</t>
  </si>
  <si>
    <t xml:space="preserve">Стоимость долгового капитала (Rd)</t>
  </si>
  <si>
    <t xml:space="preserve">WACC</t>
  </si>
  <si>
    <t xml:space="preserve">CAGR \ лет</t>
  </si>
  <si>
    <t xml:space="preserve">Амортизация/Выручка</t>
  </si>
  <si>
    <t xml:space="preserve">Capex/Выручка</t>
  </si>
  <si>
    <t xml:space="preserve">Оборотный капитал/Выручка</t>
  </si>
  <si>
    <t xml:space="preserve">TV</t>
  </si>
  <si>
    <t xml:space="preserve">Изменение оборотного капитала</t>
  </si>
  <si>
    <t xml:space="preserve">g</t>
  </si>
  <si>
    <t xml:space="preserve">Формула Гордона</t>
  </si>
  <si>
    <t xml:space="preserve">Справедливая цена акции</t>
  </si>
  <si>
    <t xml:space="preserve">Цена акции, 26.08.20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</si>
</sst>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\ [$₽-419];[RED]\-#,##0\ [$₽-419]"/>
    <numFmt numFmtId="167" formatCode="#,##0.00\ [$₽-419];[RED]\-#,##0.00\ [$₽-419]"/>
    <numFmt numFmtId="168" formatCode="0.00%"/>
    <numFmt numFmtId="169" formatCode="#,##0"/>
    <numFmt numFmtId="170" formatCode="#,##0.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B66C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0" activeCellId="0" sqref="C4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8" min="2" style="2" width="19.71"/>
    <col collapsed="false" customWidth="true" hidden="false" outlineLevel="0" max="9" min="9" style="0" width="19.71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n">
        <v>2019</v>
      </c>
      <c r="D1" s="5" t="n">
        <v>2018</v>
      </c>
      <c r="E1" s="5" t="n">
        <v>2017</v>
      </c>
      <c r="F1" s="5" t="n">
        <v>2016</v>
      </c>
      <c r="G1" s="5" t="n">
        <v>2015</v>
      </c>
      <c r="H1" s="5" t="n">
        <v>2014</v>
      </c>
      <c r="I1" s="5" t="n">
        <v>2013</v>
      </c>
    </row>
    <row r="2" s="7" customFormat="true" ht="12.8" hidden="false" customHeight="false" outlineLevel="0" collapsed="false">
      <c r="A2" s="1" t="s">
        <v>2</v>
      </c>
      <c r="B2" s="7" t="n">
        <f aca="false">(37819000000+C2-31405000000)</f>
        <v>59488000000</v>
      </c>
      <c r="C2" s="8" t="n">
        <v>53074000000</v>
      </c>
      <c r="D2" s="8" t="n">
        <v>43411000000</v>
      </c>
      <c r="E2" s="8" t="n">
        <v>37303000000</v>
      </c>
      <c r="F2" s="8" t="n">
        <v>35903000000</v>
      </c>
      <c r="G2" s="8" t="n">
        <v>30706000000</v>
      </c>
      <c r="H2" s="8" t="n">
        <v>28163000000</v>
      </c>
      <c r="I2" s="8" t="n">
        <v>26378000000</v>
      </c>
    </row>
    <row r="3" s="7" customFormat="true" ht="12.8" hidden="false" customHeight="false" outlineLevel="0" collapsed="false">
      <c r="A3" s="1" t="s">
        <v>3</v>
      </c>
      <c r="B3" s="7" t="n">
        <f aca="false">17097000000+C3-13056000000</f>
        <v>37588000000</v>
      </c>
      <c r="C3" s="8" t="n">
        <v>33547000000</v>
      </c>
      <c r="D3" s="8" t="n">
        <v>26521000000</v>
      </c>
      <c r="E3" s="8" t="n">
        <v>23628000000</v>
      </c>
      <c r="F3" s="8" t="n">
        <v>21385000000</v>
      </c>
      <c r="G3" s="8" t="n">
        <v>18033000000</v>
      </c>
      <c r="H3" s="8" t="n">
        <v>16135000000</v>
      </c>
      <c r="I3" s="8" t="n">
        <v>15098000000</v>
      </c>
    </row>
    <row r="4" s="11" customFormat="true" ht="12.8" hidden="false" customHeight="false" outlineLevel="0" collapsed="false">
      <c r="A4" s="9" t="s">
        <v>4</v>
      </c>
      <c r="B4" s="10" t="n">
        <f aca="false">B2-B3</f>
        <v>21900000000</v>
      </c>
      <c r="C4" s="10" t="n">
        <f aca="false">C2-C3</f>
        <v>19527000000</v>
      </c>
      <c r="D4" s="10" t="n">
        <f aca="false">D2-D3</f>
        <v>16890000000</v>
      </c>
      <c r="E4" s="10" t="n">
        <f aca="false">E2-E3</f>
        <v>13675000000</v>
      </c>
      <c r="F4" s="10" t="n">
        <f aca="false">F2-F3</f>
        <v>14518000000</v>
      </c>
      <c r="G4" s="10" t="n">
        <f aca="false">G2-G3</f>
        <v>12673000000</v>
      </c>
      <c r="H4" s="10" t="n">
        <f aca="false">H2-H3</f>
        <v>12028000000</v>
      </c>
      <c r="I4" s="10" t="n">
        <f aca="false">I2-I3</f>
        <v>11280000000</v>
      </c>
    </row>
    <row r="5" s="7" customFormat="true" ht="12.8" hidden="false" customHeight="false" outlineLevel="0" collapsed="false">
      <c r="A5" s="1" t="s">
        <v>5</v>
      </c>
      <c r="B5" s="7" t="n">
        <f aca="false">2167000000+C5-1734000000</f>
        <v>4825000000</v>
      </c>
      <c r="C5" s="8" t="n">
        <v>4392000000</v>
      </c>
      <c r="D5" s="8" t="n">
        <v>3273000000</v>
      </c>
      <c r="E5" s="8" t="n">
        <v>2848000000</v>
      </c>
      <c r="F5" s="8" t="n">
        <v>2486000000</v>
      </c>
      <c r="G5" s="8" t="n">
        <v>2109000000</v>
      </c>
      <c r="H5" s="8" t="n">
        <v>2274000000</v>
      </c>
      <c r="I5" s="8" t="n">
        <v>3127000000</v>
      </c>
    </row>
    <row r="6" s="7" customFormat="true" ht="12.8" hidden="false" customHeight="false" outlineLevel="0" collapsed="false">
      <c r="A6" s="1" t="s">
        <v>6</v>
      </c>
      <c r="B6" s="7" t="n">
        <f aca="false">566000000+C6-606000000</f>
        <v>1923000000</v>
      </c>
      <c r="C6" s="8" t="n">
        <v>1963000000</v>
      </c>
      <c r="D6" s="8" t="n">
        <v>1214000000</v>
      </c>
      <c r="E6" s="8" t="n">
        <v>926000000</v>
      </c>
      <c r="F6" s="8" t="n">
        <v>453000000</v>
      </c>
      <c r="G6" s="8" t="n">
        <v>372000000</v>
      </c>
      <c r="H6" s="8" t="n">
        <v>1329000000</v>
      </c>
      <c r="I6" s="8" t="n">
        <v>1925000000</v>
      </c>
    </row>
    <row r="7" s="7" customFormat="true" ht="12.8" hidden="false" customHeight="false" outlineLevel="0" collapsed="false">
      <c r="A7" s="1" t="s">
        <v>7</v>
      </c>
      <c r="B7" s="7" t="n">
        <f aca="false">106000000+C7-154000000</f>
        <v>482000000</v>
      </c>
      <c r="C7" s="8" t="n">
        <v>530000000</v>
      </c>
      <c r="D7" s="8" t="n">
        <v>276000000</v>
      </c>
      <c r="E7" s="8" t="n">
        <v>271000000</v>
      </c>
      <c r="F7" s="8" t="n">
        <v>178000000</v>
      </c>
      <c r="G7" s="8" t="n">
        <v>131000000</v>
      </c>
      <c r="H7" s="8" t="n">
        <v>239000000</v>
      </c>
      <c r="I7" s="8" t="n">
        <v>384000000</v>
      </c>
    </row>
    <row r="8" s="11" customFormat="true" ht="12.8" hidden="false" customHeight="false" outlineLevel="0" collapsed="false">
      <c r="A8" s="9" t="s">
        <v>8</v>
      </c>
      <c r="B8" s="10" t="n">
        <f aca="false">B6-B7</f>
        <v>1441000000</v>
      </c>
      <c r="C8" s="10" t="n">
        <f aca="false">C6-C7</f>
        <v>1433000000</v>
      </c>
      <c r="D8" s="10" t="n">
        <f aca="false">D6-D7</f>
        <v>938000000</v>
      </c>
      <c r="E8" s="10" t="n">
        <f aca="false">E6-E7</f>
        <v>655000000</v>
      </c>
      <c r="F8" s="10" t="n">
        <f aca="false">F6-F7</f>
        <v>275000000</v>
      </c>
      <c r="G8" s="10" t="n">
        <f aca="false">G6-G7</f>
        <v>241000000</v>
      </c>
      <c r="H8" s="10" t="n">
        <f aca="false">H6-H7</f>
        <v>1090000000</v>
      </c>
      <c r="I8" s="10" t="n">
        <f aca="false">I6-I7</f>
        <v>1541000000</v>
      </c>
    </row>
    <row r="9" s="7" customFormat="true" ht="12.8" hidden="false" customHeight="false" outlineLevel="0" collapsed="false">
      <c r="A9" s="1" t="s">
        <v>9</v>
      </c>
      <c r="B9" s="7" t="n">
        <v>29123000000</v>
      </c>
      <c r="C9" s="8" t="n">
        <v>29459000000</v>
      </c>
      <c r="D9" s="8" t="n">
        <v>25431000000</v>
      </c>
      <c r="E9" s="8" t="n">
        <v>17861000000</v>
      </c>
      <c r="F9" s="8" t="n">
        <v>16893000000</v>
      </c>
      <c r="G9" s="8" t="n">
        <v>15467000000</v>
      </c>
      <c r="H9" s="8" t="n">
        <v>14836000000</v>
      </c>
      <c r="I9" s="8" t="n">
        <v>13993000000</v>
      </c>
    </row>
    <row r="10" s="7" customFormat="true" ht="12.8" hidden="false" customHeight="false" outlineLevel="0" collapsed="false">
      <c r="A10" s="1" t="s">
        <v>10</v>
      </c>
      <c r="B10" s="7" t="n">
        <v>30444000000</v>
      </c>
      <c r="C10" s="8" t="n">
        <v>27969000000</v>
      </c>
      <c r="D10" s="8" t="n">
        <v>22691000000</v>
      </c>
      <c r="E10" s="8" t="n">
        <v>23134000000</v>
      </c>
      <c r="F10" s="8" t="n">
        <v>21100000000</v>
      </c>
      <c r="G10" s="8" t="n">
        <v>20186000000</v>
      </c>
      <c r="H10" s="8" t="n">
        <v>19883000000</v>
      </c>
      <c r="I10" s="8" t="n">
        <v>20289000000</v>
      </c>
    </row>
    <row r="11" s="13" customFormat="true" ht="12.8" hidden="false" customHeight="false" outlineLevel="0" collapsed="false">
      <c r="A11" s="12" t="s">
        <v>11</v>
      </c>
      <c r="B11" s="7" t="n">
        <v>18911000000</v>
      </c>
      <c r="C11" s="7" t="n">
        <v>16181000000</v>
      </c>
      <c r="D11" s="7" t="n">
        <v>12721000000</v>
      </c>
      <c r="E11" s="7" t="n">
        <v>9745000000</v>
      </c>
      <c r="F11" s="7"/>
      <c r="G11" s="7"/>
      <c r="H11" s="7"/>
      <c r="I11" s="7"/>
      <c r="J11" s="7"/>
      <c r="K11" s="7"/>
    </row>
    <row r="12" s="11" customFormat="true" ht="12.8" hidden="false" customHeight="false" outlineLevel="0" collapsed="false">
      <c r="A12" s="9" t="s">
        <v>12</v>
      </c>
      <c r="B12" s="10" t="n">
        <f aca="false">B9+B10</f>
        <v>59567000000</v>
      </c>
      <c r="C12" s="10" t="n">
        <f aca="false">C9+C10</f>
        <v>57428000000</v>
      </c>
      <c r="D12" s="10" t="n">
        <f aca="false">D9+D10</f>
        <v>48122000000</v>
      </c>
      <c r="E12" s="10" t="n">
        <f aca="false">E9+E10</f>
        <v>40995000000</v>
      </c>
      <c r="F12" s="10" t="n">
        <f aca="false">F9+F10</f>
        <v>37993000000</v>
      </c>
      <c r="G12" s="10" t="n">
        <f aca="false">G9+G10</f>
        <v>35653000000</v>
      </c>
      <c r="H12" s="10" t="n">
        <f aca="false">H9+H10</f>
        <v>34719000000</v>
      </c>
      <c r="I12" s="10" t="n">
        <f aca="false">I9+I10</f>
        <v>34282000000</v>
      </c>
    </row>
    <row r="13" s="7" customFormat="true" ht="12.8" hidden="false" customHeight="false" outlineLevel="0" collapsed="false">
      <c r="A13" s="1" t="s">
        <v>13</v>
      </c>
      <c r="B13" s="7" t="n">
        <v>19498000000</v>
      </c>
      <c r="C13" s="8" t="n">
        <v>20033000000</v>
      </c>
      <c r="D13" s="8" t="n">
        <v>19303000000</v>
      </c>
      <c r="E13" s="8" t="n">
        <v>19448000000</v>
      </c>
      <c r="F13" s="8" t="n">
        <v>19453000000</v>
      </c>
      <c r="G13" s="8" t="n">
        <v>19261000000</v>
      </c>
      <c r="H13" s="8" t="n">
        <v>19144000000</v>
      </c>
      <c r="I13" s="8" t="n">
        <v>18369000000</v>
      </c>
    </row>
    <row r="14" s="7" customFormat="true" ht="12.8" hidden="false" customHeight="false" outlineLevel="0" collapsed="false">
      <c r="A14" s="1" t="s">
        <v>14</v>
      </c>
      <c r="B14" s="7" t="n">
        <v>20551000000</v>
      </c>
      <c r="C14" s="8" t="n">
        <v>16611000000</v>
      </c>
      <c r="D14" s="8" t="n">
        <v>14079000000</v>
      </c>
      <c r="E14" s="8" t="n">
        <v>10956000000</v>
      </c>
      <c r="F14" s="8" t="n">
        <v>6968000000</v>
      </c>
      <c r="G14" s="8" t="n">
        <v>6202000000</v>
      </c>
      <c r="H14" s="8" t="n">
        <v>6076000000</v>
      </c>
      <c r="I14" s="8" t="n">
        <v>6347000000</v>
      </c>
    </row>
    <row r="15" s="7" customFormat="true" ht="12.8" hidden="false" customHeight="false" outlineLevel="0" collapsed="false">
      <c r="A15" s="1" t="s">
        <v>15</v>
      </c>
      <c r="B15" s="7" t="n">
        <v>19518000000</v>
      </c>
      <c r="C15" s="8" t="n">
        <v>20784000000</v>
      </c>
      <c r="D15" s="8" t="n">
        <v>14740000000</v>
      </c>
      <c r="E15" s="8" t="n">
        <v>10591000000</v>
      </c>
      <c r="F15" s="8" t="n">
        <v>11572000000</v>
      </c>
      <c r="G15" s="8" t="n">
        <v>10190000000</v>
      </c>
      <c r="H15" s="8" t="n">
        <v>9499000000</v>
      </c>
      <c r="I15" s="8" t="n">
        <v>9566000000</v>
      </c>
    </row>
    <row r="16" s="11" customFormat="true" ht="12.8" hidden="false" customHeight="false" outlineLevel="0" collapsed="false">
      <c r="A16" s="9" t="s">
        <v>16</v>
      </c>
      <c r="B16" s="10" t="n">
        <f aca="false">B14+B15</f>
        <v>40069000000</v>
      </c>
      <c r="C16" s="10" t="n">
        <f aca="false">C14+C15</f>
        <v>37395000000</v>
      </c>
      <c r="D16" s="10" t="n">
        <f aca="false">D14+D15</f>
        <v>28819000000</v>
      </c>
      <c r="E16" s="10" t="n">
        <f aca="false">E14+E15</f>
        <v>21547000000</v>
      </c>
      <c r="F16" s="10" t="n">
        <f aca="false">F14+F15</f>
        <v>18540000000</v>
      </c>
      <c r="G16" s="10" t="n">
        <f aca="false">G14+G15</f>
        <v>16392000000</v>
      </c>
      <c r="H16" s="10" t="n">
        <f aca="false">H14+H15</f>
        <v>15575000000</v>
      </c>
      <c r="I16" s="10" t="n">
        <f aca="false">I14+I15</f>
        <v>15913000000</v>
      </c>
    </row>
    <row r="17" s="11" customFormat="true" ht="12.8" hidden="false" customHeight="false" outlineLevel="0" collapsed="false">
      <c r="A17" s="9" t="s">
        <v>17</v>
      </c>
      <c r="B17" s="10" t="n">
        <f aca="false">B16+B13</f>
        <v>59567000000</v>
      </c>
      <c r="C17" s="10" t="n">
        <f aca="false">C16+C13</f>
        <v>57428000000</v>
      </c>
      <c r="D17" s="10" t="n">
        <f aca="false">D16+D13</f>
        <v>48122000000</v>
      </c>
      <c r="E17" s="10" t="n">
        <f aca="false">E16+E13</f>
        <v>40995000000</v>
      </c>
      <c r="F17" s="10" t="n">
        <f aca="false">F16+F13</f>
        <v>37993000000</v>
      </c>
      <c r="G17" s="10" t="n">
        <f aca="false">G16+G13</f>
        <v>35653000000</v>
      </c>
      <c r="H17" s="10" t="n">
        <f aca="false">H16+H13</f>
        <v>34719000000</v>
      </c>
      <c r="I17" s="10" t="n">
        <f aca="false">I16+I13</f>
        <v>34282000000</v>
      </c>
    </row>
    <row r="18" s="11" customFormat="true" ht="12.8" hidden="false" customHeight="false" outlineLevel="0" collapsed="false">
      <c r="A18" s="9" t="s">
        <v>18</v>
      </c>
      <c r="B18" s="14" t="n">
        <f aca="false">B7/B6</f>
        <v>0.25065002600104</v>
      </c>
      <c r="C18" s="14" t="n">
        <f aca="false">C7/C6</f>
        <v>0.269994905756495</v>
      </c>
      <c r="D18" s="14" t="n">
        <f aca="false">D7/D6</f>
        <v>0.227347611202636</v>
      </c>
      <c r="E18" s="14" t="n">
        <f aca="false">E7/E6</f>
        <v>0.292656587473002</v>
      </c>
      <c r="F18" s="14" t="n">
        <f aca="false">F7/F6</f>
        <v>0.392935982339956</v>
      </c>
      <c r="G18" s="14" t="n">
        <f aca="false">G7/G6</f>
        <v>0.352150537634409</v>
      </c>
      <c r="H18" s="14" t="n">
        <f aca="false">H7/H6</f>
        <v>0.179834462001505</v>
      </c>
      <c r="I18" s="14" t="n">
        <f aca="false">I7/I6</f>
        <v>0.199480519480519</v>
      </c>
    </row>
    <row r="19" s="7" customFormat="true" ht="12.8" hidden="false" customHeight="false" outlineLevel="0" collapsed="false">
      <c r="A19" s="1" t="s">
        <v>19</v>
      </c>
      <c r="B19" s="7" t="n">
        <f aca="false">1158000000+C19-969000000</f>
        <v>2292000000</v>
      </c>
      <c r="C19" s="8" t="n">
        <v>2103000000</v>
      </c>
      <c r="D19" s="8" t="n">
        <v>978000000</v>
      </c>
      <c r="E19" s="8" t="n">
        <v>768000000</v>
      </c>
      <c r="F19" s="8" t="n">
        <v>726000000</v>
      </c>
      <c r="G19" s="8" t="n">
        <v>776000000</v>
      </c>
      <c r="H19" s="8" t="n">
        <v>699000000</v>
      </c>
      <c r="I19" s="8" t="n">
        <v>547000000</v>
      </c>
    </row>
    <row r="20" s="7" customFormat="true" ht="12.8" hidden="false" customHeight="false" outlineLevel="0" collapsed="false">
      <c r="A20" s="1" t="s">
        <v>20</v>
      </c>
      <c r="B20" s="7" t="n">
        <f aca="false">459000000+C20-877000000</f>
        <v>1242000000</v>
      </c>
      <c r="C20" s="8" t="n">
        <v>1660000000</v>
      </c>
      <c r="D20" s="8" t="n">
        <v>1756000000</v>
      </c>
      <c r="E20" s="8" t="n">
        <v>918000000</v>
      </c>
      <c r="F20" s="8" t="n">
        <v>579000000</v>
      </c>
      <c r="G20" s="8" t="n">
        <v>639000000</v>
      </c>
      <c r="H20" s="8" t="n">
        <v>790000000</v>
      </c>
      <c r="I20" s="8" t="n">
        <v>1147000000</v>
      </c>
    </row>
    <row r="21" s="11" customFormat="true" ht="12.8" hidden="false" customHeight="false" outlineLevel="0" collapsed="false">
      <c r="A21" s="9" t="s">
        <v>21</v>
      </c>
      <c r="B21" s="10" t="n">
        <f aca="false">B10-B15</f>
        <v>10926000000</v>
      </c>
      <c r="C21" s="10" t="n">
        <f aca="false">C10-C15</f>
        <v>7185000000</v>
      </c>
      <c r="D21" s="10" t="n">
        <f aca="false">D10-D15</f>
        <v>7951000000</v>
      </c>
      <c r="E21" s="10" t="n">
        <f aca="false">E10-E15</f>
        <v>12543000000</v>
      </c>
      <c r="F21" s="10" t="n">
        <f aca="false">F10-F15</f>
        <v>9528000000</v>
      </c>
      <c r="G21" s="10" t="n">
        <f aca="false">G10-G15</f>
        <v>9996000000</v>
      </c>
      <c r="H21" s="10" t="n">
        <f aca="false">H10-H15</f>
        <v>10384000000</v>
      </c>
      <c r="I21" s="10" t="n">
        <f aca="false">I10-I15</f>
        <v>10723000000</v>
      </c>
    </row>
    <row r="22" s="11" customFormat="true" ht="12.8" hidden="false" customHeight="false" outlineLevel="0" collapsed="false">
      <c r="A22" s="9" t="s">
        <v>22</v>
      </c>
      <c r="B22" s="10" t="n">
        <f aca="false">B21-C21</f>
        <v>3741000000</v>
      </c>
      <c r="C22" s="10" t="n">
        <f aca="false">C21-D21</f>
        <v>-766000000</v>
      </c>
      <c r="D22" s="10" t="n">
        <f aca="false">D21-E21</f>
        <v>-4592000000</v>
      </c>
      <c r="E22" s="10" t="n">
        <f aca="false">E21-F21</f>
        <v>3015000000</v>
      </c>
      <c r="F22" s="10" t="n">
        <f aca="false">F21-G21</f>
        <v>-468000000</v>
      </c>
      <c r="G22" s="10" t="n">
        <f aca="false">G21-H21</f>
        <v>-388000000</v>
      </c>
      <c r="H22" s="10" t="n">
        <f aca="false">H21-I21</f>
        <v>-339000000</v>
      </c>
      <c r="I22" s="10"/>
    </row>
    <row r="23" s="11" customFormat="true" ht="12.8" hidden="false" customHeight="false" outlineLevel="0" collapsed="false">
      <c r="A23" s="9" t="s">
        <v>23</v>
      </c>
      <c r="B23" s="10" t="n">
        <f aca="false">B5*(1-B18)+B19-B20-B22</f>
        <v>924613624.544982</v>
      </c>
      <c r="C23" s="10" t="n">
        <f aca="false">C5*(1-C18)+C19-C20-C22</f>
        <v>4415182373.91747</v>
      </c>
      <c r="D23" s="10" t="n">
        <f aca="false">D5*(1-D18)+D19-D20-D22</f>
        <v>6342891268.53377</v>
      </c>
      <c r="E23" s="10" t="n">
        <f aca="false">E5*(1-E18)+E19-E20-E22</f>
        <v>-1150485961.12311</v>
      </c>
      <c r="F23" s="10" t="n">
        <f aca="false">F5*(1-F18)+F19-F20-F22</f>
        <v>2124161147.90287</v>
      </c>
      <c r="G23" s="10" t="n">
        <f aca="false">G5*(1-G18)+G19-G20-G22</f>
        <v>1891314516.12903</v>
      </c>
      <c r="H23" s="10" t="n">
        <f aca="false">H5*(1-H18)+H19-H20-H22</f>
        <v>2113056433.40858</v>
      </c>
      <c r="I23" s="10"/>
    </row>
    <row r="24" s="15" customFormat="true" ht="12.8" hidden="false" customHeight="false" outlineLevel="0" collapsed="false">
      <c r="A24" s="1" t="s">
        <v>24</v>
      </c>
      <c r="B24" s="15" t="n">
        <v>12584000</v>
      </c>
      <c r="C24" s="16" t="n">
        <v>13046000</v>
      </c>
      <c r="D24" s="16" t="n">
        <v>13448000</v>
      </c>
      <c r="E24" s="16" t="n">
        <v>16993000</v>
      </c>
      <c r="F24" s="16" t="n">
        <v>17188000000</v>
      </c>
      <c r="G24" s="16" t="n">
        <v>17203000000</v>
      </c>
      <c r="H24" s="16" t="n">
        <v>17252000000</v>
      </c>
      <c r="I24" s="16" t="n">
        <v>18050000000</v>
      </c>
    </row>
    <row r="25" s="7" customFormat="true" ht="12.8" hidden="false" customHeight="false" outlineLevel="0" collapsed="false">
      <c r="A25" s="1" t="s">
        <v>25</v>
      </c>
      <c r="B25" s="7" t="n">
        <v>1330</v>
      </c>
      <c r="C25" s="8" t="n">
        <v>740</v>
      </c>
      <c r="D25" s="8" t="n">
        <v>408</v>
      </c>
      <c r="E25" s="8" t="n">
        <v>645</v>
      </c>
      <c r="F25" s="8"/>
      <c r="G25" s="8"/>
      <c r="H25" s="8"/>
      <c r="I25" s="8"/>
    </row>
    <row r="26" s="11" customFormat="true" ht="12.8" hidden="false" customHeight="false" outlineLevel="0" collapsed="false">
      <c r="A26" s="9" t="s">
        <v>26</v>
      </c>
      <c r="B26" s="10" t="n">
        <f aca="false">B24*B25</f>
        <v>16736720000</v>
      </c>
      <c r="C26" s="10" t="n">
        <f aca="false">C24*C25</f>
        <v>9654040000</v>
      </c>
      <c r="D26" s="10" t="n">
        <f aca="false">D24*D25</f>
        <v>5486784000</v>
      </c>
      <c r="E26" s="10" t="n">
        <f aca="false">E24*E25</f>
        <v>10960485000</v>
      </c>
      <c r="F26" s="10"/>
      <c r="G26" s="10"/>
      <c r="H26" s="10"/>
      <c r="I26" s="10"/>
    </row>
    <row r="27" s="7" customFormat="true" ht="12.8" hidden="false" customHeight="false" outlineLevel="0" collapsed="false">
      <c r="A27" s="1" t="s">
        <v>27</v>
      </c>
      <c r="B27" s="7" t="n">
        <v>17314000000</v>
      </c>
      <c r="C27" s="8" t="n">
        <v>12628000000</v>
      </c>
      <c r="D27" s="8" t="n">
        <v>12419000000</v>
      </c>
      <c r="E27" s="8" t="n">
        <v>10112000000</v>
      </c>
      <c r="F27" s="8" t="n">
        <v>6123000000</v>
      </c>
      <c r="G27" s="8"/>
      <c r="H27" s="8"/>
      <c r="I27" s="8"/>
    </row>
    <row r="28" s="7" customFormat="true" ht="12.8" hidden="false" customHeight="false" outlineLevel="0" collapsed="false">
      <c r="A28" s="1" t="s">
        <v>28</v>
      </c>
      <c r="B28" s="7" t="n">
        <v>2389000000</v>
      </c>
      <c r="C28" s="8" t="n">
        <v>2388000000</v>
      </c>
      <c r="D28" s="8" t="n">
        <v>467000000</v>
      </c>
      <c r="E28" s="8" t="n">
        <v>900000000</v>
      </c>
      <c r="F28" s="8" t="n">
        <v>2930000000</v>
      </c>
      <c r="G28" s="8"/>
      <c r="H28" s="8"/>
      <c r="I28" s="8"/>
    </row>
    <row r="29" s="11" customFormat="true" ht="12.8" hidden="false" customHeight="false" outlineLevel="0" collapsed="false">
      <c r="A29" s="9" t="s">
        <v>29</v>
      </c>
      <c r="B29" s="10" t="n">
        <f aca="false">B27+B28</f>
        <v>19703000000</v>
      </c>
      <c r="C29" s="10" t="n">
        <f aca="false">C27+C28</f>
        <v>15016000000</v>
      </c>
      <c r="D29" s="10" t="n">
        <f aca="false">D27+D28</f>
        <v>12886000000</v>
      </c>
      <c r="E29" s="10" t="n">
        <f aca="false">E27+E28</f>
        <v>11012000000</v>
      </c>
      <c r="F29" s="10" t="n">
        <f aca="false">F27+F28</f>
        <v>9053000000</v>
      </c>
      <c r="G29" s="10"/>
      <c r="H29" s="10"/>
      <c r="I29" s="10"/>
    </row>
    <row r="30" s="7" customFormat="true" ht="12.8" hidden="false" customHeight="false" outlineLevel="0" collapsed="false">
      <c r="A30" s="1" t="s">
        <v>30</v>
      </c>
      <c r="B30" s="7" t="n">
        <f aca="false">3017000000+C30-812000000</f>
        <v>3290000000</v>
      </c>
      <c r="C30" s="8" t="n">
        <v>1085000000</v>
      </c>
      <c r="D30" s="8" t="n">
        <v>1083000000</v>
      </c>
      <c r="E30" s="8" t="n">
        <v>819000000</v>
      </c>
      <c r="F30" s="8" t="n">
        <v>1010000000</v>
      </c>
      <c r="G30" s="8"/>
      <c r="H30" s="8"/>
      <c r="I30" s="8"/>
    </row>
    <row r="31" s="11" customFormat="true" ht="12.8" hidden="false" customHeight="false" outlineLevel="0" collapsed="false">
      <c r="A31" s="9" t="s">
        <v>31</v>
      </c>
      <c r="B31" s="10" t="n">
        <f aca="false">B29-B30</f>
        <v>16413000000</v>
      </c>
      <c r="C31" s="10" t="n">
        <f aca="false">C29-C30</f>
        <v>13931000000</v>
      </c>
      <c r="D31" s="10" t="n">
        <f aca="false">D29-D30</f>
        <v>11803000000</v>
      </c>
      <c r="E31" s="10" t="n">
        <f aca="false">E29-E30</f>
        <v>10193000000</v>
      </c>
      <c r="F31" s="10" t="n">
        <f aca="false">F29-F30</f>
        <v>8043000000</v>
      </c>
      <c r="G31" s="10"/>
      <c r="H31" s="10"/>
      <c r="I31" s="10"/>
    </row>
    <row r="32" s="11" customFormat="true" ht="12.8" hidden="false" customHeight="false" outlineLevel="0" collapsed="false">
      <c r="A32" s="9" t="s">
        <v>32</v>
      </c>
      <c r="B32" s="10" t="n">
        <f aca="false">B26+B31</f>
        <v>33149720000</v>
      </c>
      <c r="C32" s="10" t="n">
        <f aca="false">C26+C31</f>
        <v>23585040000</v>
      </c>
      <c r="D32" s="10" t="n">
        <f aca="false">D26+D31</f>
        <v>17289784000</v>
      </c>
      <c r="E32" s="10" t="n">
        <f aca="false">E26+E31</f>
        <v>21153485000</v>
      </c>
      <c r="F32" s="10"/>
      <c r="G32" s="10"/>
      <c r="H32" s="10"/>
      <c r="I32" s="10"/>
    </row>
    <row r="33" s="11" customFormat="true" ht="12.8" hidden="false" customHeight="false" outlineLevel="0" collapsed="false">
      <c r="A33" s="9" t="s">
        <v>33</v>
      </c>
      <c r="B33" s="10" t="n">
        <f aca="false">B5+B19</f>
        <v>7117000000</v>
      </c>
      <c r="C33" s="10" t="n">
        <f aca="false">C5+C19</f>
        <v>6495000000</v>
      </c>
      <c r="D33" s="10" t="n">
        <f aca="false">D5+D19</f>
        <v>4251000000</v>
      </c>
      <c r="E33" s="10" t="n">
        <f aca="false">E5+E19</f>
        <v>3616000000</v>
      </c>
      <c r="F33" s="10" t="n">
        <f aca="false">F5+F19</f>
        <v>3212000000</v>
      </c>
      <c r="G33" s="10" t="n">
        <f aca="false">G5+G19</f>
        <v>2885000000</v>
      </c>
      <c r="H33" s="10" t="n">
        <f aca="false">H5+H19</f>
        <v>2973000000</v>
      </c>
      <c r="I33" s="10" t="n">
        <f aca="false">I5+I19</f>
        <v>3674000000</v>
      </c>
    </row>
    <row r="34" s="18" customFormat="true" ht="12.8" hidden="false" customHeight="false" outlineLevel="0" collapsed="false">
      <c r="A34" s="9" t="s">
        <v>34</v>
      </c>
      <c r="B34" s="17" t="n">
        <f aca="false">B32/B33</f>
        <v>4.65782211606014</v>
      </c>
      <c r="C34" s="17" t="n">
        <f aca="false">C32/C33</f>
        <v>3.63126096997691</v>
      </c>
      <c r="D34" s="17" t="n">
        <f aca="false">D32/D33</f>
        <v>4.06722747588803</v>
      </c>
      <c r="E34" s="17" t="n">
        <f aca="false">E32/E33</f>
        <v>5.84996819690266</v>
      </c>
      <c r="F34" s="17"/>
      <c r="G34" s="17"/>
      <c r="H34" s="17"/>
      <c r="I34" s="17"/>
    </row>
    <row r="35" s="18" customFormat="true" ht="12.8" hidden="false" customHeight="false" outlineLevel="0" collapsed="false">
      <c r="A35" s="9" t="s">
        <v>35</v>
      </c>
      <c r="B35" s="17" t="n">
        <f aca="false">B32/B2</f>
        <v>0.557250537923615</v>
      </c>
      <c r="C35" s="17" t="n">
        <f aca="false">C32/C2</f>
        <v>0.444380299204884</v>
      </c>
      <c r="D35" s="17" t="n">
        <f aca="false">D32/D2</f>
        <v>0.398281172974592</v>
      </c>
      <c r="E35" s="17" t="n">
        <f aca="false">E32/E2</f>
        <v>0.567071951317588</v>
      </c>
      <c r="F35" s="17"/>
      <c r="G35" s="17"/>
      <c r="H35" s="17"/>
      <c r="I35" s="17"/>
    </row>
    <row r="36" s="18" customFormat="true" ht="12.8" hidden="false" customHeight="false" outlineLevel="0" collapsed="false">
      <c r="A36" s="9" t="s">
        <v>36</v>
      </c>
      <c r="B36" s="17" t="n">
        <f aca="false">B26/B8</f>
        <v>11.6146564885496</v>
      </c>
      <c r="C36" s="17" t="n">
        <f aca="false">C26/C8</f>
        <v>6.7369434752268</v>
      </c>
      <c r="D36" s="17" t="n">
        <f aca="false">D26/D8</f>
        <v>5.84944989339019</v>
      </c>
      <c r="E36" s="17" t="n">
        <f aca="false">E26/E8</f>
        <v>16.7335648854962</v>
      </c>
      <c r="F36" s="17"/>
      <c r="G36" s="17"/>
      <c r="H36" s="17"/>
      <c r="I36" s="17"/>
    </row>
    <row r="37" s="18" customFormat="true" ht="12.8" hidden="false" customHeight="false" outlineLevel="0" collapsed="false">
      <c r="A37" s="9" t="s">
        <v>37</v>
      </c>
      <c r="B37" s="17" t="n">
        <f aca="false">B26/B2</f>
        <v>0.281346153846154</v>
      </c>
      <c r="C37" s="17" t="n">
        <f aca="false">C26/C2</f>
        <v>0.181897727700946</v>
      </c>
      <c r="D37" s="17" t="n">
        <f aca="false">D26/D2</f>
        <v>0.126391559742922</v>
      </c>
      <c r="E37" s="17" t="n">
        <f aca="false">E26/E2</f>
        <v>0.293823150953006</v>
      </c>
      <c r="F37" s="17"/>
      <c r="G37" s="17"/>
      <c r="H37" s="17"/>
      <c r="I37" s="17"/>
    </row>
    <row r="38" s="20" customFormat="true" ht="12.8" hidden="false" customHeight="false" outlineLevel="0" collapsed="false">
      <c r="A38" s="9" t="s">
        <v>38</v>
      </c>
      <c r="B38" s="17" t="n">
        <f aca="false">B29/B33</f>
        <v>2.76844175916819</v>
      </c>
      <c r="C38" s="17" t="n">
        <f aca="false">C29/C33</f>
        <v>2.31193225558122</v>
      </c>
      <c r="D38" s="17" t="n">
        <f aca="false">D29/D33</f>
        <v>3.0312867560574</v>
      </c>
      <c r="E38" s="17" t="n">
        <f aca="false">E29/E33</f>
        <v>3.04535398230088</v>
      </c>
      <c r="F38" s="17" t="n">
        <f aca="false">F29/F33</f>
        <v>2.81849315068493</v>
      </c>
      <c r="G38" s="19"/>
      <c r="H38" s="19"/>
      <c r="I38" s="19"/>
    </row>
    <row r="39" s="20" customFormat="true" ht="12.8" hidden="false" customHeight="false" outlineLevel="0" collapsed="false">
      <c r="A39" s="9" t="s">
        <v>39</v>
      </c>
      <c r="B39" s="14" t="n">
        <f aca="false">B8/AVERAGE(B12:C12)</f>
        <v>0.0246335313474935</v>
      </c>
      <c r="C39" s="14" t="n">
        <f aca="false">C8/AVERAGE(C12:D12)</f>
        <v>0.0271530080530554</v>
      </c>
      <c r="D39" s="14" t="n">
        <f aca="false">D8/AVERAGE(D12:E12)</f>
        <v>0.0210509779278925</v>
      </c>
      <c r="E39" s="14" t="n">
        <f aca="false">E8/AVERAGE(E12:F12)</f>
        <v>0.0165847976907885</v>
      </c>
      <c r="F39" s="14" t="n">
        <f aca="false">F8/AVERAGE(F12:G12)</f>
        <v>0.00746815848790158</v>
      </c>
      <c r="G39" s="14" t="n">
        <f aca="false">G8/AVERAGE(G12:H12)</f>
        <v>0.00684931506849315</v>
      </c>
      <c r="H39" s="14" t="n">
        <f aca="false">H8/AVERAGE(H12:I12)</f>
        <v>0.0315937450181881</v>
      </c>
      <c r="I39" s="19"/>
    </row>
    <row r="40" s="13" customFormat="true" ht="12.8" hidden="false" customHeight="false" outlineLevel="0" collapsed="false">
      <c r="A40" s="1" t="s">
        <v>40</v>
      </c>
      <c r="B40" s="21" t="n">
        <v>42</v>
      </c>
      <c r="C40" s="8" t="n">
        <v>42</v>
      </c>
      <c r="D40" s="8" t="n">
        <v>0</v>
      </c>
      <c r="E40" s="8" t="n">
        <v>0</v>
      </c>
      <c r="F40" s="8"/>
      <c r="G40" s="8"/>
      <c r="H40" s="8"/>
      <c r="I40" s="8"/>
      <c r="J40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2" width="39.2"/>
  </cols>
  <sheetData>
    <row r="1" customFormat="false" ht="12.8" hidden="false" customHeight="false" outlineLevel="0" collapsed="false">
      <c r="A1" s="23" t="s">
        <v>41</v>
      </c>
      <c r="B1" s="24" t="n">
        <f aca="false">Data!$D$13/Data!$D$12</f>
        <v>0.401126303977391</v>
      </c>
    </row>
    <row r="2" s="24" customFormat="true" ht="12.8" hidden="false" customHeight="false" outlineLevel="0" collapsed="false">
      <c r="A2" s="23" t="s">
        <v>42</v>
      </c>
      <c r="B2" s="24" t="n">
        <f aca="false">1-B1</f>
        <v>0.598873696022609</v>
      </c>
    </row>
    <row r="3" s="24" customFormat="true" ht="12.8" hidden="false" customHeight="false" outlineLevel="0" collapsed="false">
      <c r="A3" s="22" t="s">
        <v>7</v>
      </c>
      <c r="B3" s="24" t="n">
        <f aca="false">Data!$D$18</f>
        <v>0.227347611202636</v>
      </c>
    </row>
    <row r="4" customFormat="false" ht="12.8" hidden="false" customHeight="false" outlineLevel="0" collapsed="false">
      <c r="A4" s="22" t="s">
        <v>43</v>
      </c>
      <c r="B4" s="24" t="n">
        <v>0.056</v>
      </c>
    </row>
    <row r="5" customFormat="false" ht="12.8" hidden="false" customHeight="false" outlineLevel="0" collapsed="false">
      <c r="A5" s="22" t="s">
        <v>44</v>
      </c>
      <c r="B5" s="24" t="n">
        <v>0.198</v>
      </c>
    </row>
    <row r="6" customFormat="false" ht="12.8" hidden="false" customHeight="false" outlineLevel="0" collapsed="false">
      <c r="A6" s="25" t="s">
        <v>45</v>
      </c>
      <c r="B6" s="0" t="n">
        <v>0.17</v>
      </c>
    </row>
    <row r="7" customFormat="false" ht="12.8" hidden="false" customHeight="false" outlineLevel="0" collapsed="false">
      <c r="A7" s="22" t="s">
        <v>46</v>
      </c>
      <c r="B7" s="24" t="n">
        <f aca="false">B4+B6*(B5-B4)</f>
        <v>0.08014</v>
      </c>
    </row>
    <row r="8" customFormat="false" ht="12.8" hidden="false" customHeight="false" outlineLevel="0" collapsed="false">
      <c r="A8" s="22" t="s">
        <v>47</v>
      </c>
      <c r="B8" s="24" t="n">
        <v>0.0898</v>
      </c>
    </row>
    <row r="9" customFormat="false" ht="12.8" hidden="false" customHeight="false" outlineLevel="0" collapsed="false">
      <c r="A9" s="22" t="s">
        <v>48</v>
      </c>
      <c r="B9" s="24" t="n">
        <f aca="false">B1*B7+B2*B8*(1-B3)</f>
        <v>0.0736986250261639</v>
      </c>
    </row>
    <row r="11" customFormat="false" ht="12.8" hidden="false" customHeight="false" outlineLevel="0" collapsed="false">
      <c r="A11" s="26" t="s">
        <v>49</v>
      </c>
      <c r="B11" s="27" t="n">
        <v>6</v>
      </c>
      <c r="C11" s="27" t="n">
        <f aca="false">B11-1</f>
        <v>5</v>
      </c>
      <c r="D11" s="27" t="n">
        <f aca="false">C11-1</f>
        <v>4</v>
      </c>
    </row>
    <row r="12" customFormat="false" ht="12.8" hidden="false" customHeight="false" outlineLevel="0" collapsed="false">
      <c r="A12" s="28" t="s">
        <v>2</v>
      </c>
      <c r="B12" s="24" t="n">
        <f aca="false">(Data!$D$2/Data!$I$2)^(1/$B$11) - 1</f>
        <v>0.0865748645157805</v>
      </c>
      <c r="C12" s="24" t="n">
        <f aca="false">(Data!$D$2/Data!$I$2)^(1/$C$11) - 1</f>
        <v>0.104769269364636</v>
      </c>
      <c r="D12" s="24" t="n">
        <f aca="false">(Data!$D$2/Data!$H$2)^(1/$D$11) - 1</f>
        <v>0.114243780866761</v>
      </c>
    </row>
    <row r="13" customFormat="false" ht="12.8" hidden="false" customHeight="false" outlineLevel="0" collapsed="false">
      <c r="A13" s="28" t="s">
        <v>4</v>
      </c>
      <c r="B13" s="24" t="n">
        <f aca="false">(Data!$D$4/Data!$I$4)^(1/$B$11) - 1</f>
        <v>0.0695967919029421</v>
      </c>
      <c r="C13" s="24" t="n">
        <f aca="false">(Data!$D$4/Data!$I$4)^(1/$C$11) - 1</f>
        <v>0.0840869337085666</v>
      </c>
      <c r="D13" s="24" t="n">
        <f aca="false">(Data!$D$4/Data!$H$4)^(1/$D$11) - 1</f>
        <v>0.0885767579908281</v>
      </c>
    </row>
    <row r="14" customFormat="false" ht="12.8" hidden="false" customHeight="false" outlineLevel="0" collapsed="false">
      <c r="A14" s="28" t="s">
        <v>33</v>
      </c>
      <c r="B14" s="24" t="n">
        <f aca="false">(Data!$D$33/Data!$I$33)^(1/$B$11) - 1</f>
        <v>0.0246101619385759</v>
      </c>
      <c r="C14" s="24" t="n">
        <f aca="false">(Data!$D$33/Data!$I$33)^(1/$C$11) - 1</f>
        <v>0.0296044017727954</v>
      </c>
      <c r="D14" s="24" t="n">
        <f aca="false">(Data!$D$33/Data!$H$33)^(1/$D$11) - 1</f>
        <v>0.0935132480574521</v>
      </c>
    </row>
    <row r="15" customFormat="false" ht="12.8" hidden="false" customHeight="false" outlineLevel="0" collapsed="false">
      <c r="A15" s="28" t="s">
        <v>50</v>
      </c>
      <c r="B15" s="24" t="n">
        <f aca="false">((Data!$D$19/Data!$D$2)/(Data!$I$19/Data!$I$2))^(1/$B$11) - 1</f>
        <v>0.0139088963263345</v>
      </c>
      <c r="C15" s="24" t="n">
        <f aca="false">((Data!$D$19/Data!$D$2)/(Data!$I$19/Data!$I$2))^(1/$C$11) - 1</f>
        <v>0.0167138049090891</v>
      </c>
      <c r="D15" s="24" t="n">
        <f aca="false">((Data!$D$19/Data!$D$2)/(Data!$H$19/Data!$H$2))^(1/$D$11) - 1</f>
        <v>-0.023920478973397</v>
      </c>
    </row>
    <row r="16" customFormat="false" ht="12.8" hidden="false" customHeight="false" outlineLevel="0" collapsed="false">
      <c r="A16" s="28" t="s">
        <v>51</v>
      </c>
      <c r="B16" s="24" t="n">
        <f aca="false">((Data!$D$20/Data!$D$2)/(Data!$I$20/Data!$I$2))^(1/$B$11) - 1</f>
        <v>-0.011976681498476</v>
      </c>
      <c r="C16" s="24" t="n">
        <f aca="false">((Data!$D$20/Data!$D$2)/(Data!$I$20/Data!$I$2))^(1/$C$11) - 1</f>
        <v>-0.0143547496176477</v>
      </c>
      <c r="D16" s="24" t="n">
        <f aca="false">((Data!$D$20/Data!$D$2)/(Data!$H$20/Data!$H$2))^(1/$D$11) - 1</f>
        <v>0.0958323985562137</v>
      </c>
    </row>
    <row r="17" customFormat="false" ht="12.8" hidden="false" customHeight="false" outlineLevel="0" collapsed="false">
      <c r="A17" s="28" t="s">
        <v>52</v>
      </c>
      <c r="B17" s="24" t="n">
        <f aca="false">((Data!$D$21/Data!$D$2)/(Data!$I$21/Data!$I$2))^(1/$B$11) - 1</f>
        <v>-0.124429232312207</v>
      </c>
      <c r="C17" s="24" t="n">
        <f aca="false">((Data!$D$21/Data!$D$2)/(Data!$I$21/Data!$I$2))^(1/$C$11) - 1</f>
        <v>-0.147391801848854</v>
      </c>
      <c r="D17" s="24" t="n">
        <f aca="false">((Data!$D$21/Data!$D$2)/(Data!$H$21/Data!$H$2))^(1/$D$11) - 1</f>
        <v>-0.160474195197388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8.38"/>
    <col collapsed="false" customWidth="true" hidden="false" outlineLevel="0" max="8" min="2" style="0" width="17.86"/>
    <col collapsed="false" customWidth="true" hidden="false" outlineLevel="0" max="11" min="9" style="0" width="21.22"/>
  </cols>
  <sheetData>
    <row r="1" customFormat="false" ht="12.8" hidden="false" customHeight="false" outlineLevel="0" collapsed="false">
      <c r="A1" s="0" t="s">
        <v>0</v>
      </c>
      <c r="B1" s="0" t="n">
        <f aca="false">Data!$D$1</f>
        <v>2018</v>
      </c>
      <c r="C1" s="0" t="n">
        <f aca="false">B1+1</f>
        <v>2019</v>
      </c>
      <c r="D1" s="0" t="n">
        <f aca="false">C1+1</f>
        <v>2020</v>
      </c>
      <c r="E1" s="0" t="n">
        <f aca="false">D1+1</f>
        <v>2021</v>
      </c>
      <c r="F1" s="0" t="n">
        <f aca="false">E1+1</f>
        <v>2022</v>
      </c>
      <c r="G1" s="0" t="n">
        <f aca="false">F1+1</f>
        <v>2023</v>
      </c>
      <c r="H1" s="0" t="s">
        <v>53</v>
      </c>
    </row>
    <row r="2" customFormat="false" ht="12.8" hidden="false" customHeight="false" outlineLevel="0" collapsed="false">
      <c r="A2" s="0" t="s">
        <v>2</v>
      </c>
      <c r="B2" s="7" t="n">
        <f aca="false">Data!$D$2</f>
        <v>43411000000</v>
      </c>
      <c r="C2" s="7" t="n">
        <f aca="false">B2*(1+MIN(AnalysisVals!$B$12:$D$12))</f>
        <v>47169301443.4946</v>
      </c>
      <c r="D2" s="7" t="n">
        <f aca="false">C2*(1+MIN(AnalysisVals!$B$12:$D$12))</f>
        <v>51252977325.2691</v>
      </c>
      <c r="E2" s="7" t="n">
        <f aca="false">D2*(1+MIN(AnalysisVals!$B$12:$D$12))</f>
        <v>55690196893.2346</v>
      </c>
      <c r="F2" s="7" t="n">
        <f aca="false">E2*(1+MIN(AnalysisVals!$B$12:$D$12))</f>
        <v>60511568144.1236</v>
      </c>
      <c r="G2" s="7" t="n">
        <f aca="false">F2*(1+MIN(AnalysisVals!$B$12:$D$12))</f>
        <v>65750348957.8385</v>
      </c>
      <c r="H2" s="7" t="n">
        <f aca="false">G2*(1+MIN(AnalysisVals!$B$12:$D$12))</f>
        <v>71442676510.7286</v>
      </c>
    </row>
    <row r="3" customFormat="false" ht="12.8" hidden="false" customHeight="false" outlineLevel="0" collapsed="false">
      <c r="A3" s="0" t="s">
        <v>4</v>
      </c>
      <c r="B3" s="7" t="n">
        <f aca="false">Data!$D$4</f>
        <v>16890000000</v>
      </c>
      <c r="C3" s="7" t="n">
        <f aca="false">B3*(1+MIN(AnalysisVals!$B$13:$D$13))</f>
        <v>18065489815.2407</v>
      </c>
      <c r="D3" s="7" t="n">
        <f aca="false">C3*(1+MIN(AnalysisVals!$B$13:$D$13))</f>
        <v>19322789950.5367</v>
      </c>
      <c r="E3" s="7" t="n">
        <f aca="false">D3*(1+MIN(AnalysisVals!$B$13:$D$13))</f>
        <v>20667594141.7085</v>
      </c>
      <c r="F3" s="7" t="n">
        <f aca="false">E3*(1+MIN(AnalysisVals!$B$13:$D$13))</f>
        <v>22105992390.3234</v>
      </c>
      <c r="G3" s="7" t="n">
        <f aca="false">F3*(1+MIN(AnalysisVals!$B$13:$D$13))</f>
        <v>23644498542.5208</v>
      </c>
      <c r="H3" s="7" t="n">
        <f aca="false">G3*(1+MIN(AnalysisVals!$B$13:$D$13))</f>
        <v>25290079787.234</v>
      </c>
    </row>
    <row r="4" customFormat="false" ht="12.8" hidden="false" customHeight="false" outlineLevel="0" collapsed="false">
      <c r="A4" s="0" t="s">
        <v>33</v>
      </c>
      <c r="B4" s="7" t="n">
        <f aca="false">Data!$D$33</f>
        <v>4251000000</v>
      </c>
      <c r="C4" s="7" t="n">
        <f aca="false">B4*(1+MIN(AnalysisVals!$B$14:$D$14))</f>
        <v>4355617798.40089</v>
      </c>
      <c r="D4" s="7" t="n">
        <f aca="false">C4*(1+MIN(AnalysisVals!$B$14:$D$14))</f>
        <v>4462810257.76208</v>
      </c>
      <c r="E4" s="7" t="n">
        <f aca="false">D4*(1+MIN(AnalysisVals!$B$14:$D$14))</f>
        <v>4572640740.90674</v>
      </c>
      <c r="F4" s="7" t="n">
        <f aca="false">E4*(1+MIN(AnalysisVals!$B$14:$D$14))</f>
        <v>4685174170.02738</v>
      </c>
      <c r="G4" s="7" t="n">
        <f aca="false">F4*(1+MIN(AnalysisVals!$B$14:$D$14))</f>
        <v>4800477065.06219</v>
      </c>
      <c r="H4" s="7" t="n">
        <f aca="false">G4*(1+MIN(AnalysisVals!$B$14:$D$14))</f>
        <v>4918617583.01579</v>
      </c>
    </row>
    <row r="5" customFormat="false" ht="12.8" hidden="false" customHeight="false" outlineLevel="0" collapsed="false">
      <c r="A5" s="0" t="s">
        <v>19</v>
      </c>
      <c r="B5" s="7" t="n">
        <f aca="false">Data!$D$19</f>
        <v>978000000</v>
      </c>
      <c r="C5" s="7" t="n">
        <f aca="false">C2*(B$5/B$2)*(1+MAX(AnalysisVals!$B$15:$D$15))</f>
        <v>1080431480.19437</v>
      </c>
      <c r="D5" s="7" t="n">
        <f aca="false">D2*(C$5/C$2)*(1+MAX(AnalysisVals!$B$15:$D$15))</f>
        <v>1193591189.56543</v>
      </c>
      <c r="E5" s="7" t="n">
        <f aca="false">E2*(D$5/D$2)*(1+MAX(AnalysisVals!$B$15:$D$15))</f>
        <v>1318602756.32836</v>
      </c>
      <c r="F5" s="7" t="n">
        <f aca="false">F2*(E$5/E$2)*(1+MAX(AnalysisVals!$B$15:$D$15))</f>
        <v>1456707492.64645</v>
      </c>
      <c r="G5" s="7" t="n">
        <f aca="false">G2*(F$5/F$2)*(1+MAX(AnalysisVals!$B$15:$D$15))</f>
        <v>1609276720.33766</v>
      </c>
      <c r="H5" s="7" t="n">
        <f aca="false">H2*(G$5/G$2)*(1+MAX(AnalysisVals!$B$15:$D$15))</f>
        <v>1777825387.52224</v>
      </c>
    </row>
    <row r="6" customFormat="false" ht="12.8" hidden="false" customHeight="false" outlineLevel="0" collapsed="false">
      <c r="A6" s="0" t="s">
        <v>20</v>
      </c>
      <c r="B6" s="7" t="n">
        <f aca="false">Data!$D$20</f>
        <v>1756000000</v>
      </c>
      <c r="C6" s="7" t="n">
        <f aca="false">C$2*(B$6/B$2)*(1+MIN(AnalysisVals!$B$16:$D$16))</f>
        <v>1880636234.31732</v>
      </c>
      <c r="D6" s="7" t="n">
        <f aca="false">D$2*(C$6/C$2)*(1+MIN(AnalysisVals!$B$16:$D$16))</f>
        <v>2014118818.80821</v>
      </c>
      <c r="E6" s="7" t="n">
        <f aca="false">E$2*(D$6/D$2)*(1+MIN(AnalysisVals!$B$16:$D$16))</f>
        <v>2157075644.00405</v>
      </c>
      <c r="F6" s="7" t="n">
        <f aca="false">F$2*(E$6/E$2)*(1+MIN(AnalysisVals!$B$16:$D$16))</f>
        <v>2310179166.44498</v>
      </c>
      <c r="G6" s="7" t="n">
        <f aca="false">G$2*(F$6/F$2)*(1+MIN(AnalysisVals!$B$16:$D$16))</f>
        <v>2474149571.85729</v>
      </c>
      <c r="H6" s="7" t="n">
        <f aca="false">H$2*(G$6/G$2)*(1+MIN(AnalysisVals!$B$16:$D$16))</f>
        <v>2649758162.84481</v>
      </c>
    </row>
    <row r="7" customFormat="false" ht="12.8" hidden="false" customHeight="false" outlineLevel="0" collapsed="false">
      <c r="A7" s="0" t="s">
        <v>21</v>
      </c>
      <c r="B7" s="7" t="n">
        <f aca="false">Data!$D$21</f>
        <v>7951000000</v>
      </c>
      <c r="C7" s="7" t="n">
        <f aca="false">C$2*(B$7/B$2)*(1+ MAX(AnalysisVals!$B$17:$D$17))</f>
        <v>7564368219.9693</v>
      </c>
      <c r="D7" s="7" t="n">
        <f aca="false">D$2*(C$7/C$2)*(1+ MAX(AnalysisVals!$B$17:$D$17))</f>
        <v>7196537110.7133</v>
      </c>
      <c r="E7" s="7" t="n">
        <f aca="false">E$2*(D$7/D$2)*(1+ MAX(AnalysisVals!$B$17:$D$17))</f>
        <v>6846592455.55392</v>
      </c>
      <c r="F7" s="7" t="n">
        <f aca="false">F$2*(E$7/E$2)*(1+ MAX(AnalysisVals!$B$17:$D$17))</f>
        <v>6513664493.2554</v>
      </c>
      <c r="G7" s="7" t="n">
        <f aca="false">G$2*(F$7/F$2)*(1+ MAX(AnalysisVals!$B$17:$D$17))</f>
        <v>6196925756.29777</v>
      </c>
      <c r="H7" s="7" t="n">
        <f aca="false">H$2*(G$7/G$2)*(1+ MAX(AnalysisVals!$B$17:$D$17))</f>
        <v>5895589014.26839</v>
      </c>
    </row>
    <row r="8" customFormat="false" ht="12.8" hidden="false" customHeight="false" outlineLevel="0" collapsed="false">
      <c r="A8" s="0" t="s">
        <v>54</v>
      </c>
      <c r="B8" s="7" t="n">
        <f aca="false">Data!$D$21-Data!$E$21</f>
        <v>-4592000000</v>
      </c>
      <c r="C8" s="7" t="n">
        <f aca="false">C7-B7</f>
        <v>-386631780.030698</v>
      </c>
      <c r="D8" s="7" t="n">
        <f aca="false">D7-C7</f>
        <v>-367831109.256006</v>
      </c>
      <c r="E8" s="7" t="n">
        <f aca="false">E7-D7</f>
        <v>-349944655.159371</v>
      </c>
      <c r="F8" s="7" t="n">
        <f aca="false">F7-E7</f>
        <v>-332927962.298523</v>
      </c>
      <c r="G8" s="7" t="n">
        <f aca="false">G7-F7</f>
        <v>-316738736.957635</v>
      </c>
      <c r="H8" s="7" t="n">
        <f aca="false">H7-G7</f>
        <v>-301336742.029376</v>
      </c>
    </row>
    <row r="9" customFormat="false" ht="12.8" hidden="false" customHeight="false" outlineLevel="0" collapsed="false">
      <c r="A9" s="0" t="s">
        <v>5</v>
      </c>
      <c r="B9" s="7" t="n">
        <f aca="false">B4-B5</f>
        <v>3273000000</v>
      </c>
      <c r="C9" s="7" t="n">
        <f aca="false">C4-C5</f>
        <v>3275186318.20652</v>
      </c>
      <c r="D9" s="7" t="n">
        <f aca="false">D4-D5</f>
        <v>3269219068.19664</v>
      </c>
      <c r="E9" s="7" t="n">
        <f aca="false">E4-E5</f>
        <v>3254037984.57838</v>
      </c>
      <c r="F9" s="7" t="n">
        <f aca="false">F4-F5</f>
        <v>3228466677.38093</v>
      </c>
      <c r="G9" s="7" t="n">
        <f aca="false">G4-G5</f>
        <v>3191200344.72453</v>
      </c>
      <c r="H9" s="7" t="n">
        <f aca="false">H4-H5</f>
        <v>3140792195.49355</v>
      </c>
    </row>
    <row r="10" customFormat="false" ht="12.8" hidden="false" customHeight="false" outlineLevel="0" collapsed="false">
      <c r="A10" s="0" t="s">
        <v>23</v>
      </c>
      <c r="B10" s="7" t="n">
        <f aca="false">B9*(1-AnalysisVals!$B$3)+B5-B8-B6</f>
        <v>6342891268.53377</v>
      </c>
      <c r="C10" s="7" t="n">
        <f aca="false">(C9*(1-AnalysisVals!$B$3)+C5-C8-C6)/( (1+AnalysisVals!$B$9)^COUNT($C1:C1) )</f>
        <v>1971696255.43189</v>
      </c>
      <c r="D10" s="7" t="n">
        <f aca="false">(D9*(1-AnalysisVals!$B$3)+D5-D8-D6)/( (1+AnalysisVals!$B$9)^COUNT($C1:D1) )</f>
        <v>1798422727.78834</v>
      </c>
      <c r="E10" s="7" t="n">
        <f aca="false">(E9*(1-AnalysisVals!$B$3)+E5-E8-E6)/( (1+AnalysisVals!$B$9)^COUNT($C1:E1) )</f>
        <v>1636554632.1411</v>
      </c>
      <c r="F10" s="7" t="n">
        <f aca="false">(F9*(1-AnalysisVals!$B$3)+F5-F8-F6)/( (1+AnalysisVals!$B$9)^COUNT($C1:F1) )</f>
        <v>1485265492.8893</v>
      </c>
      <c r="G10" s="7" t="n">
        <f aca="false">(G9*(1-AnalysisVals!$B$3)+G5-G8-G6)/( (1+AnalysisVals!$B$9)^COUNT($C1:G1) )</f>
        <v>1343803355.40853</v>
      </c>
      <c r="H10" s="29" t="n">
        <f aca="false">Data!$D$32/( (1-AnalysisVals!$B$8)^COUNT(C1:G1) )</f>
        <v>27676133182.9943</v>
      </c>
    </row>
    <row r="12" customFormat="false" ht="12.8" hidden="false" customHeight="false" outlineLevel="0" collapsed="false">
      <c r="B12" s="0" t="s">
        <v>55</v>
      </c>
      <c r="C12" s="0" t="s">
        <v>53</v>
      </c>
    </row>
    <row r="13" customFormat="false" ht="12.8" hidden="false" customHeight="false" outlineLevel="0" collapsed="false">
      <c r="A13" s="0" t="s">
        <v>56</v>
      </c>
      <c r="B13" s="24" t="n">
        <v>0.01</v>
      </c>
      <c r="C13" s="13" t="n">
        <f aca="false">H9*(1+B13)/(AnalysisVals!B9-B13)</f>
        <v>49800134871.7577</v>
      </c>
    </row>
    <row r="15" customFormat="false" ht="12.8" hidden="false" customHeight="false" outlineLevel="0" collapsed="false">
      <c r="A15" s="0" t="s">
        <v>57</v>
      </c>
      <c r="B15" s="7" t="n">
        <f aca="false">SUM(B10:H10)/Data!$D$24</f>
        <v>3142.08558262844</v>
      </c>
    </row>
    <row r="16" customFormat="false" ht="12.8" hidden="false" customHeight="false" outlineLevel="0" collapsed="false">
      <c r="A16" s="0" t="s">
        <v>58</v>
      </c>
      <c r="B16" s="7" t="n">
        <v>1306</v>
      </c>
    </row>
    <row r="19" customFormat="false" ht="12.8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B27" s="7"/>
      <c r="C27" s="7"/>
      <c r="D27" s="7"/>
      <c r="E27" s="7"/>
      <c r="F27" s="7"/>
      <c r="G27" s="7"/>
      <c r="H27" s="7"/>
      <c r="I27" s="7"/>
      <c r="J27" s="7"/>
      <c r="K2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2020-12-02T00:33:16Z</dcterms:modified>
  <cp:revision>115</cp:revision>
  <dc:subject/>
  <dc:title/>
</cp:coreProperties>
</file>