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AnalysisVals" sheetId="2" state="visible" r:id="rId3"/>
    <sheet name="DCF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<sst xmlns="http://schemas.openxmlformats.org/spreadsheetml/2006/main" count="73" uniqueCount="59">
  <si>
    <t xml:space="preserve">Год</t>
  </si>
  <si>
    <t xml:space="preserve">LTM</t>
  </si>
  <si>
    <t xml:space="preserve">Выручка</t>
  </si>
  <si>
    <t xml:space="preserve">Себестоимость</t>
  </si>
  <si>
    <t xml:space="preserve">Валовая прибыль</t>
  </si>
  <si>
    <t xml:space="preserve">Операционная прибыль</t>
  </si>
  <si>
    <t xml:space="preserve">Прибыль до налогообложения</t>
  </si>
  <si>
    <t xml:space="preserve">Налог на прибыль</t>
  </si>
  <si>
    <t xml:space="preserve">Чистая прибыль</t>
  </si>
  <si>
    <t xml:space="preserve">Внеоборотные активы</t>
  </si>
  <si>
    <t xml:space="preserve">Оборотные активы</t>
  </si>
  <si>
    <t xml:space="preserve">Запасы</t>
  </si>
  <si>
    <t xml:space="preserve">Активы</t>
  </si>
  <si>
    <t xml:space="preserve">Капитал</t>
  </si>
  <si>
    <t xml:space="preserve">Долгосрочные обязательства</t>
  </si>
  <si>
    <t xml:space="preserve">Краткосрочные обязательства</t>
  </si>
  <si>
    <t xml:space="preserve">Обязательства</t>
  </si>
  <si>
    <t xml:space="preserve">Пассивы</t>
  </si>
  <si>
    <t xml:space="preserve">Налог на прибыль, %</t>
  </si>
  <si>
    <t xml:space="preserve">Амортизация</t>
  </si>
  <si>
    <t xml:space="preserve">Capex</t>
  </si>
  <si>
    <t xml:space="preserve">Оборотный капитал</t>
  </si>
  <si>
    <t xml:space="preserve">Изменение в оборотном капитале</t>
  </si>
  <si>
    <t xml:space="preserve">FCF</t>
  </si>
  <si>
    <t xml:space="preserve">Количество акций</t>
  </si>
  <si>
    <t xml:space="preserve">Цена акции</t>
  </si>
  <si>
    <t xml:space="preserve">Капитализация</t>
  </si>
  <si>
    <t xml:space="preserve">Долгосрочные кредиты</t>
  </si>
  <si>
    <t xml:space="preserve">Краткосрочные кредиты</t>
  </si>
  <si>
    <t xml:space="preserve">Долг</t>
  </si>
  <si>
    <t xml:space="preserve">Cash</t>
  </si>
  <si>
    <t xml:space="preserve">Чистый долг</t>
  </si>
  <si>
    <t xml:space="preserve">EV</t>
  </si>
  <si>
    <t xml:space="preserve">EBITDA</t>
  </si>
  <si>
    <t xml:space="preserve">EV/EBITDA</t>
  </si>
  <si>
    <t xml:space="preserve">EV/S</t>
  </si>
  <si>
    <t xml:space="preserve">P/E</t>
  </si>
  <si>
    <t xml:space="preserve">P/S</t>
  </si>
  <si>
    <t xml:space="preserve">Debt/EBITDA</t>
  </si>
  <si>
    <t xml:space="preserve">ROA</t>
  </si>
  <si>
    <t xml:space="preserve">Дивиденды на акцию</t>
  </si>
  <si>
    <t xml:space="preserve">Доля собственного капитала</t>
  </si>
  <si>
    <t xml:space="preserve">Доля заёмного капитала</t>
  </si>
  <si>
    <t xml:space="preserve">Безрисковая ставка, ОФЗ на 10 лет (Rf)</t>
  </si>
  <si>
    <t xml:space="preserve">Средняя доходность фондового рынка (Rm)</t>
  </si>
  <si>
    <t xml:space="preserve">β</t>
  </si>
  <si>
    <t xml:space="preserve">Стоимость акционерного капитала (Re)</t>
  </si>
  <si>
    <t xml:space="preserve">Стоимость долгового капитала (Rd)</t>
  </si>
  <si>
    <t xml:space="preserve">WACC</t>
  </si>
  <si>
    <t xml:space="preserve">CAGR \ лет</t>
  </si>
  <si>
    <t xml:space="preserve">Амортизация/Выручка</t>
  </si>
  <si>
    <t xml:space="preserve">Capex/Выручка</t>
  </si>
  <si>
    <t xml:space="preserve">Оборотный капитал/Выручка</t>
  </si>
  <si>
    <t xml:space="preserve">TV</t>
  </si>
  <si>
    <t xml:space="preserve">Изменение оборотного капитала</t>
  </si>
  <si>
    <t xml:space="preserve">g</t>
  </si>
  <si>
    <t xml:space="preserve">Формула Гордона</t>
  </si>
  <si>
    <t xml:space="preserve">Справедливая цена акции</t>
  </si>
  <si>
    <t xml:space="preserve">Цена акции, 26.08.20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</si>
</sst>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#,##0.00\ [$₽-419];[RED]\-#,##0.00\ [$₽-419]"/>
    <numFmt numFmtId="167" formatCode="#,##0\ [$₽-419];[RED]\-#,##0\ [$₽-419]"/>
    <numFmt numFmtId="168" formatCode="0.00%"/>
    <numFmt numFmtId="169" formatCode="#,##0"/>
    <numFmt numFmtId="170" formatCode="#,##0.00"/>
    <numFmt numFmtId="171" formatCode="#,##0.0\ [$₽-419];[RED]\-#,##0.0\ [$₽-419]"/>
  </numFmts>
  <fonts count="6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Mangal"/>
      <family val="2"/>
      <charset val="204"/>
    </font>
    <font>
      <sz val="1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  <fill>
      <patternFill patternType="solid">
        <fgColor rgb="FFFFB66C"/>
        <bgColor rgb="FFFF99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Заголовок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B25" activeCellId="0" sqref="B25"/>
    </sheetView>
  </sheetViews>
  <sheetFormatPr defaultColWidth="11.72265625" defaultRowHeight="12.8" zeroHeight="false" outlineLevelRow="0" outlineLevelCol="0"/>
  <cols>
    <col collapsed="false" customWidth="true" hidden="false" outlineLevel="0" max="1" min="1" style="1" width="33.57"/>
    <col collapsed="false" customWidth="true" hidden="false" outlineLevel="0" max="2" min="2" style="2" width="19.71"/>
    <col collapsed="false" customWidth="true" hidden="false" outlineLevel="0" max="8" min="3" style="3" width="19.71"/>
    <col collapsed="false" customWidth="true" hidden="false" outlineLevel="0" max="9" min="9" style="0" width="19.71"/>
  </cols>
  <sheetData>
    <row r="1" s="6" customFormat="true" ht="12.8" hidden="false" customHeight="false" outlineLevel="0" collapsed="false">
      <c r="A1" s="4" t="s">
        <v>0</v>
      </c>
      <c r="B1" s="2" t="s">
        <v>1</v>
      </c>
      <c r="C1" s="5" t="n">
        <v>2019</v>
      </c>
      <c r="D1" s="5" t="n">
        <v>2018</v>
      </c>
      <c r="E1" s="5" t="n">
        <v>2017</v>
      </c>
      <c r="F1" s="5" t="n">
        <v>2016</v>
      </c>
      <c r="G1" s="5" t="n">
        <v>2015</v>
      </c>
      <c r="H1" s="5" t="n">
        <v>2014</v>
      </c>
      <c r="I1" s="5"/>
    </row>
    <row r="2" s="7" customFormat="true" ht="12.8" hidden="false" customHeight="false" outlineLevel="0" collapsed="false">
      <c r="A2" s="1" t="s">
        <v>2</v>
      </c>
      <c r="B2" s="7" t="n">
        <f aca="false">60577000000+C2-55661000000</f>
        <v>125025000000</v>
      </c>
      <c r="C2" s="8" t="n">
        <v>120109000000</v>
      </c>
      <c r="D2" s="8" t="n">
        <v>100422000000</v>
      </c>
      <c r="E2" s="8" t="n">
        <v>90465069000</v>
      </c>
      <c r="F2" s="8" t="n">
        <v>82417193000</v>
      </c>
      <c r="G2" s="8" t="n">
        <v>77032622000</v>
      </c>
      <c r="H2" s="8" t="n">
        <v>68668409000</v>
      </c>
      <c r="I2" s="8"/>
    </row>
    <row r="3" s="7" customFormat="true" ht="12.8" hidden="false" customHeight="false" outlineLevel="0" collapsed="false">
      <c r="A3" s="1" t="s">
        <v>3</v>
      </c>
      <c r="B3" s="7" t="n">
        <f aca="false">45182000000+C3-42632000000</f>
        <v>93446000000</v>
      </c>
      <c r="C3" s="8" t="n">
        <v>90896000000</v>
      </c>
      <c r="D3" s="8" t="n">
        <v>75318000000</v>
      </c>
      <c r="E3" s="8" t="n">
        <v>66758340000</v>
      </c>
      <c r="F3" s="8" t="n">
        <v>64222344000</v>
      </c>
      <c r="G3" s="8" t="n">
        <v>56720216000</v>
      </c>
      <c r="H3" s="8" t="n">
        <v>45719342000</v>
      </c>
      <c r="I3" s="8"/>
    </row>
    <row r="4" s="7" customFormat="true" ht="12.8" hidden="false" customHeight="false" outlineLevel="0" collapsed="false">
      <c r="A4" s="9" t="s">
        <v>4</v>
      </c>
      <c r="B4" s="8" t="n">
        <f aca="false">19359000000+C4-14617000000</f>
        <v>32605000000</v>
      </c>
      <c r="C4" s="8" t="n">
        <v>27863000000</v>
      </c>
      <c r="D4" s="8" t="n">
        <v>29182000000</v>
      </c>
      <c r="E4" s="8" t="n">
        <v>23558611000</v>
      </c>
      <c r="F4" s="8" t="n">
        <v>17854786000</v>
      </c>
      <c r="G4" s="8" t="n">
        <v>19148679000</v>
      </c>
      <c r="H4" s="8" t="n">
        <v>26126831000</v>
      </c>
      <c r="I4" s="8"/>
    </row>
    <row r="5" s="7" customFormat="true" ht="12.8" hidden="false" customHeight="false" outlineLevel="0" collapsed="false">
      <c r="A5" s="1" t="s">
        <v>5</v>
      </c>
      <c r="B5" s="7" t="n">
        <f aca="false">10959000000+C5-6534000000</f>
        <v>14614000000</v>
      </c>
      <c r="C5" s="8" t="n">
        <v>10189000000</v>
      </c>
      <c r="D5" s="8" t="n">
        <v>15555000000</v>
      </c>
      <c r="E5" s="8" t="n">
        <v>9725622000</v>
      </c>
      <c r="F5" s="8" t="n">
        <v>5056473000</v>
      </c>
      <c r="G5" s="8" t="n">
        <v>7534026000</v>
      </c>
      <c r="H5" s="8" t="n">
        <v>16657165000</v>
      </c>
      <c r="I5" s="8"/>
    </row>
    <row r="6" s="7" customFormat="true" ht="12.8" hidden="false" customHeight="false" outlineLevel="0" collapsed="false">
      <c r="A6" s="1" t="s">
        <v>6</v>
      </c>
      <c r="B6" s="7" t="n">
        <f aca="false">8354000000+C6-5198000000</f>
        <v>9853000000</v>
      </c>
      <c r="C6" s="8" t="n">
        <v>6697000000</v>
      </c>
      <c r="D6" s="8" t="n">
        <v>11793000000</v>
      </c>
      <c r="E6" s="8" t="n">
        <v>5955675000</v>
      </c>
      <c r="F6" s="8" t="n">
        <v>1960379000</v>
      </c>
      <c r="G6" s="8" t="n">
        <v>5871749000</v>
      </c>
      <c r="H6" s="8" t="n">
        <v>16613516000</v>
      </c>
      <c r="I6" s="8"/>
    </row>
    <row r="7" s="7" customFormat="true" ht="12.8" hidden="false" customHeight="false" outlineLevel="0" collapsed="false">
      <c r="A7" s="1" t="s">
        <v>7</v>
      </c>
      <c r="B7" s="7" t="n">
        <f aca="false">112000000+C7-162000000</f>
        <v>-4000000</v>
      </c>
      <c r="C7" s="8" t="n">
        <v>46000000</v>
      </c>
      <c r="D7" s="8" t="n">
        <v>-187000000</v>
      </c>
      <c r="E7" s="8" t="n">
        <v>307600000</v>
      </c>
      <c r="F7" s="8" t="n">
        <v>72861000</v>
      </c>
      <c r="G7" s="8" t="n">
        <v>-149060000</v>
      </c>
      <c r="H7" s="8" t="n">
        <v>-10211000</v>
      </c>
      <c r="I7" s="8"/>
    </row>
    <row r="8" s="12" customFormat="true" ht="12.8" hidden="false" customHeight="false" outlineLevel="0" collapsed="false">
      <c r="A8" s="10" t="s">
        <v>8</v>
      </c>
      <c r="B8" s="11" t="n">
        <f aca="false">B6-B7</f>
        <v>9857000000</v>
      </c>
      <c r="C8" s="11" t="n">
        <f aca="false">C6-C7</f>
        <v>6651000000</v>
      </c>
      <c r="D8" s="11" t="n">
        <f aca="false">D6-D7</f>
        <v>11980000000</v>
      </c>
      <c r="E8" s="11" t="n">
        <f aca="false">E6-E7</f>
        <v>5648075000</v>
      </c>
      <c r="F8" s="11" t="n">
        <f aca="false">F6-F7</f>
        <v>1887518000</v>
      </c>
      <c r="G8" s="11" t="n">
        <f aca="false">G6-G7</f>
        <v>6020809000</v>
      </c>
      <c r="H8" s="11" t="n">
        <f aca="false">H6-H7</f>
        <v>16623727000</v>
      </c>
      <c r="I8" s="11"/>
    </row>
    <row r="9" s="7" customFormat="true" ht="12.8" hidden="false" customHeight="false" outlineLevel="0" collapsed="false">
      <c r="A9" s="1" t="s">
        <v>9</v>
      </c>
      <c r="B9" s="7" t="n">
        <v>103091000000</v>
      </c>
      <c r="C9" s="8" t="n">
        <v>102391000000</v>
      </c>
      <c r="D9" s="8" t="n">
        <v>100137000000</v>
      </c>
      <c r="E9" s="8" t="n">
        <v>86901509000</v>
      </c>
      <c r="F9" s="8" t="n">
        <v>73523101000</v>
      </c>
      <c r="G9" s="8" t="n">
        <v>67652866000</v>
      </c>
      <c r="H9" s="8" t="n">
        <v>60050698000</v>
      </c>
      <c r="I9" s="8"/>
    </row>
    <row r="10" s="7" customFormat="true" ht="12.8" hidden="false" customHeight="false" outlineLevel="0" collapsed="false">
      <c r="A10" s="1" t="s">
        <v>10</v>
      </c>
      <c r="B10" s="7" t="n">
        <v>51230000000</v>
      </c>
      <c r="C10" s="8" t="n">
        <v>42057000000</v>
      </c>
      <c r="D10" s="8" t="n">
        <v>48040000000</v>
      </c>
      <c r="E10" s="8" t="n">
        <v>31742753000</v>
      </c>
      <c r="F10" s="8" t="n">
        <v>32814474000</v>
      </c>
      <c r="G10" s="8" t="n">
        <v>40058459000</v>
      </c>
      <c r="H10" s="8" t="n">
        <v>27384917000</v>
      </c>
      <c r="I10" s="8"/>
    </row>
    <row r="11" s="2" customFormat="true" ht="12.8" hidden="false" customHeight="false" outlineLevel="0" collapsed="false">
      <c r="A11" s="13" t="s">
        <v>11</v>
      </c>
      <c r="B11" s="7" t="n">
        <v>11642000000</v>
      </c>
      <c r="C11" s="7" t="n">
        <v>13223000000</v>
      </c>
      <c r="D11" s="7" t="n">
        <v>12429000000</v>
      </c>
      <c r="E11" s="7" t="n">
        <v>9971811000</v>
      </c>
      <c r="F11" s="7" t="n">
        <v>10602118000</v>
      </c>
      <c r="G11" s="7" t="n">
        <v>12258555000</v>
      </c>
      <c r="H11" s="7" t="n">
        <v>7469137000</v>
      </c>
      <c r="I11" s="7"/>
      <c r="J11" s="7"/>
      <c r="K11" s="7"/>
    </row>
    <row r="12" s="12" customFormat="true" ht="12.8" hidden="false" customHeight="false" outlineLevel="0" collapsed="false">
      <c r="A12" s="10" t="s">
        <v>12</v>
      </c>
      <c r="B12" s="11" t="n">
        <f aca="false">B9+B10</f>
        <v>154321000000</v>
      </c>
      <c r="C12" s="11" t="n">
        <f aca="false">C9+C10</f>
        <v>144448000000</v>
      </c>
      <c r="D12" s="11" t="n">
        <f aca="false">D9+D10</f>
        <v>148177000000</v>
      </c>
      <c r="E12" s="11" t="n">
        <f aca="false">E9+E10</f>
        <v>118644262000</v>
      </c>
      <c r="F12" s="11" t="n">
        <f aca="false">F9+F10</f>
        <v>106337575000</v>
      </c>
      <c r="G12" s="11" t="n">
        <f aca="false">G9+G10</f>
        <v>107711325000</v>
      </c>
      <c r="H12" s="11" t="n">
        <f aca="false">H9+H10</f>
        <v>87435615000</v>
      </c>
      <c r="I12" s="11"/>
    </row>
    <row r="13" s="7" customFormat="true" ht="12.8" hidden="false" customHeight="false" outlineLevel="0" collapsed="false">
      <c r="A13" s="1" t="s">
        <v>13</v>
      </c>
      <c r="B13" s="7" t="n">
        <v>67023000000</v>
      </c>
      <c r="C13" s="8" t="n">
        <v>61284000000</v>
      </c>
      <c r="D13" s="8" t="n">
        <v>60809000000</v>
      </c>
      <c r="E13" s="8" t="n">
        <v>52779857000</v>
      </c>
      <c r="F13" s="8" t="n">
        <v>54040418000</v>
      </c>
      <c r="G13" s="8" t="n">
        <v>53149074000</v>
      </c>
      <c r="H13" s="8" t="n">
        <v>50538923000</v>
      </c>
      <c r="I13" s="8"/>
    </row>
    <row r="14" s="7" customFormat="true" ht="12.8" hidden="false" customHeight="false" outlineLevel="0" collapsed="false">
      <c r="A14" s="1" t="s">
        <v>14</v>
      </c>
      <c r="B14" s="7" t="n">
        <v>40627000000</v>
      </c>
      <c r="C14" s="8" t="n">
        <v>44964000000</v>
      </c>
      <c r="D14" s="8" t="n">
        <v>45639000000</v>
      </c>
      <c r="E14" s="8" t="n">
        <v>31729327000</v>
      </c>
      <c r="F14" s="8" t="n">
        <v>24962513000</v>
      </c>
      <c r="G14" s="8" t="n">
        <v>16687160000</v>
      </c>
      <c r="H14" s="8" t="n">
        <v>15065264000</v>
      </c>
      <c r="I14" s="8"/>
    </row>
    <row r="15" s="7" customFormat="true" ht="12.8" hidden="false" customHeight="false" outlineLevel="0" collapsed="false">
      <c r="A15" s="1" t="s">
        <v>15</v>
      </c>
      <c r="B15" s="7" t="n">
        <v>46671000000</v>
      </c>
      <c r="C15" s="8" t="n">
        <v>38200000000</v>
      </c>
      <c r="D15" s="8" t="n">
        <v>41729000000</v>
      </c>
      <c r="E15" s="8" t="n">
        <v>34135078000</v>
      </c>
      <c r="F15" s="8" t="n">
        <v>27334644000</v>
      </c>
      <c r="G15" s="8" t="n">
        <v>37875091000</v>
      </c>
      <c r="H15" s="8" t="n">
        <v>21831428000</v>
      </c>
      <c r="I15" s="8"/>
    </row>
    <row r="16" s="12" customFormat="true" ht="12.8" hidden="false" customHeight="false" outlineLevel="0" collapsed="false">
      <c r="A16" s="10" t="s">
        <v>16</v>
      </c>
      <c r="B16" s="11" t="n">
        <f aca="false">B14+B15</f>
        <v>87298000000</v>
      </c>
      <c r="C16" s="11" t="n">
        <f aca="false">C14+C15</f>
        <v>83164000000</v>
      </c>
      <c r="D16" s="11" t="n">
        <f aca="false">D14+D15</f>
        <v>87368000000</v>
      </c>
      <c r="E16" s="11" t="n">
        <f aca="false">E14+E15</f>
        <v>65864405000</v>
      </c>
      <c r="F16" s="11" t="n">
        <f aca="false">F14+F15</f>
        <v>52297157000</v>
      </c>
      <c r="G16" s="11" t="n">
        <f aca="false">G14+G15</f>
        <v>54562251000</v>
      </c>
      <c r="H16" s="11" t="n">
        <f aca="false">H14+H15</f>
        <v>36896692000</v>
      </c>
      <c r="I16" s="11"/>
    </row>
    <row r="17" s="12" customFormat="true" ht="12.8" hidden="false" customHeight="false" outlineLevel="0" collapsed="false">
      <c r="A17" s="10" t="s">
        <v>17</v>
      </c>
      <c r="B17" s="11" t="n">
        <f aca="false">B16+B13</f>
        <v>154321000000</v>
      </c>
      <c r="C17" s="11" t="n">
        <f aca="false">C16+C13</f>
        <v>144448000000</v>
      </c>
      <c r="D17" s="11" t="n">
        <f aca="false">D16+D13</f>
        <v>148177000000</v>
      </c>
      <c r="E17" s="11" t="n">
        <f aca="false">E16+E13</f>
        <v>118644262000</v>
      </c>
      <c r="F17" s="11" t="n">
        <f aca="false">F16+F13</f>
        <v>106337575000</v>
      </c>
      <c r="G17" s="11" t="n">
        <f aca="false">G16+G13</f>
        <v>107711325000</v>
      </c>
      <c r="H17" s="11" t="n">
        <f aca="false">H16+H13</f>
        <v>87435615000</v>
      </c>
      <c r="I17" s="11"/>
    </row>
    <row r="18" s="12" customFormat="true" ht="12.8" hidden="false" customHeight="false" outlineLevel="0" collapsed="false">
      <c r="A18" s="10" t="s">
        <v>18</v>
      </c>
      <c r="B18" s="14" t="n">
        <f aca="false">B7/B6</f>
        <v>-0.000405967725565818</v>
      </c>
      <c r="C18" s="14" t="n">
        <f aca="false">C7/C6</f>
        <v>0.00686874720023891</v>
      </c>
      <c r="D18" s="14" t="n">
        <f aca="false">D7/D6</f>
        <v>-0.0158568642414992</v>
      </c>
      <c r="E18" s="14" t="n">
        <f aca="false">E7/E6</f>
        <v>0.0516482178762273</v>
      </c>
      <c r="F18" s="14" t="n">
        <f aca="false">F7/F6</f>
        <v>0.0371667927477289</v>
      </c>
      <c r="G18" s="14" t="n">
        <f aca="false">G7/G6</f>
        <v>-0.0253859625130434</v>
      </c>
      <c r="H18" s="14" t="n">
        <f aca="false">H7/H6</f>
        <v>-0.000614620047917611</v>
      </c>
      <c r="I18" s="14"/>
    </row>
    <row r="19" s="7" customFormat="true" ht="12.8" hidden="false" customHeight="false" outlineLevel="0" collapsed="false">
      <c r="A19" s="1" t="s">
        <v>19</v>
      </c>
      <c r="B19" s="7" t="n">
        <f aca="false">3832000000+C19-3357000000</f>
        <v>8293000000</v>
      </c>
      <c r="C19" s="8" t="n">
        <v>7818000000</v>
      </c>
      <c r="D19" s="8" t="n">
        <v>6045000000</v>
      </c>
      <c r="E19" s="8" t="n">
        <v>5153486000</v>
      </c>
      <c r="F19" s="8" t="n">
        <v>4660365000</v>
      </c>
      <c r="G19" s="8" t="n">
        <v>3826525000</v>
      </c>
      <c r="H19" s="8" t="n">
        <v>3481944000</v>
      </c>
      <c r="I19" s="8"/>
    </row>
    <row r="20" s="7" customFormat="true" ht="12.8" hidden="false" customHeight="false" outlineLevel="0" collapsed="false">
      <c r="A20" s="1" t="s">
        <v>20</v>
      </c>
      <c r="B20" s="7" t="n">
        <f aca="false">3663000000+202000000+C20-3724000000-235000000</f>
        <v>8502000000</v>
      </c>
      <c r="C20" s="8" t="n">
        <f aca="false">8092000000+504000000</f>
        <v>8596000000</v>
      </c>
      <c r="D20" s="8" t="n">
        <f aca="false">9812000000+431000000</f>
        <v>10243000000</v>
      </c>
      <c r="E20" s="8" t="n">
        <f aca="false">9881600000+372470000</f>
        <v>10254070000</v>
      </c>
      <c r="F20" s="8" t="n">
        <f aca="false">8569640000+555633000</f>
        <v>9125273000</v>
      </c>
      <c r="G20" s="8" t="n">
        <f aca="false">9415480000+273343000</f>
        <v>9688823000</v>
      </c>
      <c r="H20" s="8" t="n">
        <f aca="false">6146638000+154159000</f>
        <v>6300797000</v>
      </c>
      <c r="I20" s="8"/>
    </row>
    <row r="21" s="12" customFormat="true" ht="12.8" hidden="false" customHeight="false" outlineLevel="0" collapsed="false">
      <c r="A21" s="10" t="s">
        <v>21</v>
      </c>
      <c r="B21" s="11" t="n">
        <f aca="false">B10-B15</f>
        <v>4559000000</v>
      </c>
      <c r="C21" s="11" t="n">
        <f aca="false">C10-C15</f>
        <v>3857000000</v>
      </c>
      <c r="D21" s="11" t="n">
        <f aca="false">D10-D15</f>
        <v>6311000000</v>
      </c>
      <c r="E21" s="11" t="n">
        <f aca="false">E10-E15</f>
        <v>-2392325000</v>
      </c>
      <c r="F21" s="11" t="n">
        <f aca="false">F10-F15</f>
        <v>5479830000</v>
      </c>
      <c r="G21" s="11" t="n">
        <f aca="false">G10-G15</f>
        <v>2183368000</v>
      </c>
      <c r="H21" s="11" t="n">
        <f aca="false">H10-H15</f>
        <v>5553489000</v>
      </c>
      <c r="I21" s="11"/>
    </row>
    <row r="22" s="12" customFormat="true" ht="12.8" hidden="false" customHeight="false" outlineLevel="0" collapsed="false">
      <c r="A22" s="10" t="s">
        <v>22</v>
      </c>
      <c r="B22" s="11" t="n">
        <f aca="false">B21-C21</f>
        <v>702000000</v>
      </c>
      <c r="C22" s="11" t="n">
        <f aca="false">C21-D21</f>
        <v>-2454000000</v>
      </c>
      <c r="D22" s="11" t="n">
        <f aca="false">D21-E21</f>
        <v>8703325000</v>
      </c>
      <c r="E22" s="11" t="n">
        <f aca="false">E21-F21</f>
        <v>-7872155000</v>
      </c>
      <c r="F22" s="11" t="n">
        <f aca="false">F21-G21</f>
        <v>3296462000</v>
      </c>
      <c r="G22" s="11" t="n">
        <f aca="false">G21-H21</f>
        <v>-3370121000</v>
      </c>
      <c r="H22" s="11"/>
      <c r="I22" s="11"/>
    </row>
    <row r="23" s="12" customFormat="true" ht="12.8" hidden="false" customHeight="false" outlineLevel="0" collapsed="false">
      <c r="A23" s="10" t="s">
        <v>23</v>
      </c>
      <c r="B23" s="11" t="n">
        <f aca="false">B5*(1-B18)+B19-B20-B22</f>
        <v>13708932812.3414</v>
      </c>
      <c r="C23" s="11" t="n">
        <f aca="false">C5*(1-C18)+C19-C20-C22</f>
        <v>11795014334.7768</v>
      </c>
      <c r="D23" s="11" t="n">
        <f aca="false">D5*(1-D18)+D19-D20-D22</f>
        <v>2900328523.27652</v>
      </c>
      <c r="E23" s="11" t="n">
        <f aca="false">E5*(1-E18)+E19-E20-E22</f>
        <v>11994881955.9622</v>
      </c>
      <c r="F23" s="11" t="n">
        <f aca="false">F5*(1-F18)+F19-F20-F22</f>
        <v>-2892829884.02549</v>
      </c>
      <c r="G23" s="11" t="n">
        <f aca="false">G5*(1-G18)+G19-G20-G22</f>
        <v>5233107501.6083</v>
      </c>
      <c r="H23" s="11"/>
      <c r="I23" s="11"/>
    </row>
    <row r="24" s="16" customFormat="true" ht="12.8" hidden="false" customHeight="false" outlineLevel="0" collapsed="false">
      <c r="A24" s="1" t="s">
        <v>24</v>
      </c>
      <c r="B24" s="15" t="n">
        <v>41047014</v>
      </c>
      <c r="C24" s="15" t="n">
        <v>41047014</v>
      </c>
      <c r="D24" s="15" t="n">
        <v>41047014</v>
      </c>
      <c r="E24" s="15" t="n">
        <v>42760328</v>
      </c>
      <c r="F24" s="15" t="n">
        <v>43855590</v>
      </c>
      <c r="G24" s="15" t="n">
        <v>43855590</v>
      </c>
      <c r="H24" s="15" t="n">
        <v>43851090</v>
      </c>
      <c r="I24" s="15"/>
    </row>
    <row r="25" s="7" customFormat="true" ht="12.8" hidden="false" customHeight="false" outlineLevel="0" collapsed="false">
      <c r="A25" s="1" t="s">
        <v>25</v>
      </c>
      <c r="B25" s="7" t="n">
        <v>1932</v>
      </c>
      <c r="C25" s="8" t="n">
        <v>1942</v>
      </c>
      <c r="D25" s="8" t="n">
        <v>1200</v>
      </c>
      <c r="E25" s="8" t="n">
        <v>1129</v>
      </c>
      <c r="F25" s="8" t="n">
        <v>827</v>
      </c>
      <c r="G25" s="8" t="n">
        <v>1091</v>
      </c>
      <c r="H25" s="8" t="n">
        <v>698</v>
      </c>
      <c r="I25" s="8"/>
    </row>
    <row r="26" s="12" customFormat="true" ht="12.8" hidden="false" customHeight="false" outlineLevel="0" collapsed="false">
      <c r="A26" s="10" t="s">
        <v>26</v>
      </c>
      <c r="B26" s="11" t="n">
        <f aca="false">B24*B25</f>
        <v>79302831048</v>
      </c>
      <c r="C26" s="11" t="n">
        <f aca="false">C24*C25</f>
        <v>79713301188</v>
      </c>
      <c r="D26" s="11" t="n">
        <f aca="false">D24*D25</f>
        <v>49256416800</v>
      </c>
      <c r="E26" s="11" t="n">
        <f aca="false">E24*E25</f>
        <v>48276410312</v>
      </c>
      <c r="F26" s="11" t="n">
        <f aca="false">F24*F25</f>
        <v>36268572930</v>
      </c>
      <c r="G26" s="11" t="n">
        <f aca="false">G24*G25</f>
        <v>47846448690</v>
      </c>
      <c r="H26" s="11" t="n">
        <f aca="false">H24*H25</f>
        <v>30608060820</v>
      </c>
      <c r="I26" s="11"/>
    </row>
    <row r="27" s="7" customFormat="true" ht="12.8" hidden="false" customHeight="false" outlineLevel="0" collapsed="false">
      <c r="A27" s="1" t="s">
        <v>27</v>
      </c>
      <c r="B27" s="7" t="n">
        <v>38790000000</v>
      </c>
      <c r="C27" s="8" t="n">
        <v>43182000000</v>
      </c>
      <c r="D27" s="8" t="n">
        <v>44643000000</v>
      </c>
      <c r="E27" s="8" t="n">
        <v>30603110000</v>
      </c>
      <c r="F27" s="8" t="n">
        <v>24469704000</v>
      </c>
      <c r="G27" s="8" t="n">
        <v>16118747000</v>
      </c>
      <c r="H27" s="8" t="n">
        <v>14284784000</v>
      </c>
      <c r="I27" s="8"/>
    </row>
    <row r="28" s="7" customFormat="true" ht="12.8" hidden="false" customHeight="false" outlineLevel="0" collapsed="false">
      <c r="A28" s="1" t="s">
        <v>28</v>
      </c>
      <c r="B28" s="7" t="n">
        <v>28804000000</v>
      </c>
      <c r="C28" s="8" t="n">
        <v>20790000000</v>
      </c>
      <c r="D28" s="8" t="n">
        <v>24170000000</v>
      </c>
      <c r="E28" s="8" t="n">
        <v>19411621000</v>
      </c>
      <c r="F28" s="8" t="n">
        <v>14122997000</v>
      </c>
      <c r="G28" s="8" t="n">
        <v>25093017000</v>
      </c>
      <c r="H28" s="8" t="n">
        <v>13557909000</v>
      </c>
      <c r="I28" s="8"/>
    </row>
    <row r="29" s="12" customFormat="true" ht="12.8" hidden="false" customHeight="false" outlineLevel="0" collapsed="false">
      <c r="A29" s="10" t="s">
        <v>29</v>
      </c>
      <c r="B29" s="11" t="n">
        <f aca="false">B27+B28</f>
        <v>67594000000</v>
      </c>
      <c r="C29" s="11" t="n">
        <f aca="false">C27+C28</f>
        <v>63972000000</v>
      </c>
      <c r="D29" s="11" t="n">
        <f aca="false">D27+D28</f>
        <v>68813000000</v>
      </c>
      <c r="E29" s="11" t="n">
        <f aca="false">E27+E28</f>
        <v>50014731000</v>
      </c>
      <c r="F29" s="11" t="n">
        <f aca="false">F27+F28</f>
        <v>38592701000</v>
      </c>
      <c r="G29" s="11" t="n">
        <f aca="false">G27+G28</f>
        <v>41211764000</v>
      </c>
      <c r="H29" s="11" t="n">
        <f aca="false">H27+H28</f>
        <v>27842693000</v>
      </c>
      <c r="I29" s="11"/>
    </row>
    <row r="30" s="7" customFormat="true" ht="12.8" hidden="false" customHeight="false" outlineLevel="0" collapsed="false">
      <c r="A30" s="1" t="s">
        <v>30</v>
      </c>
      <c r="B30" s="7" t="n">
        <f aca="false">5825000000+C30-1467000000</f>
        <v>7662000000</v>
      </c>
      <c r="C30" s="8" t="n">
        <v>3304000000</v>
      </c>
      <c r="D30" s="8" t="n">
        <v>9613000000</v>
      </c>
      <c r="E30" s="8" t="n">
        <v>704676000</v>
      </c>
      <c r="F30" s="8" t="n">
        <v>1002203000</v>
      </c>
      <c r="G30" s="8" t="n">
        <v>5560824000</v>
      </c>
      <c r="H30" s="8" t="n">
        <v>1007554000</v>
      </c>
      <c r="I30" s="8"/>
    </row>
    <row r="31" s="12" customFormat="true" ht="12.8" hidden="false" customHeight="false" outlineLevel="0" collapsed="false">
      <c r="A31" s="10" t="s">
        <v>31</v>
      </c>
      <c r="B31" s="11" t="n">
        <f aca="false">B29-B30</f>
        <v>59932000000</v>
      </c>
      <c r="C31" s="11" t="n">
        <f aca="false">C29-C30</f>
        <v>60668000000</v>
      </c>
      <c r="D31" s="11" t="n">
        <f aca="false">D29-D30</f>
        <v>59200000000</v>
      </c>
      <c r="E31" s="11" t="n">
        <f aca="false">E29-E30</f>
        <v>49310055000</v>
      </c>
      <c r="F31" s="11" t="n">
        <f aca="false">F29-F30</f>
        <v>37590498000</v>
      </c>
      <c r="G31" s="11" t="n">
        <f aca="false">G29-G30</f>
        <v>35650940000</v>
      </c>
      <c r="H31" s="11" t="n">
        <f aca="false">H29-H30</f>
        <v>26835139000</v>
      </c>
      <c r="I31" s="11"/>
    </row>
    <row r="32" s="12" customFormat="true" ht="12.8" hidden="false" customHeight="false" outlineLevel="0" collapsed="false">
      <c r="A32" s="10" t="s">
        <v>32</v>
      </c>
      <c r="B32" s="11" t="n">
        <f aca="false">B26+B31</f>
        <v>139234831048</v>
      </c>
      <c r="C32" s="11" t="n">
        <f aca="false">C26+C31</f>
        <v>140381301188</v>
      </c>
      <c r="D32" s="11" t="n">
        <f aca="false">D26+D31</f>
        <v>108456416800</v>
      </c>
      <c r="E32" s="11" t="n">
        <f aca="false">E26+E31</f>
        <v>97586465312</v>
      </c>
      <c r="F32" s="11" t="n">
        <f aca="false">F26+F31</f>
        <v>73859070930</v>
      </c>
      <c r="G32" s="11" t="n">
        <f aca="false">G26+G31</f>
        <v>83497388690</v>
      </c>
      <c r="H32" s="11" t="n">
        <f aca="false">H26+H31</f>
        <v>57443199820</v>
      </c>
      <c r="I32" s="11"/>
    </row>
    <row r="33" s="12" customFormat="true" ht="12.8" hidden="false" customHeight="false" outlineLevel="0" collapsed="false">
      <c r="A33" s="10" t="s">
        <v>33</v>
      </c>
      <c r="B33" s="11" t="n">
        <f aca="false">B5+B19</f>
        <v>22907000000</v>
      </c>
      <c r="C33" s="11" t="n">
        <f aca="false">C5+C19</f>
        <v>18007000000</v>
      </c>
      <c r="D33" s="11" t="n">
        <f aca="false">D5+D19</f>
        <v>21600000000</v>
      </c>
      <c r="E33" s="11" t="n">
        <f aca="false">E5+E19</f>
        <v>14879108000</v>
      </c>
      <c r="F33" s="11" t="n">
        <f aca="false">F5+F19</f>
        <v>9716838000</v>
      </c>
      <c r="G33" s="11" t="n">
        <f aca="false">G5+G19</f>
        <v>11360551000</v>
      </c>
      <c r="H33" s="11" t="n">
        <f aca="false">H5+H19</f>
        <v>20139109000</v>
      </c>
      <c r="I33" s="11"/>
    </row>
    <row r="34" s="18" customFormat="true" ht="12.8" hidden="false" customHeight="false" outlineLevel="0" collapsed="false">
      <c r="A34" s="10" t="s">
        <v>34</v>
      </c>
      <c r="B34" s="17" t="n">
        <f aca="false">B32/B33</f>
        <v>6.07826564141965</v>
      </c>
      <c r="C34" s="17" t="n">
        <f aca="false">C32/C33</f>
        <v>7.79592942677848</v>
      </c>
      <c r="D34" s="17" t="n">
        <f aca="false">D32/D33</f>
        <v>5.02113040740741</v>
      </c>
      <c r="E34" s="17" t="n">
        <f aca="false">E32/E33</f>
        <v>6.55862336048639</v>
      </c>
      <c r="F34" s="17" t="n">
        <f aca="false">F32/F33</f>
        <v>7.60114256613108</v>
      </c>
      <c r="G34" s="17" t="n">
        <f aca="false">G32/G33</f>
        <v>7.34976575431949</v>
      </c>
      <c r="H34" s="17" t="n">
        <f aca="false">H32/H33</f>
        <v>2.85232081617911</v>
      </c>
      <c r="I34" s="17"/>
    </row>
    <row r="35" s="18" customFormat="true" ht="12.8" hidden="false" customHeight="false" outlineLevel="0" collapsed="false">
      <c r="A35" s="10" t="s">
        <v>35</v>
      </c>
      <c r="B35" s="17" t="n">
        <f aca="false">B32/B2</f>
        <v>1.11365591720056</v>
      </c>
      <c r="C35" s="17" t="n">
        <f aca="false">C32/C2</f>
        <v>1.16878253243304</v>
      </c>
      <c r="D35" s="17" t="n">
        <f aca="false">D32/D2</f>
        <v>1.08000654039951</v>
      </c>
      <c r="E35" s="17" t="n">
        <f aca="false">E32/E2</f>
        <v>1.07871984613199</v>
      </c>
      <c r="F35" s="17" t="n">
        <f aca="false">F32/F2</f>
        <v>0.896160961584799</v>
      </c>
      <c r="G35" s="17" t="n">
        <f aca="false">G32/G2</f>
        <v>1.08392245417792</v>
      </c>
      <c r="H35" s="17" t="n">
        <f aca="false">H32/H2</f>
        <v>0.836530227749998</v>
      </c>
      <c r="I35" s="17"/>
    </row>
    <row r="36" s="18" customFormat="true" ht="12.8" hidden="false" customHeight="false" outlineLevel="0" collapsed="false">
      <c r="A36" s="10" t="s">
        <v>36</v>
      </c>
      <c r="B36" s="17" t="n">
        <f aca="false">B26/B8</f>
        <v>8.04533134300497</v>
      </c>
      <c r="C36" s="17" t="n">
        <f aca="false">C26/C8</f>
        <v>11.9851603049166</v>
      </c>
      <c r="D36" s="17" t="n">
        <f aca="false">D26/D8</f>
        <v>4.11155398998331</v>
      </c>
      <c r="E36" s="17" t="n">
        <f aca="false">E26/E8</f>
        <v>8.54740957087149</v>
      </c>
      <c r="F36" s="17" t="n">
        <f aca="false">F26/F8</f>
        <v>19.2149547342065</v>
      </c>
      <c r="G36" s="17" t="n">
        <f aca="false">G26/G8</f>
        <v>7.94684712469703</v>
      </c>
      <c r="H36" s="17" t="n">
        <f aca="false">H26/H8</f>
        <v>1.84122735052134</v>
      </c>
      <c r="I36" s="17"/>
    </row>
    <row r="37" s="18" customFormat="true" ht="12.8" hidden="false" customHeight="false" outlineLevel="0" collapsed="false">
      <c r="A37" s="10" t="s">
        <v>37</v>
      </c>
      <c r="B37" s="17" t="n">
        <f aca="false">B26/B2</f>
        <v>0.634295789226155</v>
      </c>
      <c r="C37" s="17" t="n">
        <f aca="false">C26/C2</f>
        <v>0.663674672072867</v>
      </c>
      <c r="D37" s="17" t="n">
        <f aca="false">D26/D2</f>
        <v>0.490494282129414</v>
      </c>
      <c r="E37" s="17" t="n">
        <f aca="false">E26/E2</f>
        <v>0.533646973861259</v>
      </c>
      <c r="F37" s="17" t="n">
        <f aca="false">F26/F2</f>
        <v>0.440060764141773</v>
      </c>
      <c r="G37" s="17" t="n">
        <f aca="false">G26/G2</f>
        <v>0.621119305662476</v>
      </c>
      <c r="H37" s="17" t="n">
        <f aca="false">H26/H2</f>
        <v>0.445737148504489</v>
      </c>
      <c r="I37" s="17"/>
    </row>
    <row r="38" s="20" customFormat="true" ht="12.8" hidden="false" customHeight="false" outlineLevel="0" collapsed="false">
      <c r="A38" s="10" t="s">
        <v>38</v>
      </c>
      <c r="B38" s="17" t="n">
        <f aca="false">B29/B33</f>
        <v>2.95080106517658</v>
      </c>
      <c r="C38" s="17" t="n">
        <f aca="false">C29/C33</f>
        <v>3.5526184261676</v>
      </c>
      <c r="D38" s="17" t="n">
        <f aca="false">D29/D33</f>
        <v>3.18578703703704</v>
      </c>
      <c r="E38" s="17" t="n">
        <f aca="false">E29/E33</f>
        <v>3.36140654399444</v>
      </c>
      <c r="F38" s="17" t="n">
        <f aca="false">F29/F33</f>
        <v>3.97173452927794</v>
      </c>
      <c r="G38" s="17" t="n">
        <f aca="false">G29/G33</f>
        <v>3.62762017440879</v>
      </c>
      <c r="H38" s="17" t="n">
        <f aca="false">H29/H33</f>
        <v>1.38251861092762</v>
      </c>
      <c r="I38" s="19"/>
    </row>
    <row r="39" s="20" customFormat="true" ht="12.8" hidden="false" customHeight="false" outlineLevel="0" collapsed="false">
      <c r="A39" s="10" t="s">
        <v>39</v>
      </c>
      <c r="B39" s="14" t="n">
        <f aca="false">B8/AVERAGE(B12:C12)</f>
        <v>0.0659840880412626</v>
      </c>
      <c r="C39" s="14" t="n">
        <f aca="false">C8/AVERAGE(C12:D12)</f>
        <v>0.0454574967962409</v>
      </c>
      <c r="D39" s="14" t="n">
        <f aca="false">D8/AVERAGE(D12:E12)</f>
        <v>0.0897979412150445</v>
      </c>
      <c r="E39" s="14" t="n">
        <f aca="false">E8/AVERAGE(E12:F12)</f>
        <v>0.0502091642179986</v>
      </c>
      <c r="F39" s="14" t="n">
        <f aca="false">F8/AVERAGE(F12:G12)</f>
        <v>0.0176363251574757</v>
      </c>
      <c r="G39" s="14" t="n">
        <f aca="false">G8/AVERAGE(G12:H12)</f>
        <v>0.0617053897949924</v>
      </c>
      <c r="H39" s="14" t="n">
        <f aca="false">H8/AVERAGE(H12:I12)</f>
        <v>0.190125351094059</v>
      </c>
      <c r="I39" s="19"/>
    </row>
    <row r="40" s="22" customFormat="true" ht="12.8" hidden="false" customHeight="false" outlineLevel="0" collapsed="false">
      <c r="A40" s="21" t="s">
        <v>40</v>
      </c>
      <c r="B40" s="2" t="n">
        <v>109.71</v>
      </c>
      <c r="C40" s="21" t="n">
        <v>150.42</v>
      </c>
      <c r="D40" s="21" t="n">
        <v>95.55</v>
      </c>
      <c r="E40" s="21" t="n">
        <v>73.47</v>
      </c>
      <c r="F40" s="21" t="n">
        <v>22.75</v>
      </c>
      <c r="G40" s="21" t="n">
        <v>77.35</v>
      </c>
      <c r="H40" s="21" t="n">
        <v>34.44</v>
      </c>
      <c r="I40" s="21"/>
    </row>
    <row r="41" customFormat="false" ht="12.8" hidden="false" customHeight="false" outlineLevel="0" collapsed="false">
      <c r="A41" s="0"/>
      <c r="C41" s="0"/>
      <c r="D41" s="0"/>
      <c r="E41" s="0"/>
      <c r="F41" s="0"/>
      <c r="G41" s="0"/>
      <c r="H41" s="0"/>
    </row>
    <row r="42" customFormat="false" ht="12.8" hidden="false" customHeight="false" outlineLevel="0" collapsed="false">
      <c r="A42" s="0"/>
      <c r="C42" s="0"/>
      <c r="D42" s="0"/>
      <c r="E42" s="0"/>
      <c r="F42" s="0"/>
      <c r="G42" s="0"/>
      <c r="H42" s="0"/>
    </row>
    <row r="43" s="7" customFormat="true" ht="12.8" hidden="false" customHeight="false" outlineLevel="0" collapsed="false">
      <c r="A43" s="8"/>
      <c r="B43" s="2"/>
      <c r="C43" s="8"/>
      <c r="D43" s="8"/>
      <c r="E43" s="8"/>
      <c r="F43" s="8"/>
      <c r="G43" s="8"/>
      <c r="H43" s="8"/>
    </row>
    <row r="44" s="7" customFormat="true" ht="12.8" hidden="false" customHeight="false" outlineLevel="0" collapsed="false">
      <c r="A44" s="8"/>
      <c r="B44" s="2"/>
      <c r="C44" s="8"/>
      <c r="D44" s="8"/>
      <c r="E44" s="8"/>
      <c r="F44" s="8"/>
      <c r="G44" s="8"/>
      <c r="H44" s="8"/>
    </row>
    <row r="45" s="7" customFormat="true" ht="12.8" hidden="false" customHeight="false" outlineLevel="0" collapsed="false">
      <c r="A45" s="8"/>
      <c r="B45" s="2"/>
      <c r="C45" s="8"/>
      <c r="D45" s="8"/>
      <c r="E45" s="8"/>
      <c r="F45" s="8"/>
      <c r="G45" s="8"/>
      <c r="H45" s="8"/>
    </row>
    <row r="46" s="7" customFormat="true" ht="12.8" hidden="false" customHeight="false" outlineLevel="0" collapsed="false">
      <c r="A46" s="8"/>
      <c r="B46" s="2"/>
      <c r="C46" s="8"/>
      <c r="D46" s="8"/>
      <c r="E46" s="8"/>
      <c r="F46" s="8"/>
      <c r="G46" s="8"/>
      <c r="H46" s="8"/>
    </row>
    <row r="47" s="7" customFormat="true" ht="12.8" hidden="false" customHeight="false" outlineLevel="0" collapsed="false">
      <c r="A47" s="8"/>
      <c r="B47" s="2"/>
      <c r="C47" s="8"/>
      <c r="D47" s="8"/>
      <c r="E47" s="8"/>
      <c r="F47" s="8"/>
      <c r="G47" s="8"/>
      <c r="H47" s="8"/>
    </row>
    <row r="48" s="7" customFormat="true" ht="12.8" hidden="false" customHeight="false" outlineLevel="0" collapsed="false">
      <c r="A48" s="8"/>
      <c r="B48" s="2"/>
      <c r="C48" s="8"/>
      <c r="D48" s="8"/>
      <c r="E48" s="8"/>
      <c r="F48" s="8"/>
      <c r="G48" s="8"/>
      <c r="H48" s="8"/>
    </row>
    <row r="49" s="7" customFormat="true" ht="12.8" hidden="false" customHeight="false" outlineLevel="0" collapsed="false">
      <c r="A49" s="8"/>
      <c r="B49" s="2"/>
      <c r="C49" s="8"/>
      <c r="D49" s="8"/>
      <c r="E49" s="8"/>
      <c r="F49" s="8"/>
      <c r="G49" s="8"/>
      <c r="H49" s="8"/>
    </row>
    <row r="50" s="7" customFormat="true" ht="12.8" hidden="false" customHeight="false" outlineLevel="0" collapsed="false">
      <c r="A50" s="8"/>
      <c r="B50" s="2"/>
      <c r="C50" s="8"/>
      <c r="D50" s="8"/>
      <c r="E50" s="8"/>
      <c r="F50" s="8"/>
      <c r="G50" s="8"/>
      <c r="H50" s="8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11.66015625" defaultRowHeight="12.8" zeroHeight="false" outlineLevelRow="0" outlineLevelCol="0"/>
  <cols>
    <col collapsed="false" customWidth="true" hidden="false" outlineLevel="0" max="1" min="1" style="23" width="39.2"/>
  </cols>
  <sheetData>
    <row r="1" customFormat="false" ht="12.8" hidden="false" customHeight="false" outlineLevel="0" collapsed="false">
      <c r="A1" s="24" t="s">
        <v>41</v>
      </c>
      <c r="B1" s="25" t="n">
        <f aca="false">Data!$D$13/Data!$D$12</f>
        <v>0.410380828333682</v>
      </c>
    </row>
    <row r="2" s="25" customFormat="true" ht="12.8" hidden="false" customHeight="false" outlineLevel="0" collapsed="false">
      <c r="A2" s="24" t="s">
        <v>42</v>
      </c>
      <c r="B2" s="25" t="n">
        <f aca="false">1-B1</f>
        <v>0.589619171666318</v>
      </c>
    </row>
    <row r="3" s="25" customFormat="true" ht="12.8" hidden="false" customHeight="false" outlineLevel="0" collapsed="false">
      <c r="A3" s="23" t="s">
        <v>7</v>
      </c>
      <c r="B3" s="25" t="n">
        <f aca="false">Data!$D$18</f>
        <v>-0.0158568642414992</v>
      </c>
    </row>
    <row r="4" customFormat="false" ht="12.8" hidden="false" customHeight="false" outlineLevel="0" collapsed="false">
      <c r="A4" s="23" t="s">
        <v>43</v>
      </c>
      <c r="B4" s="25" t="n">
        <v>0.056</v>
      </c>
    </row>
    <row r="5" customFormat="false" ht="12.8" hidden="false" customHeight="false" outlineLevel="0" collapsed="false">
      <c r="A5" s="23" t="s">
        <v>44</v>
      </c>
      <c r="B5" s="25" t="n">
        <v>0.198</v>
      </c>
    </row>
    <row r="6" customFormat="false" ht="12.8" hidden="false" customHeight="false" outlineLevel="0" collapsed="false">
      <c r="A6" s="26" t="s">
        <v>45</v>
      </c>
      <c r="B6" s="0" t="n">
        <v>0.37</v>
      </c>
    </row>
    <row r="7" customFormat="false" ht="12.8" hidden="false" customHeight="false" outlineLevel="0" collapsed="false">
      <c r="A7" s="23" t="s">
        <v>46</v>
      </c>
      <c r="B7" s="25" t="n">
        <f aca="false">B4+B6*(B5-B4)</f>
        <v>0.10854</v>
      </c>
    </row>
    <row r="8" customFormat="false" ht="12.8" hidden="false" customHeight="false" outlineLevel="0" collapsed="false">
      <c r="A8" s="23" t="s">
        <v>47</v>
      </c>
      <c r="B8" s="25" t="n">
        <v>0.0917</v>
      </c>
    </row>
    <row r="9" customFormat="false" ht="12.8" hidden="false" customHeight="false" outlineLevel="0" collapsed="false">
      <c r="A9" s="23" t="s">
        <v>48</v>
      </c>
      <c r="B9" s="25" t="n">
        <f aca="false">B1*B7+B2*B8*(1-B3)</f>
        <v>0.0994681633224469</v>
      </c>
    </row>
    <row r="11" customFormat="false" ht="12.8" hidden="false" customHeight="false" outlineLevel="0" collapsed="false">
      <c r="A11" s="27" t="s">
        <v>49</v>
      </c>
      <c r="B11" s="28" t="n">
        <v>6</v>
      </c>
      <c r="C11" s="28" t="n">
        <f aca="false">B11-1</f>
        <v>5</v>
      </c>
      <c r="D11" s="28" t="n">
        <f aca="false">C11-1</f>
        <v>4</v>
      </c>
    </row>
    <row r="12" customFormat="false" ht="12.8" hidden="false" customHeight="false" outlineLevel="0" collapsed="false">
      <c r="A12" s="29" t="s">
        <v>2</v>
      </c>
      <c r="B12" s="25" t="n">
        <f aca="false">(Data!$B$2/Data!$H$2)^(1/$B$11) - 1</f>
        <v>0.105028077283418</v>
      </c>
      <c r="C12" s="25" t="e">
        <f aca="false">(Data!$D$2/Data!$I$2)^(1/$C$11) - 1</f>
        <v>#DIV/0!</v>
      </c>
      <c r="D12" s="25" t="n">
        <f aca="false">(Data!$D$2/Data!$H$2)^(1/$D$11) - 1</f>
        <v>0.0996841621891704</v>
      </c>
    </row>
    <row r="13" customFormat="false" ht="12.8" hidden="false" customHeight="false" outlineLevel="0" collapsed="false">
      <c r="A13" s="29" t="s">
        <v>4</v>
      </c>
      <c r="B13" s="25" t="n">
        <f aca="false">(Data!$B$4/Data!$H$4)^(1/$B$11) - 1</f>
        <v>0.0376070440777967</v>
      </c>
      <c r="C13" s="25" t="e">
        <f aca="false">(Data!$D$4/Data!$I$4)^(1/$C$11) - 1</f>
        <v>#DIV/0!</v>
      </c>
      <c r="D13" s="25" t="n">
        <f aca="false">(Data!$D$4/Data!$H$4)^(1/$D$11) - 1</f>
        <v>0.0280330555518575</v>
      </c>
    </row>
    <row r="14" customFormat="false" ht="12.8" hidden="false" customHeight="false" outlineLevel="0" collapsed="false">
      <c r="A14" s="29" t="s">
        <v>33</v>
      </c>
      <c r="B14" s="25" t="n">
        <f aca="false">(Data!$B$33/Data!$H$33)^(1/$B$11) - 1</f>
        <v>0.0216951392773854</v>
      </c>
      <c r="C14" s="25" t="e">
        <f aca="false">(Data!$D$31/Data!$I$31)^(1/$C$11) - 1</f>
        <v>#DIV/0!</v>
      </c>
      <c r="D14" s="25" t="n">
        <f aca="false">(Data!$D$31/Data!$H$31)^(1/$D$11) - 1</f>
        <v>0.218721476450536</v>
      </c>
    </row>
    <row r="15" customFormat="false" ht="12.8" hidden="false" customHeight="false" outlineLevel="0" collapsed="false">
      <c r="A15" s="29" t="s">
        <v>50</v>
      </c>
      <c r="B15" s="25" t="e">
        <f aca="false">((Data!$B$19/Data!$D$2)/(Data!$H$19/Data!$I$2))^(1/$B$11) - 1</f>
        <v>#DIV/0!</v>
      </c>
      <c r="C15" s="25" t="e">
        <f aca="false">((Data!$D$19/Data!$D$2)/(Data!$I$19/Data!$I$2))^(1/$C$11) - 1</f>
        <v>#DIV/0!</v>
      </c>
      <c r="D15" s="25" t="n">
        <f aca="false">((Data!$D$19/Data!$D$2)/(Data!$H$19/Data!$H$2))^(1/$D$11) - 1</f>
        <v>0.0438201119961716</v>
      </c>
    </row>
    <row r="16" customFormat="false" ht="12.8" hidden="false" customHeight="false" outlineLevel="0" collapsed="false">
      <c r="A16" s="29" t="s">
        <v>51</v>
      </c>
      <c r="B16" s="25" t="e">
        <f aca="false">((Data!$D$20/Data!$D$2)/(Data!$I$20/Data!$I$2))^(1/$B$11) - 1</f>
        <v>#DIV/0!</v>
      </c>
      <c r="C16" s="25" t="e">
        <f aca="false">((Data!$D$20/Data!$D$2)/(Data!$I$20/Data!$I$2))^(1/$C$11) - 1</f>
        <v>#DIV/0!</v>
      </c>
      <c r="D16" s="25" t="n">
        <f aca="false">((Data!$D$20/Data!$D$2)/(Data!$H$20/Data!$H$2))^(1/$D$11) - 1</f>
        <v>0.0268096722163296</v>
      </c>
    </row>
    <row r="17" customFormat="false" ht="12.8" hidden="false" customHeight="false" outlineLevel="0" collapsed="false">
      <c r="A17" s="29" t="s">
        <v>52</v>
      </c>
      <c r="B17" s="25" t="e">
        <f aca="false">((Data!$D$21/Data!$D$2)/(Data!$I$21/Data!$I$2))^(1/$B$11) - 1</f>
        <v>#DIV/0!</v>
      </c>
      <c r="C17" s="25" t="e">
        <f aca="false">((Data!$D$21/Data!$D$2)/(Data!$I$21/Data!$I$2))^(1/$C$11) - 1</f>
        <v>#DIV/0!</v>
      </c>
      <c r="D17" s="25" t="n">
        <f aca="false">((Data!$D$21/Data!$D$2)/(Data!$H$21/Data!$H$2))^(1/$D$11) - 1</f>
        <v>-0.0611091736163909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28.38"/>
    <col collapsed="false" customWidth="true" hidden="false" outlineLevel="0" max="8" min="2" style="0" width="17.86"/>
    <col collapsed="false" customWidth="true" hidden="false" outlineLevel="0" max="11" min="9" style="0" width="21.22"/>
  </cols>
  <sheetData>
    <row r="1" customFormat="false" ht="12.8" hidden="false" customHeight="false" outlineLevel="0" collapsed="false">
      <c r="A1" s="0" t="s">
        <v>0</v>
      </c>
      <c r="B1" s="0" t="n">
        <f aca="false">Data!$D$1</f>
        <v>2018</v>
      </c>
      <c r="C1" s="0" t="n">
        <f aca="false">B1+1</f>
        <v>2019</v>
      </c>
      <c r="D1" s="0" t="n">
        <f aca="false">C1+1</f>
        <v>2020</v>
      </c>
      <c r="E1" s="0" t="n">
        <f aca="false">D1+1</f>
        <v>2021</v>
      </c>
      <c r="F1" s="0" t="n">
        <f aca="false">E1+1</f>
        <v>2022</v>
      </c>
      <c r="G1" s="0" t="n">
        <f aca="false">F1+1</f>
        <v>2023</v>
      </c>
      <c r="H1" s="0" t="s">
        <v>53</v>
      </c>
    </row>
    <row r="2" customFormat="false" ht="12.8" hidden="false" customHeight="false" outlineLevel="0" collapsed="false">
      <c r="A2" s="0" t="s">
        <v>2</v>
      </c>
      <c r="B2" s="7" t="n">
        <f aca="false">Data!$B$2</f>
        <v>125025000000</v>
      </c>
      <c r="C2" s="7" t="e">
        <f aca="false">B2*(1+MIN(AnalysisVals!$B$12:$D$12))</f>
        <v>#DIV/0!</v>
      </c>
      <c r="D2" s="7" t="e">
        <f aca="false">C2*(1+MIN(AnalysisVals!$B$12:$D$12))</f>
        <v>#DIV/0!</v>
      </c>
      <c r="E2" s="7" t="e">
        <f aca="false">D2*(1+MIN(AnalysisVals!$B$12:$D$12))</f>
        <v>#DIV/0!</v>
      </c>
      <c r="F2" s="7" t="e">
        <f aca="false">E2*(1+MIN(AnalysisVals!$B$12:$D$12))</f>
        <v>#DIV/0!</v>
      </c>
      <c r="G2" s="7" t="e">
        <f aca="false">F2*(1+MIN(AnalysisVals!$B$12:$D$12))</f>
        <v>#DIV/0!</v>
      </c>
      <c r="H2" s="7" t="e">
        <f aca="false">G2*(1+MIN(AnalysisVals!$B$12:$D$12))</f>
        <v>#DIV/0!</v>
      </c>
    </row>
    <row r="3" customFormat="false" ht="12.8" hidden="false" customHeight="false" outlineLevel="0" collapsed="false">
      <c r="A3" s="0" t="s">
        <v>4</v>
      </c>
      <c r="B3" s="7" t="n">
        <f aca="false">Data!$B$4</f>
        <v>32605000000</v>
      </c>
      <c r="C3" s="7" t="e">
        <f aca="false">B3*(1+MIN(AnalysisVals!$B$13:$D$13))</f>
        <v>#DIV/0!</v>
      </c>
      <c r="D3" s="7" t="e">
        <f aca="false">C3*(1+MIN(AnalysisVals!$B$13:$D$13))</f>
        <v>#DIV/0!</v>
      </c>
      <c r="E3" s="7" t="e">
        <f aca="false">D3*(1+MIN(AnalysisVals!$B$13:$D$13))</f>
        <v>#DIV/0!</v>
      </c>
      <c r="F3" s="7" t="e">
        <f aca="false">E3*(1+MIN(AnalysisVals!$B$13:$D$13))</f>
        <v>#DIV/0!</v>
      </c>
      <c r="G3" s="7" t="e">
        <f aca="false">F3*(1+MIN(AnalysisVals!$B$13:$D$13))</f>
        <v>#DIV/0!</v>
      </c>
      <c r="H3" s="7" t="e">
        <f aca="false">G3*(1+MIN(AnalysisVals!$B$13:$D$13))</f>
        <v>#DIV/0!</v>
      </c>
    </row>
    <row r="4" customFormat="false" ht="12.8" hidden="false" customHeight="false" outlineLevel="0" collapsed="false">
      <c r="A4" s="0" t="s">
        <v>33</v>
      </c>
      <c r="B4" s="7" t="n">
        <f aca="false">Data!$B$33</f>
        <v>22907000000</v>
      </c>
      <c r="C4" s="7" t="e">
        <f aca="false">B4*(1+MIN(AnalysisVals!$B$14:$D$14))</f>
        <v>#DIV/0!</v>
      </c>
      <c r="D4" s="7" t="e">
        <f aca="false">C4*(1+MIN(AnalysisVals!$B$14:$D$14))</f>
        <v>#DIV/0!</v>
      </c>
      <c r="E4" s="7" t="e">
        <f aca="false">D4*(1+MIN(AnalysisVals!$B$14:$D$14))</f>
        <v>#DIV/0!</v>
      </c>
      <c r="F4" s="7" t="e">
        <f aca="false">E4*(1+MIN(AnalysisVals!$B$14:$D$14))</f>
        <v>#DIV/0!</v>
      </c>
      <c r="G4" s="7" t="e">
        <f aca="false">F4*(1+MIN(AnalysisVals!$B$14:$D$14))</f>
        <v>#DIV/0!</v>
      </c>
      <c r="H4" s="7" t="e">
        <f aca="false">G4*(1+MIN(AnalysisVals!$B$14:$D$14))</f>
        <v>#DIV/0!</v>
      </c>
    </row>
    <row r="5" customFormat="false" ht="12.8" hidden="false" customHeight="false" outlineLevel="0" collapsed="false">
      <c r="A5" s="0" t="s">
        <v>19</v>
      </c>
      <c r="B5" s="7" t="n">
        <f aca="false">Data!$B$19</f>
        <v>8293000000</v>
      </c>
      <c r="C5" s="7" t="e">
        <f aca="false">C2*(B$5/B$2)*(1+MAX(AnalysisVals!$B$15:$D$15))</f>
        <v>#DIV/0!</v>
      </c>
      <c r="D5" s="7" t="e">
        <f aca="false">D2*(C$5/C$2)*(1+MAX(AnalysisVals!$B$15:$D$15))</f>
        <v>#DIV/0!</v>
      </c>
      <c r="E5" s="7" t="e">
        <f aca="false">E2*(D$5/D$2)*(1+MAX(AnalysisVals!$B$15:$D$15))</f>
        <v>#DIV/0!</v>
      </c>
      <c r="F5" s="7" t="e">
        <f aca="false">F2*(E$5/E$2)*(1+MAX(AnalysisVals!$B$15:$D$15))</f>
        <v>#DIV/0!</v>
      </c>
      <c r="G5" s="7" t="e">
        <f aca="false">G2*(F$5/F$2)*(1+MAX(AnalysisVals!$B$15:$D$15))</f>
        <v>#DIV/0!</v>
      </c>
      <c r="H5" s="7" t="e">
        <f aca="false">H2*(G$5/G$2)*(1+MAX(AnalysisVals!$B$15:$D$15))</f>
        <v>#DIV/0!</v>
      </c>
    </row>
    <row r="6" customFormat="false" ht="12.8" hidden="false" customHeight="false" outlineLevel="0" collapsed="false">
      <c r="A6" s="0" t="s">
        <v>20</v>
      </c>
      <c r="B6" s="7" t="n">
        <f aca="false">Data!$B$20</f>
        <v>8502000000</v>
      </c>
      <c r="C6" s="7" t="e">
        <f aca="false">C$2*(B$6/B$2)*(1+MIN(AnalysisVals!$B$16:$D$16))</f>
        <v>#DIV/0!</v>
      </c>
      <c r="D6" s="7" t="e">
        <f aca="false">D$2*(C$6/C$2)*(1+MIN(AnalysisVals!$B$16:$D$16))</f>
        <v>#DIV/0!</v>
      </c>
      <c r="E6" s="7" t="e">
        <f aca="false">E$2*(D$6/D$2)*(1+MIN(AnalysisVals!$B$16:$D$16))</f>
        <v>#DIV/0!</v>
      </c>
      <c r="F6" s="7" t="e">
        <f aca="false">F$2*(E$6/E$2)*(1+MIN(AnalysisVals!$B$16:$D$16))</f>
        <v>#DIV/0!</v>
      </c>
      <c r="G6" s="7" t="e">
        <f aca="false">G$2*(F$6/F$2)*(1+MIN(AnalysisVals!$B$16:$D$16))</f>
        <v>#DIV/0!</v>
      </c>
      <c r="H6" s="7" t="e">
        <f aca="false">H$2*(G$6/G$2)*(1+MIN(AnalysisVals!$B$16:$D$16))</f>
        <v>#DIV/0!</v>
      </c>
    </row>
    <row r="7" customFormat="false" ht="12.8" hidden="false" customHeight="false" outlineLevel="0" collapsed="false">
      <c r="A7" s="0" t="s">
        <v>21</v>
      </c>
      <c r="B7" s="7" t="n">
        <f aca="false">Data!$B$21</f>
        <v>4559000000</v>
      </c>
      <c r="C7" s="7" t="e">
        <f aca="false">C$2*(B$7/B$2)*(1+ MAX(AnalysisVals!$B$17:$D$17))</f>
        <v>#DIV/0!</v>
      </c>
      <c r="D7" s="7" t="e">
        <f aca="false">D$2*(C$7/C$2)*(1+ MAX(AnalysisVals!$B$17:$D$17))</f>
        <v>#DIV/0!</v>
      </c>
      <c r="E7" s="7" t="e">
        <f aca="false">E$2*(D$7/D$2)*(1+ MAX(AnalysisVals!$B$17:$D$17))</f>
        <v>#DIV/0!</v>
      </c>
      <c r="F7" s="7" t="e">
        <f aca="false">F$2*(E$7/E$2)*(1+ MAX(AnalysisVals!$B$17:$D$17))</f>
        <v>#DIV/0!</v>
      </c>
      <c r="G7" s="7" t="e">
        <f aca="false">G$2*(F$7/F$2)*(1+ MAX(AnalysisVals!$B$17:$D$17))</f>
        <v>#DIV/0!</v>
      </c>
      <c r="H7" s="7" t="e">
        <f aca="false">H$2*(G$7/G$2)*(1+ MAX(AnalysisVals!$B$17:$D$17))</f>
        <v>#DIV/0!</v>
      </c>
    </row>
    <row r="8" customFormat="false" ht="12.8" hidden="false" customHeight="false" outlineLevel="0" collapsed="false">
      <c r="A8" s="0" t="s">
        <v>54</v>
      </c>
      <c r="B8" s="7" t="n">
        <f aca="false">Data!$B$21-Data!$C$21</f>
        <v>702000000</v>
      </c>
      <c r="C8" s="7" t="e">
        <f aca="false">C7-B7</f>
        <v>#DIV/0!</v>
      </c>
      <c r="D8" s="7" t="e">
        <f aca="false">D7-C7</f>
        <v>#DIV/0!</v>
      </c>
      <c r="E8" s="7" t="e">
        <f aca="false">E7-D7</f>
        <v>#DIV/0!</v>
      </c>
      <c r="F8" s="7" t="e">
        <f aca="false">F7-E7</f>
        <v>#DIV/0!</v>
      </c>
      <c r="G8" s="7" t="e">
        <f aca="false">G7-F7</f>
        <v>#DIV/0!</v>
      </c>
      <c r="H8" s="7" t="e">
        <f aca="false">H7-G7</f>
        <v>#DIV/0!</v>
      </c>
    </row>
    <row r="9" customFormat="false" ht="12.8" hidden="false" customHeight="false" outlineLevel="0" collapsed="false">
      <c r="A9" s="0" t="s">
        <v>5</v>
      </c>
      <c r="B9" s="7" t="n">
        <f aca="false">B4-B5</f>
        <v>14614000000</v>
      </c>
      <c r="C9" s="7" t="e">
        <f aca="false">C4-C5</f>
        <v>#DIV/0!</v>
      </c>
      <c r="D9" s="7" t="e">
        <f aca="false">D4-D5</f>
        <v>#DIV/0!</v>
      </c>
      <c r="E9" s="7" t="e">
        <f aca="false">E4-E5</f>
        <v>#DIV/0!</v>
      </c>
      <c r="F9" s="7" t="e">
        <f aca="false">F4-F5</f>
        <v>#DIV/0!</v>
      </c>
      <c r="G9" s="7" t="e">
        <f aca="false">G4-G5</f>
        <v>#DIV/0!</v>
      </c>
      <c r="H9" s="7" t="e">
        <f aca="false">H4-H5</f>
        <v>#DIV/0!</v>
      </c>
    </row>
    <row r="10" customFormat="false" ht="12.8" hidden="false" customHeight="false" outlineLevel="0" collapsed="false">
      <c r="A10" s="0" t="s">
        <v>23</v>
      </c>
      <c r="B10" s="7" t="n">
        <f aca="false">B9*(1-AnalysisVals!$B$3)+B5-B8-B6</f>
        <v>13934732214.0253</v>
      </c>
      <c r="C10" s="7" t="e">
        <f aca="false">(C9*(1-AnalysisVals!$B$3)+C5-C8-C6)/( (1+AnalysisVals!$B$9)^COUNT($C1:C1) )</f>
        <v>#DIV/0!</v>
      </c>
      <c r="D10" s="7" t="e">
        <f aca="false">(D9*(1-AnalysisVals!$B$3)+D5-D8-D6)/( (1+AnalysisVals!$B$9)^COUNT($C1:D1) )</f>
        <v>#DIV/0!</v>
      </c>
      <c r="E10" s="7" t="e">
        <f aca="false">(E9*(1-AnalysisVals!$B$3)+E5-E8-E6)/( (1+AnalysisVals!$B$9)^COUNT($C1:E1) )</f>
        <v>#DIV/0!</v>
      </c>
      <c r="F10" s="7" t="e">
        <f aca="false">(F9*(1-AnalysisVals!$B$3)+F5-F8-F6)/( (1+AnalysisVals!$B$9)^COUNT($C1:F1) )</f>
        <v>#DIV/0!</v>
      </c>
      <c r="G10" s="7" t="e">
        <f aca="false">(G9*(1-AnalysisVals!$B$3)+G5-G8-G6)/( (1+AnalysisVals!$B$9)^COUNT($C1:G1) )</f>
        <v>#DIV/0!</v>
      </c>
      <c r="H10" s="30" t="n">
        <f aca="false">Data!$B$32/( (1-AnalysisVals!$B$9)^COUNT(C1:G1) )</f>
        <v>235099949883.984</v>
      </c>
    </row>
    <row r="12" customFormat="false" ht="12.8" hidden="false" customHeight="false" outlineLevel="0" collapsed="false">
      <c r="B12" s="0" t="s">
        <v>55</v>
      </c>
      <c r="C12" s="0" t="s">
        <v>53</v>
      </c>
    </row>
    <row r="13" customFormat="false" ht="12.8" hidden="false" customHeight="false" outlineLevel="0" collapsed="false">
      <c r="A13" s="0" t="s">
        <v>56</v>
      </c>
      <c r="B13" s="25" t="n">
        <v>0.01</v>
      </c>
      <c r="C13" s="2" t="e">
        <f aca="false">H9*(1+B13)/(AnalysisVals!B9-B13)</f>
        <v>#DIV/0!</v>
      </c>
    </row>
    <row r="15" customFormat="false" ht="12.8" hidden="false" customHeight="false" outlineLevel="0" collapsed="false">
      <c r="A15" s="0" t="s">
        <v>57</v>
      </c>
      <c r="B15" s="7" t="e">
        <f aca="false">SUM(B10:H10)/Data!$B$24</f>
        <v>#DIV/0!</v>
      </c>
    </row>
    <row r="16" customFormat="false" ht="12.8" hidden="false" customHeight="false" outlineLevel="0" collapsed="false">
      <c r="A16" s="0" t="s">
        <v>58</v>
      </c>
      <c r="B16" s="7" t="n">
        <v>1306</v>
      </c>
    </row>
    <row r="19" customFormat="false" ht="12.8" hidden="false" customHeight="false" outlineLevel="0" collapsed="false">
      <c r="B19" s="7"/>
      <c r="C19" s="7"/>
      <c r="D19" s="7"/>
      <c r="E19" s="7"/>
      <c r="F19" s="7"/>
      <c r="G19" s="7"/>
      <c r="H19" s="7"/>
      <c r="I19" s="7"/>
      <c r="J19" s="7"/>
      <c r="K19" s="7"/>
    </row>
    <row r="20" customFormat="false" ht="12.8" hidden="false" customHeight="false" outlineLevel="0" collapsed="false">
      <c r="B20" s="7"/>
      <c r="C20" s="7"/>
      <c r="D20" s="7"/>
      <c r="E20" s="7"/>
      <c r="F20" s="7"/>
      <c r="G20" s="7"/>
      <c r="H20" s="7"/>
      <c r="I20" s="7"/>
      <c r="J20" s="7"/>
      <c r="K20" s="7"/>
    </row>
    <row r="21" customFormat="false" ht="12.8" hidden="false" customHeight="false" outlineLevel="0" collapsed="false">
      <c r="B21" s="7"/>
      <c r="C21" s="7"/>
      <c r="D21" s="7"/>
      <c r="E21" s="7"/>
      <c r="F21" s="7"/>
      <c r="G21" s="7"/>
      <c r="H21" s="7"/>
      <c r="I21" s="7"/>
      <c r="J21" s="7"/>
      <c r="K21" s="7"/>
    </row>
    <row r="22" customFormat="false" ht="12.8" hidden="false" customHeight="false" outlineLevel="0" collapsed="false">
      <c r="B22" s="7"/>
      <c r="C22" s="7"/>
      <c r="D22" s="7"/>
      <c r="E22" s="7"/>
      <c r="F22" s="7"/>
      <c r="G22" s="7"/>
      <c r="H22" s="7"/>
      <c r="I22" s="7"/>
      <c r="J22" s="7"/>
      <c r="K22" s="7"/>
    </row>
    <row r="23" customFormat="false" ht="12.8" hidden="false" customHeight="false" outlineLevel="0" collapsed="false">
      <c r="B23" s="7"/>
      <c r="C23" s="7"/>
      <c r="D23" s="7"/>
      <c r="E23" s="7"/>
      <c r="F23" s="7"/>
      <c r="G23" s="7"/>
      <c r="H23" s="7"/>
      <c r="I23" s="7"/>
      <c r="J23" s="7"/>
      <c r="K23" s="7"/>
    </row>
    <row r="24" customFormat="false" ht="12.8" hidden="false" customHeight="false" outlineLevel="0" collapsed="false">
      <c r="B24" s="7"/>
      <c r="C24" s="7"/>
      <c r="D24" s="7"/>
      <c r="E24" s="7"/>
      <c r="F24" s="7"/>
      <c r="G24" s="7"/>
      <c r="H24" s="7"/>
      <c r="I24" s="7"/>
      <c r="J24" s="7"/>
      <c r="K24" s="7"/>
    </row>
    <row r="25" customFormat="false" ht="12.8" hidden="false" customHeight="false" outlineLevel="0" collapsed="false">
      <c r="B25" s="7"/>
      <c r="C25" s="7"/>
      <c r="D25" s="7"/>
      <c r="E25" s="7"/>
      <c r="F25" s="7"/>
      <c r="G25" s="7"/>
      <c r="H25" s="7"/>
      <c r="I25" s="7"/>
      <c r="J25" s="7"/>
      <c r="K25" s="7"/>
    </row>
    <row r="26" customFormat="false" ht="12.8" hidden="false" customHeight="false" outlineLevel="0" collapsed="false">
      <c r="B26" s="7"/>
      <c r="C26" s="7"/>
      <c r="D26" s="7"/>
      <c r="E26" s="7"/>
      <c r="F26" s="7"/>
      <c r="G26" s="7"/>
      <c r="H26" s="7"/>
      <c r="I26" s="7"/>
      <c r="J26" s="7"/>
      <c r="K26" s="7"/>
    </row>
    <row r="27" customFormat="false" ht="12.8" hidden="false" customHeight="false" outlineLevel="0" collapsed="false">
      <c r="B27" s="7"/>
      <c r="C27" s="7"/>
      <c r="D27" s="7"/>
      <c r="E27" s="7"/>
      <c r="F27" s="7"/>
      <c r="G27" s="7"/>
      <c r="H27" s="7"/>
      <c r="I27" s="7"/>
      <c r="J27" s="7"/>
      <c r="K2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601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ru-RU</dc:language>
  <cp:lastModifiedBy/>
  <dcterms:modified xsi:type="dcterms:W3CDTF">2020-12-06T20:50:10Z</dcterms:modified>
  <cp:revision>195</cp:revision>
  <dc:subject/>
  <dc:title/>
</cp:coreProperties>
</file>