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AnalysisVals" sheetId="2" state="visible" r:id="rId3"/>
    <sheet name="DC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<sst xmlns="http://schemas.openxmlformats.org/spreadsheetml/2006/main" count="77" uniqueCount="63">
  <si>
    <t xml:space="preserve">Год</t>
  </si>
  <si>
    <t xml:space="preserve">Выручка</t>
  </si>
  <si>
    <t xml:space="preserve">Себестоимость</t>
  </si>
  <si>
    <t xml:space="preserve">Валовая прибыль</t>
  </si>
  <si>
    <t xml:space="preserve">Операционная прибыль</t>
  </si>
  <si>
    <t xml:space="preserve">Прибыль до налогообложения</t>
  </si>
  <si>
    <t xml:space="preserve">Налог на прибыль</t>
  </si>
  <si>
    <t xml:space="preserve">Чистая прибыль</t>
  </si>
  <si>
    <t xml:space="preserve">Внеоборотные активы</t>
  </si>
  <si>
    <t xml:space="preserve">Оборотные активы</t>
  </si>
  <si>
    <t xml:space="preserve">Активы</t>
  </si>
  <si>
    <t xml:space="preserve">Капитал</t>
  </si>
  <si>
    <t xml:space="preserve">Долгосрочные обязательства</t>
  </si>
  <si>
    <t xml:space="preserve">Краткосрочные обязательства</t>
  </si>
  <si>
    <t xml:space="preserve">Обязательства</t>
  </si>
  <si>
    <t xml:space="preserve">Пассивы</t>
  </si>
  <si>
    <t xml:space="preserve">Налог на прибыль, %</t>
  </si>
  <si>
    <t xml:space="preserve">Амортизация</t>
  </si>
  <si>
    <t xml:space="preserve">Capex</t>
  </si>
  <si>
    <t xml:space="preserve">Оборотный капитал</t>
  </si>
  <si>
    <t xml:space="preserve">Изменение в оборотном капитале</t>
  </si>
  <si>
    <t xml:space="preserve">FCF</t>
  </si>
  <si>
    <t xml:space="preserve">Количество акций</t>
  </si>
  <si>
    <t xml:space="preserve">Цена акции</t>
  </si>
  <si>
    <t xml:space="preserve">Капитализация</t>
  </si>
  <si>
    <t xml:space="preserve">Долгосрочные кредиты</t>
  </si>
  <si>
    <t xml:space="preserve">Краткосрочные кредиты</t>
  </si>
  <si>
    <t xml:space="preserve">Долг</t>
  </si>
  <si>
    <t xml:space="preserve">Cash</t>
  </si>
  <si>
    <t xml:space="preserve">Чистый долг</t>
  </si>
  <si>
    <t xml:space="preserve">EV</t>
  </si>
  <si>
    <t xml:space="preserve">EBITDA</t>
  </si>
  <si>
    <t xml:space="preserve">EV/EBITDA</t>
  </si>
  <si>
    <t xml:space="preserve">EV/S</t>
  </si>
  <si>
    <t xml:space="preserve">P/E</t>
  </si>
  <si>
    <t xml:space="preserve">P/S</t>
  </si>
  <si>
    <t xml:space="preserve">Debt/EBITDA</t>
  </si>
  <si>
    <t xml:space="preserve">ROA</t>
  </si>
  <si>
    <t xml:space="preserve">Дивиденды на акцию</t>
  </si>
  <si>
    <t xml:space="preserve">Выручка: реклама</t>
  </si>
  <si>
    <t xml:space="preserve">Выручка: игры ММО</t>
  </si>
  <si>
    <t xml:space="preserve">Выручка: платежи в соцсетях</t>
  </si>
  <si>
    <t xml:space="preserve">Выручка: прочее</t>
  </si>
  <si>
    <t xml:space="preserve">Операционные расходы</t>
  </si>
  <si>
    <t xml:space="preserve">Доля собственного капитала</t>
  </si>
  <si>
    <t xml:space="preserve">Доля заёмного капитала</t>
  </si>
  <si>
    <t xml:space="preserve">Безрисковая ставка, ОФЗ на 10 лет (Rf)</t>
  </si>
  <si>
    <t xml:space="preserve">Средняя доходность фондового рынка (Rm)</t>
  </si>
  <si>
    <t xml:space="preserve">β</t>
  </si>
  <si>
    <t xml:space="preserve">Стоимость акционерного капитала (Re)</t>
  </si>
  <si>
    <t xml:space="preserve">Стоимость долгового капитала (Rd)</t>
  </si>
  <si>
    <t xml:space="preserve">WACC</t>
  </si>
  <si>
    <t xml:space="preserve">CAGR \ лет</t>
  </si>
  <si>
    <t xml:space="preserve">Амортизация/Выручка</t>
  </si>
  <si>
    <t xml:space="preserve">Capex/Выручка</t>
  </si>
  <si>
    <t xml:space="preserve">Оборотный капитал/Выручка</t>
  </si>
  <si>
    <t xml:space="preserve">TV</t>
  </si>
  <si>
    <t xml:space="preserve">Изменение оборотного капитала</t>
  </si>
  <si>
    <t xml:space="preserve">g</t>
  </si>
  <si>
    <t xml:space="preserve">Формула Гордона</t>
  </si>
  <si>
    <t xml:space="preserve">Справедливая цена акции</t>
  </si>
  <si>
    <t xml:space="preserve">По Гордону</t>
  </si>
  <si>
    <t xml:space="preserve">Цена акции, 11.09.20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</si>
</sst>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\ [$₽-419];[RED]\-#,##0\ [$₽-419]"/>
    <numFmt numFmtId="167" formatCode="0.00%"/>
    <numFmt numFmtId="168" formatCode="#,##0"/>
    <numFmt numFmtId="169" formatCode="#,##0.00"/>
    <numFmt numFmtId="170" formatCode="#,##0.00\ [$₽-419];[RED]\-#,##0.00\ [$₽-419]"/>
    <numFmt numFmtId="171" formatCode="#,##0\ [$₽-419];[RED]\-#,##0\ [$₽-419]"/>
    <numFmt numFmtId="172" formatCode="#,##0.00\ [$₽-419];[RED]\-#,##0.00\ [$₽-419]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B66C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31" activeCellId="0" sqref="B3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3.57"/>
    <col collapsed="false" customWidth="true" hidden="false" outlineLevel="0" max="8" min="2" style="2" width="19.71"/>
  </cols>
  <sheetData>
    <row r="1" s="5" customFormat="true" ht="12.8" hidden="false" customHeight="false" outlineLevel="0" collapsed="false">
      <c r="A1" s="3" t="s">
        <v>0</v>
      </c>
      <c r="B1" s="4" t="n">
        <v>2019</v>
      </c>
      <c r="C1" s="4" t="n">
        <v>2018</v>
      </c>
      <c r="D1" s="4" t="n">
        <v>2017</v>
      </c>
      <c r="E1" s="4" t="n">
        <v>2016</v>
      </c>
      <c r="F1" s="4" t="n">
        <v>2015</v>
      </c>
      <c r="G1" s="4" t="n">
        <v>2014</v>
      </c>
      <c r="H1" s="4"/>
    </row>
    <row r="2" s="7" customFormat="true" ht="12.8" hidden="false" customHeight="false" outlineLevel="0" collapsed="false">
      <c r="A2" s="1" t="s">
        <v>1</v>
      </c>
      <c r="B2" s="6" t="n">
        <f aca="false">SUM(B40:B43)</f>
        <v>96231000000</v>
      </c>
      <c r="C2" s="6" t="n">
        <f aca="false">SUM(C40:C43)</f>
        <v>66105000000</v>
      </c>
      <c r="D2" s="6" t="n">
        <f aca="false">SUM(D40:D43)</f>
        <v>51744000000</v>
      </c>
      <c r="E2" s="6" t="n">
        <f aca="false">SUM(E40:E43)</f>
        <v>40001000000</v>
      </c>
      <c r="F2" s="6" t="n">
        <f aca="false">SUM(F40:F43)</f>
        <v>37986000000</v>
      </c>
      <c r="G2" s="6" t="n">
        <f aca="false">SUM(G40:G43)</f>
        <v>32327000000</v>
      </c>
      <c r="H2" s="6"/>
    </row>
    <row r="3" s="7" customFormat="true" ht="12.8" hidden="false" customHeight="false" outlineLevel="0" collapsed="false">
      <c r="A3" s="1" t="s">
        <v>2</v>
      </c>
      <c r="B3" s="6"/>
      <c r="C3" s="6"/>
      <c r="D3" s="6"/>
      <c r="E3" s="6"/>
      <c r="F3" s="6"/>
      <c r="G3" s="6"/>
      <c r="H3" s="6"/>
    </row>
    <row r="4" s="10" customFormat="true" ht="12.8" hidden="false" customHeight="false" outlineLevel="0" collapsed="false">
      <c r="A4" s="8" t="s">
        <v>3</v>
      </c>
      <c r="B4" s="9" t="n">
        <f aca="false">B2-B3</f>
        <v>96231000000</v>
      </c>
      <c r="C4" s="9" t="n">
        <f aca="false">C2-C3</f>
        <v>66105000000</v>
      </c>
      <c r="D4" s="9" t="n">
        <f aca="false">D2-D3</f>
        <v>51744000000</v>
      </c>
      <c r="E4" s="9" t="n">
        <f aca="false">E2-E3</f>
        <v>40001000000</v>
      </c>
      <c r="F4" s="9" t="n">
        <f aca="false">F2-F3</f>
        <v>37986000000</v>
      </c>
      <c r="G4" s="9" t="n">
        <f aca="false">G2-G3</f>
        <v>32327000000</v>
      </c>
      <c r="H4" s="9"/>
    </row>
    <row r="5" s="7" customFormat="true" ht="12.8" hidden="false" customHeight="false" outlineLevel="0" collapsed="false">
      <c r="A5" s="1" t="s">
        <v>4</v>
      </c>
      <c r="B5" s="6" t="n">
        <f aca="false">B2-B44</f>
        <v>28195000000</v>
      </c>
      <c r="C5" s="6" t="n">
        <f aca="false">C2-C44</f>
        <v>3524000000</v>
      </c>
      <c r="D5" s="6" t="n">
        <f aca="false">D2-D44</f>
        <v>12435000000</v>
      </c>
      <c r="E5" s="6" t="n">
        <f aca="false">E2-E44</f>
        <v>14173000000</v>
      </c>
      <c r="F5" s="6" t="n">
        <f aca="false">F2-F44</f>
        <v>14541000000</v>
      </c>
      <c r="G5" s="6" t="n">
        <f aca="false">G2-G44</f>
        <v>16741000000</v>
      </c>
      <c r="H5" s="6"/>
    </row>
    <row r="6" s="7" customFormat="true" ht="12.8" hidden="false" customHeight="false" outlineLevel="0" collapsed="false">
      <c r="A6" s="1" t="s">
        <v>5</v>
      </c>
      <c r="B6" s="6" t="n">
        <v>22279000000</v>
      </c>
      <c r="C6" s="6" t="n">
        <v>-7517000000</v>
      </c>
      <c r="D6" s="6" t="n">
        <v>4956000000</v>
      </c>
      <c r="E6" s="6" t="n">
        <v>12669000000</v>
      </c>
      <c r="F6" s="6" t="n">
        <v>4723000000</v>
      </c>
      <c r="G6" s="6" t="n">
        <v>64716000000</v>
      </c>
      <c r="H6" s="6"/>
    </row>
    <row r="7" s="7" customFormat="true" ht="12.8" hidden="false" customHeight="false" outlineLevel="0" collapsed="false">
      <c r="A7" s="1" t="s">
        <v>6</v>
      </c>
      <c r="B7" s="6" t="n">
        <v>3428000000</v>
      </c>
      <c r="C7" s="6" t="n">
        <v>546000000</v>
      </c>
      <c r="D7" s="6" t="n">
        <v>2675000000</v>
      </c>
      <c r="E7" s="6" t="n">
        <v>838000000</v>
      </c>
      <c r="F7" s="6" t="n">
        <v>1736000000</v>
      </c>
      <c r="G7" s="6" t="n">
        <v>2322000000</v>
      </c>
      <c r="H7" s="6"/>
    </row>
    <row r="8" s="10" customFormat="true" ht="12.8" hidden="false" customHeight="false" outlineLevel="0" collapsed="false">
      <c r="A8" s="8" t="s">
        <v>7</v>
      </c>
      <c r="B8" s="9" t="n">
        <f aca="false">B6-B7</f>
        <v>18851000000</v>
      </c>
      <c r="C8" s="9" t="n">
        <f aca="false">C6-C7</f>
        <v>-8063000000</v>
      </c>
      <c r="D8" s="9" t="n">
        <f aca="false">D6-D7</f>
        <v>2281000000</v>
      </c>
      <c r="E8" s="9" t="n">
        <f aca="false">E6-E7</f>
        <v>11831000000</v>
      </c>
      <c r="F8" s="9" t="n">
        <f aca="false">F6-F7</f>
        <v>2987000000</v>
      </c>
      <c r="G8" s="9" t="n">
        <f aca="false">G6-G7</f>
        <v>62394000000</v>
      </c>
      <c r="H8" s="9"/>
    </row>
    <row r="9" s="7" customFormat="true" ht="12.8" hidden="false" customHeight="false" outlineLevel="0" collapsed="false">
      <c r="A9" s="1" t="s">
        <v>8</v>
      </c>
      <c r="B9" s="6" t="n">
        <v>227221000000</v>
      </c>
      <c r="C9" s="6" t="n">
        <v>179563000000</v>
      </c>
      <c r="D9" s="6" t="n">
        <v>167813000000</v>
      </c>
      <c r="E9" s="6" t="n">
        <v>171960000000</v>
      </c>
      <c r="F9" s="6" t="n">
        <v>166455000000</v>
      </c>
      <c r="G9" s="6" t="n">
        <v>170258000000</v>
      </c>
      <c r="H9" s="6"/>
    </row>
    <row r="10" s="7" customFormat="true" ht="12.8" hidden="false" customHeight="false" outlineLevel="0" collapsed="false">
      <c r="A10" s="1" t="s">
        <v>9</v>
      </c>
      <c r="B10" s="6" t="n">
        <v>27494000000</v>
      </c>
      <c r="C10" s="6" t="n">
        <v>25219000000</v>
      </c>
      <c r="D10" s="6" t="n">
        <v>23789000000</v>
      </c>
      <c r="E10" s="6" t="n">
        <v>13068000000</v>
      </c>
      <c r="F10" s="6" t="n">
        <v>15539000000</v>
      </c>
      <c r="G10" s="6" t="n">
        <v>10521000000</v>
      </c>
      <c r="H10" s="6"/>
    </row>
    <row r="11" s="10" customFormat="true" ht="12.8" hidden="false" customHeight="false" outlineLevel="0" collapsed="false">
      <c r="A11" s="8" t="s">
        <v>10</v>
      </c>
      <c r="B11" s="9" t="n">
        <f aca="false">B9+B10</f>
        <v>254715000000</v>
      </c>
      <c r="C11" s="9" t="n">
        <f aca="false">C9+C10</f>
        <v>204782000000</v>
      </c>
      <c r="D11" s="9" t="n">
        <f aca="false">D9+D10</f>
        <v>191602000000</v>
      </c>
      <c r="E11" s="9" t="n">
        <f aca="false">E9+E10</f>
        <v>185028000000</v>
      </c>
      <c r="F11" s="9" t="n">
        <f aca="false">F9+F10</f>
        <v>181994000000</v>
      </c>
      <c r="G11" s="9" t="n">
        <f aca="false">G9+G10</f>
        <v>180779000000</v>
      </c>
      <c r="H11" s="9"/>
    </row>
    <row r="12" s="7" customFormat="true" ht="12.8" hidden="false" customHeight="false" outlineLevel="0" collapsed="false">
      <c r="A12" s="1" t="s">
        <v>11</v>
      </c>
      <c r="B12" s="6" t="n">
        <v>185464000000</v>
      </c>
      <c r="C12" s="6" t="n">
        <v>164975000000</v>
      </c>
      <c r="D12" s="6" t="n">
        <v>166166000000</v>
      </c>
      <c r="E12" s="6" t="n">
        <v>163417000000</v>
      </c>
      <c r="F12" s="6" t="n">
        <v>148447000000</v>
      </c>
      <c r="G12" s="6" t="n">
        <v>142765000000</v>
      </c>
      <c r="H12" s="6"/>
    </row>
    <row r="13" s="7" customFormat="true" ht="12.8" hidden="false" customHeight="false" outlineLevel="0" collapsed="false">
      <c r="A13" s="1" t="s">
        <v>12</v>
      </c>
      <c r="B13" s="6" t="n">
        <v>24960000000</v>
      </c>
      <c r="C13" s="6" t="n">
        <v>14802000000</v>
      </c>
      <c r="D13" s="6" t="n">
        <v>9476000000</v>
      </c>
      <c r="E13" s="6" t="n">
        <v>6723000000</v>
      </c>
      <c r="F13" s="6" t="n">
        <v>16938000000</v>
      </c>
      <c r="G13" s="6" t="n">
        <v>22742000000</v>
      </c>
      <c r="H13" s="6"/>
    </row>
    <row r="14" s="7" customFormat="true" ht="12.8" hidden="false" customHeight="false" outlineLevel="0" collapsed="false">
      <c r="A14" s="1" t="s">
        <v>13</v>
      </c>
      <c r="B14" s="6" t="n">
        <v>44291000000</v>
      </c>
      <c r="C14" s="6" t="n">
        <v>25005000000</v>
      </c>
      <c r="D14" s="6" t="n">
        <v>15960000000</v>
      </c>
      <c r="E14" s="6" t="n">
        <v>14888000000</v>
      </c>
      <c r="F14" s="6" t="n">
        <v>16609000000</v>
      </c>
      <c r="G14" s="6" t="n">
        <v>15272000000</v>
      </c>
      <c r="H14" s="6"/>
    </row>
    <row r="15" s="10" customFormat="true" ht="12.8" hidden="false" customHeight="false" outlineLevel="0" collapsed="false">
      <c r="A15" s="8" t="s">
        <v>14</v>
      </c>
      <c r="B15" s="9" t="n">
        <f aca="false">B13+B14</f>
        <v>69251000000</v>
      </c>
      <c r="C15" s="9" t="n">
        <f aca="false">C13+C14</f>
        <v>39807000000</v>
      </c>
      <c r="D15" s="9" t="n">
        <f aca="false">D13+D14</f>
        <v>25436000000</v>
      </c>
      <c r="E15" s="9" t="n">
        <f aca="false">E13+E14</f>
        <v>21611000000</v>
      </c>
      <c r="F15" s="9" t="n">
        <f aca="false">F13+F14</f>
        <v>33547000000</v>
      </c>
      <c r="G15" s="9" t="n">
        <f aca="false">G13+G14</f>
        <v>38014000000</v>
      </c>
      <c r="H15" s="9"/>
    </row>
    <row r="16" s="10" customFormat="true" ht="12.8" hidden="false" customHeight="false" outlineLevel="0" collapsed="false">
      <c r="A16" s="8" t="s">
        <v>15</v>
      </c>
      <c r="B16" s="9" t="n">
        <f aca="false">B15+B12</f>
        <v>254715000000</v>
      </c>
      <c r="C16" s="9" t="n">
        <f aca="false">C15+C12</f>
        <v>204782000000</v>
      </c>
      <c r="D16" s="9" t="n">
        <f aca="false">D15+D12</f>
        <v>191602000000</v>
      </c>
      <c r="E16" s="9" t="n">
        <f aca="false">E15+E12</f>
        <v>185028000000</v>
      </c>
      <c r="F16" s="9" t="n">
        <f aca="false">F15+F12</f>
        <v>181994000000</v>
      </c>
      <c r="G16" s="9" t="n">
        <f aca="false">G15+G12</f>
        <v>180779000000</v>
      </c>
      <c r="H16" s="9"/>
    </row>
    <row r="17" s="10" customFormat="true" ht="12.8" hidden="false" customHeight="false" outlineLevel="0" collapsed="false">
      <c r="A17" s="8" t="s">
        <v>16</v>
      </c>
      <c r="B17" s="11" t="n">
        <f aca="false">B7/B6</f>
        <v>0.153866870146775</v>
      </c>
      <c r="C17" s="11" t="n">
        <f aca="false">C7/C6</f>
        <v>-0.0726353598510044</v>
      </c>
      <c r="D17" s="11" t="n">
        <f aca="false">D7/D6</f>
        <v>0.539749798224374</v>
      </c>
      <c r="E17" s="11" t="n">
        <f aca="false">E7/E6</f>
        <v>0.0661457100007893</v>
      </c>
      <c r="F17" s="11" t="n">
        <f aca="false">F7/F6</f>
        <v>0.367562989625238</v>
      </c>
      <c r="G17" s="11" t="n">
        <f aca="false">G7/G6</f>
        <v>0.0358798442425366</v>
      </c>
      <c r="H17" s="11"/>
    </row>
    <row r="18" s="7" customFormat="true" ht="12.8" hidden="false" customHeight="false" outlineLevel="0" collapsed="false">
      <c r="A18" s="1" t="s">
        <v>17</v>
      </c>
      <c r="B18" s="6" t="n">
        <v>12771000000</v>
      </c>
      <c r="C18" s="6" t="n">
        <v>9665000000</v>
      </c>
      <c r="D18" s="6" t="n">
        <v>8931000000</v>
      </c>
      <c r="E18" s="6" t="n">
        <v>7754000000</v>
      </c>
      <c r="F18" s="6" t="n">
        <v>7165000000</v>
      </c>
      <c r="G18" s="6" t="n">
        <v>3856000000</v>
      </c>
      <c r="H18" s="6"/>
    </row>
    <row r="19" s="7" customFormat="true" ht="12.8" hidden="false" customHeight="false" outlineLevel="0" collapsed="false">
      <c r="A19" s="1" t="s">
        <v>18</v>
      </c>
      <c r="B19" s="6" t="n">
        <f aca="false">(4668+3697)*1000000</f>
        <v>8365000000</v>
      </c>
      <c r="C19" s="6" t="n">
        <f aca="false">(4492+2156)*1000000</f>
        <v>6648000000</v>
      </c>
      <c r="D19" s="6" t="n">
        <f aca="false">2627000000+1755000000</f>
        <v>4382000000</v>
      </c>
      <c r="E19" s="6" t="n">
        <f aca="false">2064000000+1763000000</f>
        <v>3827000000</v>
      </c>
      <c r="F19" s="6" t="n">
        <f aca="false">1378000000+1294000000</f>
        <v>2672000000</v>
      </c>
      <c r="G19" s="6" t="n">
        <f aca="false">978000000+1672000000</f>
        <v>2650000000</v>
      </c>
      <c r="H19" s="6"/>
    </row>
    <row r="20" s="10" customFormat="true" ht="12.8" hidden="false" customHeight="false" outlineLevel="0" collapsed="false">
      <c r="A20" s="8" t="s">
        <v>19</v>
      </c>
      <c r="B20" s="9" t="n">
        <f aca="false">B10-B14</f>
        <v>-16797000000</v>
      </c>
      <c r="C20" s="9" t="n">
        <f aca="false">C10-C14</f>
        <v>214000000</v>
      </c>
      <c r="D20" s="9" t="n">
        <f aca="false">D10-D14</f>
        <v>7829000000</v>
      </c>
      <c r="E20" s="9" t="n">
        <f aca="false">E10-E14</f>
        <v>-1820000000</v>
      </c>
      <c r="F20" s="9" t="n">
        <f aca="false">F10-F14</f>
        <v>-1070000000</v>
      </c>
      <c r="G20" s="9" t="n">
        <f aca="false">G10-G14</f>
        <v>-4751000000</v>
      </c>
      <c r="H20" s="9"/>
    </row>
    <row r="21" s="10" customFormat="true" ht="12.8" hidden="false" customHeight="false" outlineLevel="0" collapsed="false">
      <c r="A21" s="8" t="s">
        <v>20</v>
      </c>
      <c r="B21" s="9" t="n">
        <f aca="false">B20-C20</f>
        <v>-17011000000</v>
      </c>
      <c r="C21" s="9" t="n">
        <f aca="false">C20-D20</f>
        <v>-7615000000</v>
      </c>
      <c r="D21" s="9" t="n">
        <f aca="false">D20-E20</f>
        <v>9649000000</v>
      </c>
      <c r="E21" s="9" t="n">
        <f aca="false">E20-F20</f>
        <v>-750000000</v>
      </c>
      <c r="F21" s="9" t="n">
        <f aca="false">F20-G20</f>
        <v>3681000000</v>
      </c>
      <c r="G21" s="9"/>
      <c r="H21" s="9"/>
    </row>
    <row r="22" s="10" customFormat="true" ht="12.8" hidden="false" customHeight="false" outlineLevel="0" collapsed="false">
      <c r="A22" s="8" t="s">
        <v>21</v>
      </c>
      <c r="B22" s="9" t="n">
        <f aca="false">B5*(1-B17)+B18-B19-B21</f>
        <v>45273723596.2117</v>
      </c>
      <c r="C22" s="9" t="n">
        <f aca="false">C5*(1-C17)+C18-C19-C21</f>
        <v>14411967008.1149</v>
      </c>
      <c r="D22" s="9" t="n">
        <f aca="false">D5*(1-D17)+D18-D19-D21</f>
        <v>623211259.07991</v>
      </c>
      <c r="E22" s="9" t="n">
        <f aca="false">E5*(1-E17)+E18-E19-E21</f>
        <v>17912516852.1588</v>
      </c>
      <c r="F22" s="9" t="n">
        <f aca="false">F5*(1-F17)+F18-F19-F21</f>
        <v>10008266567.8594</v>
      </c>
      <c r="G22" s="9"/>
      <c r="H22" s="9"/>
    </row>
    <row r="23" s="13" customFormat="true" ht="12.8" hidden="false" customHeight="false" outlineLevel="0" collapsed="false">
      <c r="A23" s="1" t="s">
        <v>22</v>
      </c>
      <c r="B23" s="12" t="n">
        <v>219161315</v>
      </c>
      <c r="C23" s="12" t="n">
        <v>216643081</v>
      </c>
      <c r="D23" s="12" t="n">
        <v>214928978</v>
      </c>
      <c r="E23" s="12" t="n">
        <v>211467139</v>
      </c>
      <c r="F23" s="12" t="n">
        <v>208602044</v>
      </c>
      <c r="G23" s="12" t="n">
        <v>210121855</v>
      </c>
      <c r="H23" s="12"/>
    </row>
    <row r="24" s="7" customFormat="true" ht="12.8" hidden="false" customHeight="false" outlineLevel="0" collapsed="false">
      <c r="A24" s="1" t="s">
        <v>23</v>
      </c>
      <c r="B24" s="6" t="n">
        <f aca="false">22.3*61.91</f>
        <v>1380.593</v>
      </c>
      <c r="C24" s="6" t="n">
        <f aca="false">23.46*69.47</f>
        <v>1629.7662</v>
      </c>
      <c r="D24" s="6" t="n">
        <f aca="false">28.9*57.6</f>
        <v>1664.64</v>
      </c>
      <c r="E24" s="6" t="n">
        <f aca="false">18.35*60.66</f>
        <v>1113.111</v>
      </c>
      <c r="F24" s="6" t="n">
        <f aca="false">22.55*72.88</f>
        <v>1643.444</v>
      </c>
      <c r="G24" s="6" t="n">
        <f aca="false">16.3*56.26</f>
        <v>917.038</v>
      </c>
      <c r="H24" s="6"/>
    </row>
    <row r="25" s="10" customFormat="true" ht="12.8" hidden="false" customHeight="false" outlineLevel="0" collapsed="false">
      <c r="A25" s="8" t="s">
        <v>24</v>
      </c>
      <c r="B25" s="9" t="n">
        <f aca="false">B23*B24</f>
        <v>302572577359.795</v>
      </c>
      <c r="C25" s="9" t="n">
        <f aca="false">C23*C24</f>
        <v>353077570877.662</v>
      </c>
      <c r="D25" s="9" t="n">
        <f aca="false">D23*D24</f>
        <v>357779373937.92</v>
      </c>
      <c r="E25" s="9" t="n">
        <f aca="false">E23*E24</f>
        <v>235386398559.429</v>
      </c>
      <c r="F25" s="9" t="n">
        <f aca="false">F23*F24</f>
        <v>342825777599.536</v>
      </c>
      <c r="G25" s="9" t="n">
        <f aca="false">G23*G24</f>
        <v>192689725665.49</v>
      </c>
      <c r="H25" s="9"/>
    </row>
    <row r="26" s="7" customFormat="true" ht="12.8" hidden="false" customHeight="false" outlineLevel="0" collapsed="false">
      <c r="A26" s="1" t="s">
        <v>25</v>
      </c>
      <c r="B26" s="6" t="n">
        <v>19474000000</v>
      </c>
      <c r="C26" s="6" t="n">
        <v>0</v>
      </c>
      <c r="D26" s="6" t="n">
        <v>0</v>
      </c>
      <c r="E26" s="6" t="n">
        <v>0</v>
      </c>
      <c r="F26" s="6" t="n">
        <v>10331000000</v>
      </c>
      <c r="G26" s="6" t="n">
        <v>16205000000</v>
      </c>
      <c r="H26" s="6"/>
    </row>
    <row r="27" s="7" customFormat="true" ht="12.8" hidden="false" customHeight="false" outlineLevel="0" collapsed="false">
      <c r="A27" s="1" t="s">
        <v>26</v>
      </c>
      <c r="B27" s="6" t="n">
        <v>4044000000</v>
      </c>
      <c r="C27" s="6" t="n">
        <v>0</v>
      </c>
      <c r="D27" s="6" t="n">
        <v>0</v>
      </c>
      <c r="E27" s="6" t="n">
        <v>122000000</v>
      </c>
      <c r="F27" s="6" t="n">
        <v>4875000000</v>
      </c>
      <c r="G27" s="6" t="n">
        <v>5857000000</v>
      </c>
      <c r="H27" s="6"/>
    </row>
    <row r="28" s="10" customFormat="true" ht="12.8" hidden="false" customHeight="false" outlineLevel="0" collapsed="false">
      <c r="A28" s="8" t="s">
        <v>27</v>
      </c>
      <c r="B28" s="9" t="n">
        <f aca="false">B26+B27</f>
        <v>23518000000</v>
      </c>
      <c r="C28" s="9" t="n">
        <f aca="false">C26+C27</f>
        <v>0</v>
      </c>
      <c r="D28" s="9" t="n">
        <f aca="false">D26+D27</f>
        <v>0</v>
      </c>
      <c r="E28" s="9" t="n">
        <f aca="false">E26+E27</f>
        <v>122000000</v>
      </c>
      <c r="F28" s="9" t="n">
        <f aca="false">F26+F27</f>
        <v>15206000000</v>
      </c>
      <c r="G28" s="9" t="n">
        <f aca="false">G26+G27</f>
        <v>22062000000</v>
      </c>
      <c r="H28" s="9"/>
    </row>
    <row r="29" s="7" customFormat="true" ht="12.8" hidden="false" customHeight="false" outlineLevel="0" collapsed="false">
      <c r="A29" s="1" t="s">
        <v>28</v>
      </c>
      <c r="B29" s="6" t="n">
        <v>9782000000</v>
      </c>
      <c r="C29" s="6" t="n">
        <v>11723000000</v>
      </c>
      <c r="D29" s="6" t="n">
        <v>15371000000</v>
      </c>
      <c r="E29" s="6" t="n">
        <v>5513000000</v>
      </c>
      <c r="F29" s="6" t="n">
        <v>8676000000</v>
      </c>
      <c r="G29" s="6" t="n">
        <v>4585000000</v>
      </c>
      <c r="H29" s="6"/>
    </row>
    <row r="30" s="10" customFormat="true" ht="12.8" hidden="false" customHeight="false" outlineLevel="0" collapsed="false">
      <c r="A30" s="8" t="s">
        <v>29</v>
      </c>
      <c r="B30" s="9" t="n">
        <f aca="false">B28-B29</f>
        <v>13736000000</v>
      </c>
      <c r="C30" s="9" t="n">
        <f aca="false">C28-C29</f>
        <v>-11723000000</v>
      </c>
      <c r="D30" s="9" t="n">
        <f aca="false">D28-D29</f>
        <v>-15371000000</v>
      </c>
      <c r="E30" s="9" t="n">
        <f aca="false">E28-E29</f>
        <v>-5391000000</v>
      </c>
      <c r="F30" s="9" t="n">
        <f aca="false">F28-F29</f>
        <v>6530000000</v>
      </c>
      <c r="G30" s="9" t="n">
        <f aca="false">G28-G29</f>
        <v>17477000000</v>
      </c>
      <c r="H30" s="9"/>
    </row>
    <row r="31" s="10" customFormat="true" ht="12.8" hidden="false" customHeight="false" outlineLevel="0" collapsed="false">
      <c r="A31" s="8" t="s">
        <v>30</v>
      </c>
      <c r="B31" s="9" t="n">
        <f aca="false">B25+B30</f>
        <v>316308577359.795</v>
      </c>
      <c r="C31" s="9" t="n">
        <f aca="false">C25+C30</f>
        <v>341354570877.662</v>
      </c>
      <c r="D31" s="9" t="n">
        <f aca="false">D25+D30</f>
        <v>342408373937.92</v>
      </c>
      <c r="E31" s="9" t="n">
        <f aca="false">E25+E30</f>
        <v>229995398559.429</v>
      </c>
      <c r="F31" s="9" t="n">
        <f aca="false">F25+F30</f>
        <v>349355777599.536</v>
      </c>
      <c r="G31" s="9" t="n">
        <f aca="false">G25+G30</f>
        <v>210166725665.49</v>
      </c>
      <c r="H31" s="9"/>
    </row>
    <row r="32" s="10" customFormat="true" ht="12.8" hidden="false" customHeight="false" outlineLevel="0" collapsed="false">
      <c r="A32" s="14" t="s">
        <v>31</v>
      </c>
      <c r="B32" s="6" t="n">
        <v>28056000000</v>
      </c>
      <c r="C32" s="6" t="n">
        <v>3550000000</v>
      </c>
      <c r="D32" s="6" t="n">
        <v>12973000000</v>
      </c>
      <c r="E32" s="6" t="n">
        <v>13374000000</v>
      </c>
      <c r="F32" s="6" t="n">
        <v>14154000000</v>
      </c>
      <c r="G32" s="6" t="n">
        <v>16736000000</v>
      </c>
      <c r="H32" s="9"/>
    </row>
    <row r="33" s="16" customFormat="true" ht="12.8" hidden="false" customHeight="false" outlineLevel="0" collapsed="false">
      <c r="A33" s="8" t="s">
        <v>32</v>
      </c>
      <c r="B33" s="15" t="n">
        <f aca="false">B31/B32</f>
        <v>11.2741865326417</v>
      </c>
      <c r="C33" s="15" t="n">
        <f aca="false">C31/C32</f>
        <v>96.1562171486372</v>
      </c>
      <c r="D33" s="15" t="n">
        <f aca="false">D31/D32</f>
        <v>26.39392383704</v>
      </c>
      <c r="E33" s="15" t="n">
        <f aca="false">E31/E32</f>
        <v>17.1972034215215</v>
      </c>
      <c r="F33" s="15" t="n">
        <f aca="false">F31/F32</f>
        <v>24.6824768686969</v>
      </c>
      <c r="G33" s="15" t="n">
        <f aca="false">G31/G32</f>
        <v>12.5577632448309</v>
      </c>
      <c r="H33" s="15"/>
    </row>
    <row r="34" s="16" customFormat="true" ht="12.8" hidden="false" customHeight="false" outlineLevel="0" collapsed="false">
      <c r="A34" s="8" t="s">
        <v>33</v>
      </c>
      <c r="B34" s="15" t="n">
        <f aca="false">B31/B2</f>
        <v>3.28697173841896</v>
      </c>
      <c r="C34" s="15" t="n">
        <f aca="false">C31/C2</f>
        <v>5.16382377849879</v>
      </c>
      <c r="D34" s="15" t="n">
        <f aca="false">D31/D2</f>
        <v>6.61735416546691</v>
      </c>
      <c r="E34" s="15" t="n">
        <f aca="false">E31/E2</f>
        <v>5.74974122045521</v>
      </c>
      <c r="F34" s="15" t="n">
        <f aca="false">F31/F2</f>
        <v>9.19696144894266</v>
      </c>
      <c r="G34" s="15" t="n">
        <f aca="false">G31/G2</f>
        <v>6.50127527037739</v>
      </c>
      <c r="H34" s="15"/>
    </row>
    <row r="35" s="16" customFormat="true" ht="12.8" hidden="false" customHeight="false" outlineLevel="0" collapsed="false">
      <c r="A35" s="8" t="s">
        <v>34</v>
      </c>
      <c r="B35" s="15" t="n">
        <f aca="false">B25/B8</f>
        <v>16.0507441175426</v>
      </c>
      <c r="C35" s="15" t="n">
        <f aca="false">C25/C8</f>
        <v>-43.7898512808709</v>
      </c>
      <c r="D35" s="15" t="n">
        <f aca="false">D25/D8</f>
        <v>156.851983313424</v>
      </c>
      <c r="E35" s="15" t="n">
        <f aca="false">E25/E8</f>
        <v>19.8957314309381</v>
      </c>
      <c r="F35" s="15" t="n">
        <f aca="false">F25/F8</f>
        <v>114.772607164224</v>
      </c>
      <c r="G35" s="15" t="n">
        <f aca="false">G25/G8</f>
        <v>3.08827332220229</v>
      </c>
      <c r="H35" s="15"/>
    </row>
    <row r="36" s="16" customFormat="true" ht="12.8" hidden="false" customHeight="false" outlineLevel="0" collapsed="false">
      <c r="A36" s="8" t="s">
        <v>35</v>
      </c>
      <c r="B36" s="15" t="n">
        <f aca="false">B25/B2</f>
        <v>3.14423187288706</v>
      </c>
      <c r="C36" s="15" t="n">
        <f aca="false">C25/C2</f>
        <v>5.34116286026265</v>
      </c>
      <c r="D36" s="15" t="n">
        <f aca="false">D25/D2</f>
        <v>6.91441276163265</v>
      </c>
      <c r="E36" s="15" t="n">
        <f aca="false">E25/E2</f>
        <v>5.88451285116445</v>
      </c>
      <c r="F36" s="15" t="n">
        <f aca="false">F25/F2</f>
        <v>9.02505601009677</v>
      </c>
      <c r="G36" s="15" t="n">
        <f aca="false">G25/G2</f>
        <v>5.96064360025644</v>
      </c>
      <c r="H36" s="15"/>
    </row>
    <row r="37" s="18" customFormat="true" ht="12.8" hidden="false" customHeight="false" outlineLevel="0" collapsed="false">
      <c r="A37" s="8" t="s">
        <v>36</v>
      </c>
      <c r="B37" s="15" t="n">
        <f aca="false">B28/B32</f>
        <v>0.838252067293984</v>
      </c>
      <c r="C37" s="15" t="n">
        <f aca="false">C28/C32</f>
        <v>0</v>
      </c>
      <c r="D37" s="15" t="n">
        <f aca="false">D28/D32</f>
        <v>0</v>
      </c>
      <c r="E37" s="15" t="n">
        <f aca="false">E28/E32</f>
        <v>0.00912217735905488</v>
      </c>
      <c r="F37" s="15" t="n">
        <f aca="false">F28/F32</f>
        <v>1.07432527907305</v>
      </c>
      <c r="G37" s="15" t="n">
        <f aca="false">G28/G32</f>
        <v>1.3182361376673</v>
      </c>
      <c r="H37" s="17"/>
    </row>
    <row r="38" s="18" customFormat="true" ht="12.8" hidden="false" customHeight="false" outlineLevel="0" collapsed="false">
      <c r="A38" s="8" t="s">
        <v>37</v>
      </c>
      <c r="B38" s="11" t="n">
        <f aca="false">B8/AVERAGE(B11:C11)</f>
        <v>0.0820505901017852</v>
      </c>
      <c r="C38" s="11" t="n">
        <f aca="false">C8/AVERAGE(C11:D11)</f>
        <v>-0.0406827722612416</v>
      </c>
      <c r="D38" s="11" t="n">
        <f aca="false">D8/AVERAGE(D11:E11)</f>
        <v>0.0121126835355654</v>
      </c>
      <c r="E38" s="11" t="n">
        <f aca="false">E8/AVERAGE(E11:F11)</f>
        <v>0.0644702497397976</v>
      </c>
      <c r="F38" s="11" t="n">
        <f aca="false">F8/AVERAGE(F11:G11)</f>
        <v>0.0164675981950145</v>
      </c>
      <c r="G38" s="11" t="n">
        <f aca="false">G8/AVERAGE(G11:H11)</f>
        <v>0.345139645644682</v>
      </c>
      <c r="H38" s="17"/>
    </row>
    <row r="39" s="19" customFormat="true" ht="12.8" hidden="false" customHeight="false" outlineLevel="0" collapsed="false">
      <c r="A39" s="1" t="s">
        <v>38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/>
      <c r="I39" s="7"/>
      <c r="J39" s="7"/>
    </row>
    <row r="40" s="19" customFormat="true" ht="12.8" hidden="false" customHeight="false" outlineLevel="0" collapsed="false">
      <c r="A40" s="1" t="s">
        <v>39</v>
      </c>
      <c r="B40" s="6" t="n">
        <v>36571000000</v>
      </c>
      <c r="C40" s="6" t="n">
        <v>31970000000</v>
      </c>
      <c r="D40" s="6" t="n">
        <v>23769000000</v>
      </c>
      <c r="E40" s="6" t="n">
        <v>18492000000</v>
      </c>
      <c r="F40" s="6" t="n">
        <v>14825000000</v>
      </c>
      <c r="G40" s="6" t="n">
        <v>10816000000</v>
      </c>
      <c r="H40" s="6"/>
      <c r="I40" s="7"/>
      <c r="J40" s="7"/>
    </row>
    <row r="41" s="19" customFormat="true" ht="12.8" hidden="false" customHeight="false" outlineLevel="0" collapsed="false">
      <c r="A41" s="1" t="s">
        <v>40</v>
      </c>
      <c r="B41" s="6" t="n">
        <v>36417000000</v>
      </c>
      <c r="C41" s="6" t="n">
        <v>15728000000</v>
      </c>
      <c r="D41" s="6" t="n">
        <v>12072000000</v>
      </c>
      <c r="E41" s="6" t="n">
        <v>8745000000</v>
      </c>
      <c r="F41" s="6" t="n">
        <v>7673000000</v>
      </c>
      <c r="G41" s="6" t="n">
        <v>7628000000</v>
      </c>
      <c r="H41" s="6"/>
      <c r="I41" s="7"/>
      <c r="J41" s="7"/>
    </row>
    <row r="42" s="19" customFormat="true" ht="12.8" hidden="false" customHeight="false" outlineLevel="0" collapsed="false">
      <c r="A42" s="1" t="s">
        <v>41</v>
      </c>
      <c r="B42" s="6" t="n">
        <v>15763000000</v>
      </c>
      <c r="C42" s="6" t="n">
        <v>13890000000</v>
      </c>
      <c r="D42" s="6" t="n">
        <v>13662000000</v>
      </c>
      <c r="E42" s="6" t="n">
        <v>11647000000</v>
      </c>
      <c r="F42" s="6" t="n">
        <v>12246000000</v>
      </c>
      <c r="G42" s="6" t="n">
        <v>10680000000</v>
      </c>
      <c r="H42" s="6"/>
      <c r="I42" s="7"/>
      <c r="J42" s="7"/>
    </row>
    <row r="43" s="19" customFormat="true" ht="12.8" hidden="false" customHeight="false" outlineLevel="0" collapsed="false">
      <c r="A43" s="1" t="s">
        <v>42</v>
      </c>
      <c r="B43" s="6" t="n">
        <v>7480000000</v>
      </c>
      <c r="C43" s="6" t="n">
        <v>4517000000</v>
      </c>
      <c r="D43" s="6" t="n">
        <v>2241000000</v>
      </c>
      <c r="E43" s="6" t="n">
        <v>1117000000</v>
      </c>
      <c r="F43" s="6" t="n">
        <v>3242000000</v>
      </c>
      <c r="G43" s="6" t="n">
        <v>3203000000</v>
      </c>
      <c r="H43" s="6"/>
      <c r="I43" s="7"/>
      <c r="J43" s="7"/>
    </row>
    <row r="44" s="22" customFormat="true" ht="12.8" hidden="false" customHeight="false" outlineLevel="0" collapsed="false">
      <c r="A44" s="20" t="s">
        <v>43</v>
      </c>
      <c r="B44" s="21" t="n">
        <v>68036000000</v>
      </c>
      <c r="C44" s="21" t="n">
        <v>62581000000</v>
      </c>
      <c r="D44" s="21" t="n">
        <v>39309000000</v>
      </c>
      <c r="E44" s="21" t="n">
        <v>25828000000</v>
      </c>
      <c r="F44" s="21" t="n">
        <v>23445000000</v>
      </c>
      <c r="G44" s="21" t="n">
        <v>15586000000</v>
      </c>
      <c r="H44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23" width="39.2"/>
  </cols>
  <sheetData>
    <row r="1" customFormat="false" ht="12.8" hidden="false" customHeight="false" outlineLevel="0" collapsed="false">
      <c r="A1" s="24" t="s">
        <v>44</v>
      </c>
      <c r="B1" s="25" t="n">
        <f aca="false">Data!$B$12/Data!$B$11</f>
        <v>0.728123589109397</v>
      </c>
    </row>
    <row r="2" s="25" customFormat="true" ht="12.8" hidden="false" customHeight="false" outlineLevel="0" collapsed="false">
      <c r="A2" s="24" t="s">
        <v>45</v>
      </c>
      <c r="B2" s="25" t="n">
        <f aca="false">1-B1</f>
        <v>0.271876410890603</v>
      </c>
    </row>
    <row r="3" s="25" customFormat="true" ht="12.8" hidden="false" customHeight="false" outlineLevel="0" collapsed="false">
      <c r="A3" s="23" t="s">
        <v>6</v>
      </c>
      <c r="B3" s="25" t="n">
        <f aca="false">Data!$B$17</f>
        <v>0.153866870146775</v>
      </c>
    </row>
    <row r="4" customFormat="false" ht="12.8" hidden="false" customHeight="false" outlineLevel="0" collapsed="false">
      <c r="A4" s="23" t="s">
        <v>46</v>
      </c>
      <c r="B4" s="25" t="n">
        <v>0.056</v>
      </c>
    </row>
    <row r="5" customFormat="false" ht="12.8" hidden="false" customHeight="false" outlineLevel="0" collapsed="false">
      <c r="A5" s="23" t="s">
        <v>47</v>
      </c>
      <c r="B5" s="25" t="n">
        <v>0.198</v>
      </c>
    </row>
    <row r="6" customFormat="false" ht="12.8" hidden="false" customHeight="false" outlineLevel="0" collapsed="false">
      <c r="A6" s="26" t="s">
        <v>48</v>
      </c>
      <c r="B6" s="0" t="n">
        <v>0.9</v>
      </c>
    </row>
    <row r="7" customFormat="false" ht="12.8" hidden="false" customHeight="false" outlineLevel="0" collapsed="false">
      <c r="A7" s="23" t="s">
        <v>49</v>
      </c>
      <c r="B7" s="25" t="n">
        <f aca="false">B4+B6*(B5-B4)</f>
        <v>0.1838</v>
      </c>
    </row>
    <row r="8" customFormat="false" ht="12.8" hidden="false" customHeight="false" outlineLevel="0" collapsed="false">
      <c r="A8" s="23" t="s">
        <v>50</v>
      </c>
      <c r="B8" s="25" t="n">
        <v>0.0898</v>
      </c>
    </row>
    <row r="9" customFormat="false" ht="12.8" hidden="false" customHeight="false" outlineLevel="0" collapsed="false">
      <c r="A9" s="23" t="s">
        <v>51</v>
      </c>
      <c r="B9" s="25" t="n">
        <f aca="false">B1*B7+B2*B8*(1-B3)</f>
        <v>0.154487034413823</v>
      </c>
    </row>
    <row r="11" customFormat="false" ht="12.8" hidden="false" customHeight="false" outlineLevel="0" collapsed="false">
      <c r="A11" s="27" t="s">
        <v>52</v>
      </c>
      <c r="B11" s="28" t="n">
        <v>6</v>
      </c>
      <c r="C11" s="28" t="n">
        <f aca="false">B11-1</f>
        <v>5</v>
      </c>
      <c r="D11" s="28" t="n">
        <f aca="false">C11-1</f>
        <v>4</v>
      </c>
    </row>
    <row r="12" customFormat="false" ht="12.8" hidden="false" customHeight="false" outlineLevel="0" collapsed="false">
      <c r="A12" s="29" t="s">
        <v>1</v>
      </c>
      <c r="B12" s="25"/>
      <c r="C12" s="25" t="n">
        <f aca="false">(Data!$B$2/Data!$G$2)^(1/$C$11) - 1</f>
        <v>0.243798186114405</v>
      </c>
      <c r="D12" s="25" t="n">
        <f aca="false">(Data!$B$2/Data!$F$2)^(1/$D$11) - 1</f>
        <v>0.26160342323867</v>
      </c>
    </row>
    <row r="13" customFormat="false" ht="12.8" hidden="false" customHeight="false" outlineLevel="0" collapsed="false">
      <c r="A13" s="29" t="s">
        <v>3</v>
      </c>
      <c r="B13" s="25"/>
      <c r="C13" s="25" t="n">
        <f aca="false">(Data!$B$4/Data!$G$4)^(1/$C$11) - 1</f>
        <v>0.243798186114405</v>
      </c>
      <c r="D13" s="25" t="n">
        <f aca="false">(Data!$B$4/Data!$F$4)^(1/$D$11) - 1</f>
        <v>0.26160342323867</v>
      </c>
    </row>
    <row r="14" customFormat="false" ht="12.8" hidden="false" customHeight="false" outlineLevel="0" collapsed="false">
      <c r="A14" s="29" t="s">
        <v>31</v>
      </c>
      <c r="B14" s="25"/>
      <c r="C14" s="25" t="n">
        <f aca="false">(Data!$B$32/Data!$G$32)^(1/$C$11) - 1</f>
        <v>0.108855148135459</v>
      </c>
      <c r="D14" s="25" t="n">
        <f aca="false">(Data!$B$32/Data!$F$32)^(1/$D$11) - 1</f>
        <v>0.186551630368497</v>
      </c>
    </row>
    <row r="15" customFormat="false" ht="12.8" hidden="false" customHeight="false" outlineLevel="0" collapsed="false">
      <c r="A15" s="29" t="s">
        <v>53</v>
      </c>
      <c r="B15" s="25"/>
      <c r="C15" s="25" t="n">
        <f aca="false">((Data!$B$18/Data!$B$2)/(Data!$G$18/Data!$G$2))^(1/$C$11) - 1</f>
        <v>0.021568885267794</v>
      </c>
      <c r="D15" s="25" t="n">
        <f aca="false">((Data!$B$18/Data!$B$2)/(Data!$F$18/Data!$F$2))^(1/$D$11) - 1</f>
        <v>-0.0841395210949065</v>
      </c>
    </row>
    <row r="16" customFormat="false" ht="12.8" hidden="false" customHeight="false" outlineLevel="0" collapsed="false">
      <c r="A16" s="29" t="s">
        <v>54</v>
      </c>
      <c r="B16" s="25"/>
      <c r="C16" s="25" t="n">
        <f aca="false">((Data!$B$19/Data!$B$2)/(Data!$G$19/Data!$G$2))^(1/$C$11) - 1</f>
        <v>0.0117986489116764</v>
      </c>
      <c r="D16" s="25" t="n">
        <f aca="false">((Data!$B$19/Data!$B$2)/(Data!$F$19/Data!$F$2))^(1/$D$11) - 1</f>
        <v>0.0543493002383777</v>
      </c>
    </row>
    <row r="17" customFormat="false" ht="12.8" hidden="false" customHeight="false" outlineLevel="0" collapsed="false">
      <c r="A17" s="29" t="s">
        <v>55</v>
      </c>
      <c r="B17" s="25"/>
      <c r="C17" s="30" t="n">
        <f aca="false">((Data!$B$20/Data!$B$2)/(Data!$G$20/Data!$G$2))^(1/$C$11) - 1</f>
        <v>0.0349977823119607</v>
      </c>
      <c r="D17" s="25" t="n">
        <f aca="false">((Data!$B$20/Data!$B$2)/(Data!$F$20/Data!$F$2))^(1/$D$11) - 1</f>
        <v>0.577753409654839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8" min="2" style="0" width="17.86"/>
    <col collapsed="false" customWidth="true" hidden="false" outlineLevel="0" max="11" min="9" style="0" width="21.22"/>
  </cols>
  <sheetData>
    <row r="1" customFormat="false" ht="12.8" hidden="false" customHeight="false" outlineLevel="0" collapsed="false">
      <c r="A1" s="0" t="s">
        <v>0</v>
      </c>
      <c r="B1" s="0" t="n">
        <f aca="false">Data!$B$1</f>
        <v>2019</v>
      </c>
      <c r="C1" s="0" t="n">
        <f aca="false">B1+1</f>
        <v>2020</v>
      </c>
      <c r="D1" s="0" t="n">
        <f aca="false">C1+1</f>
        <v>2021</v>
      </c>
      <c r="E1" s="0" t="n">
        <f aca="false">D1+1</f>
        <v>2022</v>
      </c>
      <c r="F1" s="0" t="n">
        <f aca="false">E1+1</f>
        <v>2023</v>
      </c>
      <c r="G1" s="0" t="n">
        <f aca="false">F1+1</f>
        <v>2024</v>
      </c>
      <c r="H1" s="0" t="s">
        <v>56</v>
      </c>
    </row>
    <row r="2" customFormat="false" ht="12.8" hidden="false" customHeight="false" outlineLevel="0" collapsed="false">
      <c r="A2" s="0" t="s">
        <v>1</v>
      </c>
      <c r="B2" s="7" t="n">
        <f aca="false">Data!$B$2</f>
        <v>96231000000</v>
      </c>
      <c r="C2" s="7" t="n">
        <f aca="false">B2*(1+MIN(AnalysisVals!$B$12:$D$12))</f>
        <v>119691943247.975</v>
      </c>
      <c r="D2" s="7" t="n">
        <f aca="false">C2*(1+MIN(AnalysisVals!$B$12:$D$12))</f>
        <v>148872621904.34</v>
      </c>
      <c r="E2" s="7" t="n">
        <f aca="false">D2*(1+MIN(AnalysisVals!$B$12:$D$12))</f>
        <v>185167497086.714</v>
      </c>
      <c r="F2" s="7" t="n">
        <f aca="false">E2*(1+MIN(AnalysisVals!$B$12:$D$12))</f>
        <v>230310997003.799</v>
      </c>
      <c r="G2" s="7" t="n">
        <f aca="false">F2*(1+MIN(AnalysisVals!$B$12:$D$12))</f>
        <v>286460400315.526</v>
      </c>
      <c r="H2" s="7" t="n">
        <f aca="false">G2*(1+MIN(AnalysisVals!$B$12:$D$12))</f>
        <v>356298926306.057</v>
      </c>
    </row>
    <row r="3" customFormat="false" ht="12.8" hidden="false" customHeight="false" outlineLevel="0" collapsed="false">
      <c r="A3" s="0" t="s">
        <v>3</v>
      </c>
      <c r="B3" s="7" t="n">
        <f aca="false">Data!$B$4</f>
        <v>96231000000</v>
      </c>
      <c r="C3" s="7" t="n">
        <f aca="false">B3*(1+MIN(AnalysisVals!$B$13:$D$13))</f>
        <v>119691943247.975</v>
      </c>
      <c r="D3" s="7" t="n">
        <f aca="false">C3*(1+MIN(AnalysisVals!$B$13:$D$13))</f>
        <v>148872621904.34</v>
      </c>
      <c r="E3" s="7" t="n">
        <f aca="false">D3*(1+MIN(AnalysisVals!$B$13:$D$13))</f>
        <v>185167497086.714</v>
      </c>
      <c r="F3" s="7" t="n">
        <f aca="false">E3*(1+MIN(AnalysisVals!$B$13:$D$13))</f>
        <v>230310997003.799</v>
      </c>
      <c r="G3" s="7" t="n">
        <f aca="false">F3*(1+MIN(AnalysisVals!$B$13:$D$13))</f>
        <v>286460400315.526</v>
      </c>
      <c r="H3" s="7" t="n">
        <f aca="false">G3*(1+MIN(AnalysisVals!$B$13:$D$13))</f>
        <v>356298926306.057</v>
      </c>
    </row>
    <row r="4" customFormat="false" ht="12.8" hidden="false" customHeight="false" outlineLevel="0" collapsed="false">
      <c r="A4" s="0" t="s">
        <v>31</v>
      </c>
      <c r="B4" s="7" t="n">
        <f aca="false">Data!$B$32</f>
        <v>28056000000</v>
      </c>
      <c r="C4" s="7" t="n">
        <f aca="false">B4*(1+MIN(AnalysisVals!$B$14:$D$14))</f>
        <v>31110040036.0884</v>
      </c>
      <c r="D4" s="7" t="n">
        <f aca="false">C4*(1+MIN(AnalysisVals!$B$14:$D$14))</f>
        <v>34496528052.7169</v>
      </c>
      <c r="E4" s="7" t="n">
        <f aca="false">D4*(1+MIN(AnalysisVals!$B$14:$D$14))</f>
        <v>38251652724.0544</v>
      </c>
      <c r="F4" s="7" t="n">
        <f aca="false">E4*(1+MIN(AnalysisVals!$B$14:$D$14))</f>
        <v>42415542047.7575</v>
      </c>
      <c r="G4" s="7" t="n">
        <f aca="false">F4*(1+MIN(AnalysisVals!$B$14:$D$14))</f>
        <v>47032692160.6119</v>
      </c>
      <c r="H4" s="7" t="n">
        <f aca="false">G4*(1+MIN(AnalysisVals!$B$14:$D$14))</f>
        <v>52152442832.9647</v>
      </c>
    </row>
    <row r="5" customFormat="false" ht="12.8" hidden="false" customHeight="false" outlineLevel="0" collapsed="false">
      <c r="A5" s="0" t="s">
        <v>17</v>
      </c>
      <c r="B5" s="7" t="n">
        <f aca="false">Data!$B$18</f>
        <v>12771000000</v>
      </c>
      <c r="C5" s="7" t="n">
        <f aca="false">C2*(B$5/B$2)*(1+MAX(AnalysisVals!$B$15:$D$15))</f>
        <v>16227158598.7654</v>
      </c>
      <c r="D5" s="7" t="n">
        <f aca="false">D2*(C$5/C$2)*(1+MAX(AnalysisVals!$B$15:$D$15))</f>
        <v>20618641937.9443</v>
      </c>
      <c r="E5" s="7" t="n">
        <f aca="false">E2*(D$5/D$2)*(1+MAX(AnalysisVals!$B$15:$D$15))</f>
        <v>26198572767.8474</v>
      </c>
      <c r="F5" s="7" t="n">
        <f aca="false">F2*(E$5/E$2)*(1+MAX(AnalysisVals!$B$15:$D$15))</f>
        <v>33288575316.354</v>
      </c>
      <c r="G5" s="7" t="n">
        <f aca="false">G2*(F$5/F$2)*(1+MAX(AnalysisVals!$B$15:$D$15))</f>
        <v>42297313537.3444</v>
      </c>
      <c r="H5" s="7" t="n">
        <f aca="false">H2*(G$5/G$2)*(1+MAX(AnalysisVals!$B$15:$D$15))</f>
        <v>53744046282.3738</v>
      </c>
    </row>
    <row r="6" customFormat="false" ht="12.8" hidden="false" customHeight="false" outlineLevel="0" collapsed="false">
      <c r="A6" s="0" t="s">
        <v>18</v>
      </c>
      <c r="B6" s="7" t="n">
        <f aca="false">Data!$B$19</f>
        <v>8365000000</v>
      </c>
      <c r="C6" s="7" t="n">
        <f aca="false">C$2*(B$6/B$2)*(1+MIN(AnalysisVals!$B$16:$D$16))</f>
        <v>10527129357.1785</v>
      </c>
      <c r="D6" s="7" t="n">
        <f aca="false">D$2*(C$6/C$2)*(1+MIN(AnalysisVals!$B$16:$D$16))</f>
        <v>13248111476.7208</v>
      </c>
      <c r="E6" s="7" t="n">
        <f aca="false">E$2*(D$6/D$2)*(1+MIN(AnalysisVals!$B$16:$D$16))</f>
        <v>16672394889.8698</v>
      </c>
      <c r="F6" s="7" t="n">
        <f aca="false">F$2*(E$6/E$2)*(1+MIN(AnalysisVals!$B$16:$D$16))</f>
        <v>20981764219.9189</v>
      </c>
      <c r="G6" s="7" t="n">
        <f aca="false">G$2*(F$6/F$2)*(1+MIN(AnalysisVals!$B$16:$D$16))</f>
        <v>26404990566.0377</v>
      </c>
      <c r="H6" s="7" t="n">
        <f aca="false">H$2*(G$6/G$2)*(1+MIN(AnalysisVals!$B$16:$D$16))</f>
        <v>33229976253.8861</v>
      </c>
    </row>
    <row r="7" customFormat="false" ht="12.8" hidden="false" customHeight="false" outlineLevel="0" collapsed="false">
      <c r="A7" s="0" t="s">
        <v>19</v>
      </c>
      <c r="B7" s="7" t="n">
        <f aca="false">Data!$B$20</f>
        <v>-16797000000</v>
      </c>
      <c r="C7" s="7" t="n">
        <f aca="false">C$2*(B$7/B$2)*(1+ MIN(AnalysisVals!$B$17:$D$17))</f>
        <v>-21623254534.6775</v>
      </c>
      <c r="D7" s="7" t="n">
        <f aca="false">D$2*(C$7/C$2)*(1+ MIN(AnalysisVals!$B$17:$D$17))</f>
        <v>-27836228890.3647</v>
      </c>
      <c r="E7" s="7" t="n">
        <f aca="false">E$2*(D$7/D$2)*(1+ MIN(AnalysisVals!$B$17:$D$17))</f>
        <v>-35834367004.9355</v>
      </c>
      <c r="F7" s="7" t="n">
        <f aca="false">F$2*(E$7/E$2)*(1+ MIN(AnalysisVals!$B$17:$D$17))</f>
        <v>-46130597061.1879</v>
      </c>
      <c r="G7" s="7" t="n">
        <f aca="false">G$2*(F$7/F$2)*(1+ MIN(AnalysisVals!$B$17:$D$17))</f>
        <v>-59385226057.6721</v>
      </c>
      <c r="H7" s="7" t="n">
        <f aca="false">H$2*(G$7/G$2)*(1+ MIN(AnalysisVals!$B$17:$D$17))</f>
        <v>-76448285922.7487</v>
      </c>
    </row>
    <row r="8" customFormat="false" ht="12.8" hidden="false" customHeight="false" outlineLevel="0" collapsed="false">
      <c r="A8" s="0" t="s">
        <v>57</v>
      </c>
      <c r="B8" s="7" t="n">
        <f aca="false">Data!$B$20-Data!$C$20</f>
        <v>-17011000000</v>
      </c>
      <c r="C8" s="7" t="n">
        <f aca="false">C7-B7</f>
        <v>-4826254534.67754</v>
      </c>
      <c r="D8" s="7" t="n">
        <f aca="false">D7-C7</f>
        <v>-6212974355.68712</v>
      </c>
      <c r="E8" s="7" t="n">
        <f aca="false">E7-D7</f>
        <v>-7998138114.57087</v>
      </c>
      <c r="F8" s="7" t="n">
        <f aca="false">F7-E7</f>
        <v>-10296230056.2524</v>
      </c>
      <c r="G8" s="7" t="n">
        <f aca="false">G7-F7</f>
        <v>-13254628996.4842</v>
      </c>
      <c r="H8" s="7" t="n">
        <f aca="false">H7-G7</f>
        <v>-17063059865.0766</v>
      </c>
    </row>
    <row r="9" customFormat="false" ht="12.8" hidden="false" customHeight="false" outlineLevel="0" collapsed="false">
      <c r="A9" s="0" t="s">
        <v>4</v>
      </c>
      <c r="B9" s="7" t="n">
        <f aca="false">Data!$B$5</f>
        <v>28195000000</v>
      </c>
      <c r="C9" s="7" t="n">
        <f aca="false">C4-C5</f>
        <v>14882881437.323</v>
      </c>
      <c r="D9" s="7" t="n">
        <f aca="false">D4-D5</f>
        <v>13877886114.7725</v>
      </c>
      <c r="E9" s="7" t="n">
        <f aca="false">E4-E5</f>
        <v>12053079956.207</v>
      </c>
      <c r="F9" s="7" t="n">
        <f aca="false">F4-F5</f>
        <v>9126966731.40342</v>
      </c>
      <c r="G9" s="7" t="n">
        <f aca="false">G4-G5</f>
        <v>4735378623.26746</v>
      </c>
      <c r="H9" s="7" t="n">
        <f aca="false">H4-H5</f>
        <v>-1591603449.40914</v>
      </c>
    </row>
    <row r="10" customFormat="false" ht="12.8" hidden="false" customHeight="false" outlineLevel="0" collapsed="false">
      <c r="A10" s="0" t="s">
        <v>21</v>
      </c>
      <c r="B10" s="7" t="n">
        <f aca="false">B9*(1-AnalysisVals!$B$3)+B5-B8-B6</f>
        <v>45273723596.2117</v>
      </c>
      <c r="C10" s="7" t="n">
        <f aca="false">(C9*(1-AnalysisVals!$B$3)+C5-C8-C6)/( (1+AnalysisVals!$B$9)^COUNT($C1:C1) )</f>
        <v>20025502356.3773</v>
      </c>
      <c r="D10" s="7" t="n">
        <f aca="false">(D9*(1-AnalysisVals!$B$3)+D5-D8-D6)/( (1+AnalysisVals!$B$9)^COUNT($C1:D1) )</f>
        <v>19001559144.7581</v>
      </c>
      <c r="E10" s="7" t="n">
        <f aca="false">(E9*(1-AnalysisVals!$B$3)+E5-E8-E6)/( (1+AnalysisVals!$B$9)^COUNT($C1:E1) )</f>
        <v>18016495749.3513</v>
      </c>
      <c r="F10" s="7" t="n">
        <f aca="false">(F9*(1-AnalysisVals!$B$3)+F5-F8-F6)/( (1+AnalysisVals!$B$9)^COUNT($C1:F1) )</f>
        <v>17070811480.7484</v>
      </c>
      <c r="G10" s="7" t="n">
        <f aca="false">(G9*(1-AnalysisVals!$B$3)+G5-G8-G6)/( (1+AnalysisVals!$B$9)^COUNT($C1:G1) )</f>
        <v>16165415444.3455</v>
      </c>
      <c r="H10" s="31" t="n">
        <f aca="false">Data!$B$31/( (1-AnalysisVals!$B$8)^COUNT(C1:G1) )</f>
        <v>506322017321.509</v>
      </c>
    </row>
    <row r="12" customFormat="false" ht="12.8" hidden="false" customHeight="false" outlineLevel="0" collapsed="false">
      <c r="B12" s="0" t="s">
        <v>58</v>
      </c>
      <c r="C12" s="0" t="s">
        <v>56</v>
      </c>
    </row>
    <row r="13" customFormat="false" ht="12.8" hidden="false" customHeight="false" outlineLevel="0" collapsed="false">
      <c r="A13" s="0" t="s">
        <v>59</v>
      </c>
      <c r="B13" s="25" t="n">
        <v>0.01</v>
      </c>
      <c r="C13" s="19" t="n">
        <f aca="false">H9*(1+B13)/(AnalysisVals!B9-B13)</f>
        <v>-11125700589.1557</v>
      </c>
    </row>
    <row r="15" customFormat="false" ht="12.8" hidden="false" customHeight="false" outlineLevel="0" collapsed="false">
      <c r="A15" s="0" t="s">
        <v>60</v>
      </c>
      <c r="B15" s="7" t="n">
        <f aca="false">SUM(C10:H10)/Data!$B$23</f>
        <v>2722.20396878477</v>
      </c>
    </row>
    <row r="16" customFormat="false" ht="12.8" hidden="false" customHeight="false" outlineLevel="0" collapsed="false">
      <c r="A16" s="0" t="s">
        <v>61</v>
      </c>
      <c r="B16" s="32" t="n">
        <f aca="false">(SUM(C10:G10)+C13)/Data!$B$23</f>
        <v>361.168135838321</v>
      </c>
    </row>
    <row r="17" customFormat="false" ht="12.8" hidden="false" customHeight="false" outlineLevel="0" collapsed="false">
      <c r="A17" s="0" t="s">
        <v>62</v>
      </c>
      <c r="B17" s="7" t="n">
        <v>2122</v>
      </c>
    </row>
    <row r="19" customFormat="false" ht="12.8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8" hidden="false" customHeight="fals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8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8" hidden="false" customHeight="fals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8" hidden="false" customHeight="fals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8" hidden="false" customHeight="fals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8" hidden="false" customHeight="fals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2020-09-11T15:49:29Z</dcterms:modified>
  <cp:revision>169</cp:revision>
  <dc:subject/>
  <dc:title/>
</cp:coreProperties>
</file>