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nalysisVals" sheetId="2" state="visible" r:id="rId3"/>
    <sheet name="DCF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<sst xmlns="http://schemas.openxmlformats.org/spreadsheetml/2006/main" count="74" uniqueCount="59">
  <si>
    <t xml:space="preserve">Год</t>
  </si>
  <si>
    <t xml:space="preserve">LTM</t>
  </si>
  <si>
    <t xml:space="preserve">Выручка</t>
  </si>
  <si>
    <t xml:space="preserve">Себестоимость</t>
  </si>
  <si>
    <t xml:space="preserve">Валовая прибыль</t>
  </si>
  <si>
    <t xml:space="preserve">Операционная прибыль</t>
  </si>
  <si>
    <t xml:space="preserve">Прибыль до налогообложения</t>
  </si>
  <si>
    <t xml:space="preserve">Налог на прибыль</t>
  </si>
  <si>
    <t xml:space="preserve">Чистая прибыль</t>
  </si>
  <si>
    <t xml:space="preserve">Внеоборотные активы</t>
  </si>
  <si>
    <t xml:space="preserve">Оборотные активы</t>
  </si>
  <si>
    <t xml:space="preserve">Запасы</t>
  </si>
  <si>
    <t xml:space="preserve">Активы</t>
  </si>
  <si>
    <t xml:space="preserve">Капитал</t>
  </si>
  <si>
    <t xml:space="preserve">Долгосрочные обязательства</t>
  </si>
  <si>
    <t xml:space="preserve">Краткосрочные обязательства</t>
  </si>
  <si>
    <t xml:space="preserve">Обязательства</t>
  </si>
  <si>
    <t xml:space="preserve">Пассивы</t>
  </si>
  <si>
    <t xml:space="preserve">Налог на прибыль, %</t>
  </si>
  <si>
    <t xml:space="preserve">Амортизация</t>
  </si>
  <si>
    <t xml:space="preserve">Capex</t>
  </si>
  <si>
    <t xml:space="preserve">Оборотный капитал</t>
  </si>
  <si>
    <t xml:space="preserve">Изменение в оборотном капитале</t>
  </si>
  <si>
    <t xml:space="preserve">FCF</t>
  </si>
  <si>
    <t xml:space="preserve">Количество акций</t>
  </si>
  <si>
    <t xml:space="preserve">Цена акции</t>
  </si>
  <si>
    <t xml:space="preserve">Капитализация</t>
  </si>
  <si>
    <t xml:space="preserve">Долгосрочные кредиты</t>
  </si>
  <si>
    <t xml:space="preserve">Краткосрочные кредиты</t>
  </si>
  <si>
    <t xml:space="preserve">Долг</t>
  </si>
  <si>
    <t xml:space="preserve">Cash</t>
  </si>
  <si>
    <t xml:space="preserve">Чистый долг</t>
  </si>
  <si>
    <t xml:space="preserve">EV</t>
  </si>
  <si>
    <t xml:space="preserve">EBITDA</t>
  </si>
  <si>
    <t xml:space="preserve">EV/EBITDA</t>
  </si>
  <si>
    <t xml:space="preserve">EV/S</t>
  </si>
  <si>
    <t xml:space="preserve">P/E</t>
  </si>
  <si>
    <t xml:space="preserve">P/S</t>
  </si>
  <si>
    <t xml:space="preserve">Debt/EBITDA</t>
  </si>
  <si>
    <t xml:space="preserve">ROA</t>
  </si>
  <si>
    <t xml:space="preserve">Дивиденды на акцию</t>
  </si>
  <si>
    <t xml:space="preserve">Доля собственного капитала</t>
  </si>
  <si>
    <t xml:space="preserve">Доля заёмного капитала</t>
  </si>
  <si>
    <t xml:space="preserve">Безрисковая ставка, ОФЗ на 10 лет (Rf)</t>
  </si>
  <si>
    <t xml:space="preserve">Средняя доходность фондового рынка (Rm)</t>
  </si>
  <si>
    <t xml:space="preserve">β</t>
  </si>
  <si>
    <t xml:space="preserve">Стоимость акционерного капитала (Re)</t>
  </si>
  <si>
    <t xml:space="preserve">Стоимость долгового капитала (Rd)</t>
  </si>
  <si>
    <t xml:space="preserve">под какой процент кредиты в этой компании</t>
  </si>
  <si>
    <t xml:space="preserve">WACC</t>
  </si>
  <si>
    <t xml:space="preserve">CAGR \ лет</t>
  </si>
  <si>
    <t xml:space="preserve">Амортизация/Выручка</t>
  </si>
  <si>
    <t xml:space="preserve">Capex/Выручка</t>
  </si>
  <si>
    <t xml:space="preserve">Оборотный капитал/Выручка</t>
  </si>
  <si>
    <t xml:space="preserve">TV</t>
  </si>
  <si>
    <t xml:space="preserve">Изменение оборотного капитала</t>
  </si>
  <si>
    <t xml:space="preserve">g</t>
  </si>
  <si>
    <t xml:space="preserve">Формула Гордона</t>
  </si>
  <si>
    <t xml:space="preserve">Справедливая цена акции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</si>
</sst>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#,##0.00\ [$₽-419];[RED]\-#,##0.00\ [$₽-419]"/>
    <numFmt numFmtId="167" formatCode="#,##0\ [$₽-419];[RED]\-#,##0\ [$₽-419]"/>
    <numFmt numFmtId="168" formatCode="0.00%"/>
    <numFmt numFmtId="169" formatCode="#,##0"/>
    <numFmt numFmtId="170" formatCode="#,##0.00"/>
    <numFmt numFmtId="171" formatCode="#,##0.0\ [$₽-419];[RED]\-#,##0.0\ [$₽-419]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Mangal"/>
      <family val="2"/>
      <charset val="204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FFB66C"/>
        <bgColor rgb="FFFF99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оловок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5" activeCellId="0" sqref="C25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33.57"/>
    <col collapsed="false" customWidth="true" hidden="false" outlineLevel="0" max="2" min="2" style="2" width="19.71"/>
    <col collapsed="false" customWidth="true" hidden="false" outlineLevel="0" max="8" min="3" style="3" width="19.71"/>
    <col collapsed="false" customWidth="true" hidden="false" outlineLevel="0" max="9" min="9" style="0" width="19.71"/>
  </cols>
  <sheetData>
    <row r="1" s="6" customFormat="true" ht="12.8" hidden="false" customHeight="false" outlineLevel="0" collapsed="false">
      <c r="A1" s="4" t="s">
        <v>0</v>
      </c>
      <c r="B1" s="2" t="s">
        <v>1</v>
      </c>
      <c r="C1" s="5" t="n">
        <v>2019</v>
      </c>
      <c r="D1" s="5" t="n">
        <v>2018</v>
      </c>
      <c r="E1" s="5" t="n">
        <v>2017</v>
      </c>
      <c r="F1" s="5" t="n">
        <v>2016</v>
      </c>
      <c r="G1" s="5" t="n">
        <v>2015</v>
      </c>
      <c r="H1" s="5"/>
      <c r="I1" s="5"/>
    </row>
    <row r="2" s="7" customFormat="true" ht="12.8" hidden="false" customHeight="false" outlineLevel="0" collapsed="false">
      <c r="A2" s="1" t="s">
        <v>2</v>
      </c>
      <c r="B2" s="7" t="n">
        <f aca="false">237338000000+C2-225998000000</f>
        <v>487446000000</v>
      </c>
      <c r="C2" s="8" t="n">
        <v>476106000000</v>
      </c>
      <c r="D2" s="8" t="n">
        <v>451466000000</v>
      </c>
      <c r="E2" s="8" t="n">
        <v>442911000000</v>
      </c>
      <c r="F2" s="8" t="n">
        <v>435692000000</v>
      </c>
      <c r="G2" s="8" t="n">
        <v>426639000000</v>
      </c>
      <c r="H2" s="8"/>
      <c r="I2" s="8"/>
    </row>
    <row r="3" s="7" customFormat="true" ht="12.8" hidden="false" customHeight="false" outlineLevel="0" collapsed="false">
      <c r="A3" s="1" t="s">
        <v>3</v>
      </c>
      <c r="B3" s="7" t="n">
        <f aca="false">60256000000+28448000000+C3-56660000000-27543000000</f>
        <v>183385000000</v>
      </c>
      <c r="C3" s="8" t="n">
        <f aca="false">114995000000+63889000000</f>
        <v>178884000000</v>
      </c>
      <c r="D3" s="8" t="n">
        <f aca="false">104929000000+63253000000</f>
        <v>168182000000</v>
      </c>
      <c r="E3" s="8" t="n">
        <f aca="false">123779000000+45623000000</f>
        <v>169402000000</v>
      </c>
      <c r="F3" s="8" t="n">
        <f aca="false">130158000000+45574000000</f>
        <v>175732000000</v>
      </c>
      <c r="G3" s="8" t="n">
        <f aca="false">126805000000+36555000000</f>
        <v>163360000000</v>
      </c>
      <c r="H3" s="8"/>
      <c r="I3" s="8"/>
    </row>
    <row r="4" s="11" customFormat="true" ht="12.8" hidden="false" customHeight="false" outlineLevel="0" collapsed="false">
      <c r="A4" s="9" t="s">
        <v>4</v>
      </c>
      <c r="B4" s="10" t="n">
        <f aca="false">B2-B3</f>
        <v>304061000000</v>
      </c>
      <c r="C4" s="10" t="n">
        <f aca="false">C2-C3</f>
        <v>297222000000</v>
      </c>
      <c r="D4" s="10" t="n">
        <f aca="false">D2-D3</f>
        <v>283284000000</v>
      </c>
      <c r="E4" s="10" t="n">
        <f aca="false">E2-E3</f>
        <v>273509000000</v>
      </c>
      <c r="F4" s="10" t="n">
        <f aca="false">F2-F3</f>
        <v>259960000000</v>
      </c>
      <c r="G4" s="10" t="n">
        <f aca="false">G2-G3</f>
        <v>263279000000</v>
      </c>
      <c r="H4" s="10"/>
      <c r="I4" s="10"/>
    </row>
    <row r="5" s="7" customFormat="true" ht="12.8" hidden="false" customHeight="false" outlineLevel="0" collapsed="false">
      <c r="A5" s="1" t="s">
        <v>5</v>
      </c>
      <c r="B5" s="7" t="n">
        <f aca="false">52508000000+C5-54239000000</f>
        <v>112457000000</v>
      </c>
      <c r="C5" s="8" t="n">
        <f aca="false">114188000000</f>
        <v>114188000000</v>
      </c>
      <c r="D5" s="8" t="n">
        <v>109021000000</v>
      </c>
      <c r="E5" s="8" t="n">
        <v>96100000000</v>
      </c>
      <c r="F5" s="8" t="n">
        <v>87669000000</v>
      </c>
      <c r="G5" s="8" t="n">
        <v>93923000000</v>
      </c>
      <c r="H5" s="8"/>
      <c r="I5" s="8"/>
    </row>
    <row r="6" s="7" customFormat="true" ht="12.8" hidden="false" customHeight="false" outlineLevel="0" collapsed="false">
      <c r="A6" s="1" t="s">
        <v>6</v>
      </c>
      <c r="B6" s="7" t="n">
        <f aca="false">36812000000+C6-31570000000</f>
        <v>72115000000</v>
      </c>
      <c r="C6" s="8" t="n">
        <v>66873000000</v>
      </c>
      <c r="D6" s="8" t="n">
        <v>77119000000</v>
      </c>
      <c r="E6" s="8" t="n">
        <v>75567000000</v>
      </c>
      <c r="F6" s="8" t="n">
        <v>67609000000</v>
      </c>
      <c r="G6" s="8" t="n">
        <v>67003000000</v>
      </c>
      <c r="H6" s="8"/>
      <c r="I6" s="8"/>
    </row>
    <row r="7" s="7" customFormat="true" ht="12.8" hidden="false" customHeight="false" outlineLevel="0" collapsed="false">
      <c r="A7" s="1" t="s">
        <v>7</v>
      </c>
      <c r="B7" s="7" t="n">
        <f aca="false">9233000000-6890000000+C7</f>
        <v>18093000000</v>
      </c>
      <c r="C7" s="8" t="n">
        <v>15750000000</v>
      </c>
      <c r="D7" s="8" t="n">
        <v>15395000000</v>
      </c>
      <c r="E7" s="8" t="n">
        <v>18977000000</v>
      </c>
      <c r="F7" s="8" t="n">
        <v>15138000000</v>
      </c>
      <c r="G7" s="8" t="n">
        <v>13931000000</v>
      </c>
      <c r="H7" s="8"/>
      <c r="I7" s="8"/>
    </row>
    <row r="8" s="11" customFormat="true" ht="12.8" hidden="false" customHeight="false" outlineLevel="0" collapsed="false">
      <c r="A8" s="9" t="s">
        <v>8</v>
      </c>
      <c r="B8" s="10" t="n">
        <f aca="false">B6-B7</f>
        <v>54022000000</v>
      </c>
      <c r="C8" s="10" t="n">
        <f aca="false">C6-C7</f>
        <v>51123000000</v>
      </c>
      <c r="D8" s="10" t="n">
        <f aca="false">D6-D7</f>
        <v>61724000000</v>
      </c>
      <c r="E8" s="10" t="n">
        <f aca="false">E6-E7</f>
        <v>56590000000</v>
      </c>
      <c r="F8" s="10" t="n">
        <f aca="false">F6-F7</f>
        <v>52471000000</v>
      </c>
      <c r="G8" s="10" t="n">
        <f aca="false">G6-G7</f>
        <v>53072000000</v>
      </c>
      <c r="H8" s="10"/>
      <c r="I8" s="10"/>
    </row>
    <row r="9" s="7" customFormat="true" ht="12.8" hidden="false" customHeight="false" outlineLevel="0" collapsed="false">
      <c r="A9" s="1" t="s">
        <v>9</v>
      </c>
      <c r="B9" s="7" t="n">
        <v>633315000000</v>
      </c>
      <c r="C9" s="8" t="n">
        <v>629322000000</v>
      </c>
      <c r="D9" s="8" t="n">
        <v>647059000000</v>
      </c>
      <c r="E9" s="8" t="n">
        <v>405038000000</v>
      </c>
      <c r="F9" s="8" t="n">
        <v>453476000000</v>
      </c>
      <c r="G9" s="8" t="n">
        <v>494361000000</v>
      </c>
      <c r="H9" s="8"/>
      <c r="I9" s="8"/>
    </row>
    <row r="10" s="7" customFormat="true" ht="12.8" hidden="false" customHeight="false" outlineLevel="0" collapsed="false">
      <c r="A10" s="1" t="s">
        <v>10</v>
      </c>
      <c r="B10" s="7" t="n">
        <v>269129000000</v>
      </c>
      <c r="C10" s="8" t="n">
        <v>194588000000</v>
      </c>
      <c r="D10" s="8" t="n">
        <v>268934000000</v>
      </c>
      <c r="E10" s="8" t="n">
        <v>146032000000</v>
      </c>
      <c r="F10" s="8" t="n">
        <v>90994000000</v>
      </c>
      <c r="G10" s="8" t="n">
        <v>159017000000</v>
      </c>
      <c r="H10" s="8"/>
      <c r="I10" s="8"/>
    </row>
    <row r="11" s="2" customFormat="true" ht="12.8" hidden="false" customHeight="false" outlineLevel="0" collapsed="false">
      <c r="A11" s="12" t="s">
        <v>11</v>
      </c>
      <c r="B11" s="7" t="n">
        <v>18067000000</v>
      </c>
      <c r="C11" s="7" t="n">
        <v>15515000000</v>
      </c>
      <c r="D11" s="7" t="n">
        <v>18654000000</v>
      </c>
      <c r="E11" s="7" t="n">
        <v>9995000000</v>
      </c>
      <c r="F11" s="7" t="n">
        <v>14330000000</v>
      </c>
      <c r="G11" s="7" t="n">
        <v>14510000000</v>
      </c>
      <c r="H11" s="7"/>
      <c r="I11" s="7"/>
      <c r="J11" s="7"/>
      <c r="K11" s="7"/>
    </row>
    <row r="12" s="11" customFormat="true" ht="12.8" hidden="false" customHeight="false" outlineLevel="0" collapsed="false">
      <c r="A12" s="9" t="s">
        <v>12</v>
      </c>
      <c r="B12" s="10" t="n">
        <f aca="false">B9+B10</f>
        <v>902444000000</v>
      </c>
      <c r="C12" s="10" t="n">
        <f aca="false">C9+C10</f>
        <v>823910000000</v>
      </c>
      <c r="D12" s="10" t="n">
        <f aca="false">D9+D10</f>
        <v>915993000000</v>
      </c>
      <c r="E12" s="10" t="n">
        <f aca="false">E9+E10</f>
        <v>551070000000</v>
      </c>
      <c r="F12" s="10" t="n">
        <f aca="false">F9+F10</f>
        <v>544470000000</v>
      </c>
      <c r="G12" s="10" t="n">
        <f aca="false">G9+G10</f>
        <v>653378000000</v>
      </c>
      <c r="H12" s="10"/>
      <c r="I12" s="10"/>
    </row>
    <row r="13" s="7" customFormat="true" ht="12.8" hidden="false" customHeight="false" outlineLevel="0" collapsed="false">
      <c r="A13" s="1" t="s">
        <v>13</v>
      </c>
      <c r="B13" s="7" t="n">
        <v>30778000000</v>
      </c>
      <c r="C13" s="8" t="n">
        <v>36394000000</v>
      </c>
      <c r="D13" s="8" t="n">
        <v>77565000000</v>
      </c>
      <c r="E13" s="8" t="n">
        <v>124205000000</v>
      </c>
      <c r="F13" s="8" t="n">
        <v>143948000000</v>
      </c>
      <c r="G13" s="8" t="n">
        <v>168371000000</v>
      </c>
      <c r="H13" s="8"/>
      <c r="I13" s="8"/>
    </row>
    <row r="14" s="7" customFormat="true" ht="12.8" hidden="false" customHeight="false" outlineLevel="0" collapsed="false">
      <c r="A14" s="1" t="s">
        <v>14</v>
      </c>
      <c r="B14" s="7" t="n">
        <v>562411000000</v>
      </c>
      <c r="C14" s="8" t="n">
        <v>439059000000</v>
      </c>
      <c r="D14" s="8" t="n">
        <v>542957000000</v>
      </c>
      <c r="E14" s="8" t="n">
        <v>270194000000</v>
      </c>
      <c r="F14" s="8" t="n">
        <v>272977000000</v>
      </c>
      <c r="G14" s="8" t="n">
        <v>327097000000</v>
      </c>
      <c r="H14" s="8"/>
      <c r="I14" s="8"/>
    </row>
    <row r="15" s="7" customFormat="true" ht="12.8" hidden="false" customHeight="false" outlineLevel="0" collapsed="false">
      <c r="A15" s="1" t="s">
        <v>15</v>
      </c>
      <c r="B15" s="7" t="n">
        <v>309255000000</v>
      </c>
      <c r="C15" s="8" t="n">
        <v>348457000000</v>
      </c>
      <c r="D15" s="8" t="n">
        <v>295471000000</v>
      </c>
      <c r="E15" s="8" t="n">
        <v>156671000000</v>
      </c>
      <c r="F15" s="8" t="n">
        <v>127545000000</v>
      </c>
      <c r="G15" s="8" t="n">
        <v>157910000000</v>
      </c>
      <c r="H15" s="8"/>
      <c r="I15" s="8"/>
    </row>
    <row r="16" s="11" customFormat="true" ht="12.8" hidden="false" customHeight="false" outlineLevel="0" collapsed="false">
      <c r="A16" s="9" t="s">
        <v>16</v>
      </c>
      <c r="B16" s="10" t="n">
        <f aca="false">B14+B15</f>
        <v>871666000000</v>
      </c>
      <c r="C16" s="10" t="n">
        <f aca="false">C14+C15</f>
        <v>787516000000</v>
      </c>
      <c r="D16" s="10" t="n">
        <f aca="false">D14+D15</f>
        <v>838428000000</v>
      </c>
      <c r="E16" s="10" t="n">
        <f aca="false">E14+E15</f>
        <v>426865000000</v>
      </c>
      <c r="F16" s="10" t="n">
        <f aca="false">F14+F15</f>
        <v>400522000000</v>
      </c>
      <c r="G16" s="10" t="n">
        <f aca="false">G14+G15</f>
        <v>485007000000</v>
      </c>
      <c r="H16" s="10"/>
      <c r="I16" s="10"/>
    </row>
    <row r="17" s="11" customFormat="true" ht="12.8" hidden="false" customHeight="false" outlineLevel="0" collapsed="false">
      <c r="A17" s="9" t="s">
        <v>17</v>
      </c>
      <c r="B17" s="10" t="n">
        <f aca="false">B16+B13</f>
        <v>902444000000</v>
      </c>
      <c r="C17" s="10" t="n">
        <f aca="false">C16+C13</f>
        <v>823910000000</v>
      </c>
      <c r="D17" s="10" t="n">
        <f aca="false">D16+D13</f>
        <v>915993000000</v>
      </c>
      <c r="E17" s="10" t="n">
        <f aca="false">E16+E13</f>
        <v>551070000000</v>
      </c>
      <c r="F17" s="10" t="n">
        <f aca="false">F16+F13</f>
        <v>544470000000</v>
      </c>
      <c r="G17" s="10" t="n">
        <f aca="false">G16+G13</f>
        <v>653378000000</v>
      </c>
      <c r="H17" s="10"/>
      <c r="I17" s="10"/>
    </row>
    <row r="18" s="11" customFormat="true" ht="12.8" hidden="false" customHeight="false" outlineLevel="0" collapsed="false">
      <c r="A18" s="9" t="s">
        <v>18</v>
      </c>
      <c r="B18" s="13" t="n">
        <f aca="false">B7/B6</f>
        <v>0.250890938085003</v>
      </c>
      <c r="C18" s="13" t="n">
        <f aca="false">C7/C6</f>
        <v>0.235521062312144</v>
      </c>
      <c r="D18" s="13" t="n">
        <f aca="false">D7/D6</f>
        <v>0.199626551174159</v>
      </c>
      <c r="E18" s="13" t="n">
        <f aca="false">E7/E6</f>
        <v>0.251128137943811</v>
      </c>
      <c r="F18" s="13" t="n">
        <f aca="false">F7/F6</f>
        <v>0.223905101391826</v>
      </c>
      <c r="G18" s="13" t="n">
        <f aca="false">G7/G6</f>
        <v>0.207916063459845</v>
      </c>
      <c r="H18" s="13"/>
      <c r="I18" s="13"/>
    </row>
    <row r="19" s="7" customFormat="true" ht="12.8" hidden="false" customHeight="false" outlineLevel="0" collapsed="false">
      <c r="A19" s="1" t="s">
        <v>19</v>
      </c>
      <c r="B19" s="7" t="n">
        <f aca="false">49352000000+C19-53393000000</f>
        <v>102907000000</v>
      </c>
      <c r="C19" s="8" t="n">
        <v>106948000000</v>
      </c>
      <c r="D19" s="8" t="n">
        <v>104588000000</v>
      </c>
      <c r="E19" s="8" t="n">
        <v>79912000000</v>
      </c>
      <c r="F19" s="8" t="n">
        <v>83259000000</v>
      </c>
      <c r="G19" s="8" t="n">
        <v>82473000000</v>
      </c>
      <c r="H19" s="8"/>
      <c r="I19" s="8"/>
    </row>
    <row r="20" s="7" customFormat="true" ht="12.8" hidden="false" customHeight="false" outlineLevel="0" collapsed="false">
      <c r="A20" s="1" t="s">
        <v>20</v>
      </c>
      <c r="B20" s="7" t="n">
        <f aca="false">(28053+12757-27513-11781)*1000000 +C20</f>
        <v>92997000000</v>
      </c>
      <c r="C20" s="8" t="n">
        <f aca="false">68465000000+23016000000</f>
        <v>91481000000</v>
      </c>
      <c r="D20" s="8" t="n">
        <f aca="false">64731000000+21751000000</f>
        <v>86482000000</v>
      </c>
      <c r="E20" s="8" t="n">
        <f aca="false">53366000000+23065000000</f>
        <v>76431000000</v>
      </c>
      <c r="F20" s="8" t="n">
        <f aca="false">55538000000+28013000000</f>
        <v>83551000000</v>
      </c>
      <c r="G20" s="8" t="n">
        <f aca="false">76671000000+19440000000</f>
        <v>96111000000</v>
      </c>
      <c r="H20" s="8"/>
      <c r="I20" s="8"/>
    </row>
    <row r="21" s="11" customFormat="true" ht="12.8" hidden="false" customHeight="false" outlineLevel="0" collapsed="false">
      <c r="A21" s="9" t="s">
        <v>21</v>
      </c>
      <c r="B21" s="10" t="n">
        <f aca="false">B10-B15</f>
        <v>-40126000000</v>
      </c>
      <c r="C21" s="10" t="n">
        <f aca="false">C10-C15</f>
        <v>-153869000000</v>
      </c>
      <c r="D21" s="10" t="n">
        <f aca="false">D10-D15</f>
        <v>-26537000000</v>
      </c>
      <c r="E21" s="10" t="n">
        <f aca="false">E10-E15</f>
        <v>-10639000000</v>
      </c>
      <c r="F21" s="10" t="n">
        <f aca="false">F10-F15</f>
        <v>-36551000000</v>
      </c>
      <c r="G21" s="10" t="n">
        <f aca="false">G10-G15</f>
        <v>1107000000</v>
      </c>
      <c r="H21" s="10"/>
      <c r="I21" s="10"/>
    </row>
    <row r="22" s="11" customFormat="true" ht="12.8" hidden="false" customHeight="false" outlineLevel="0" collapsed="false">
      <c r="A22" s="9" t="s">
        <v>22</v>
      </c>
      <c r="B22" s="10" t="n">
        <f aca="false">B21-C21</f>
        <v>113743000000</v>
      </c>
      <c r="C22" s="10" t="n">
        <f aca="false">C21-D21</f>
        <v>-127332000000</v>
      </c>
      <c r="D22" s="10" t="n">
        <f aca="false">D21-E21</f>
        <v>-15898000000</v>
      </c>
      <c r="E22" s="10" t="n">
        <f aca="false">E21-F21</f>
        <v>25912000000</v>
      </c>
      <c r="F22" s="10" t="n">
        <f aca="false">F21-G21</f>
        <v>-37658000000</v>
      </c>
      <c r="G22" s="10"/>
      <c r="H22" s="10"/>
      <c r="I22" s="10"/>
    </row>
    <row r="23" s="11" customFormat="true" ht="12.8" hidden="false" customHeight="false" outlineLevel="0" collapsed="false">
      <c r="A23" s="9" t="s">
        <v>23</v>
      </c>
      <c r="B23" s="10" t="n">
        <f aca="false">B5*(1-B18)+B19-B20-B22</f>
        <v>-19590442224.2252</v>
      </c>
      <c r="C23" s="10" t="n">
        <f aca="false">C5*(1-C18)+C19-C20-C22</f>
        <v>230093320936.701</v>
      </c>
      <c r="D23" s="10" t="n">
        <f aca="false">D5*(1-D18)+D19-D20-D22</f>
        <v>121261513764.442</v>
      </c>
      <c r="E23" s="10" t="n">
        <f aca="false">E5*(1-E18)+E19-E20-E22</f>
        <v>49535585943.5997</v>
      </c>
      <c r="F23" s="10" t="n">
        <f aca="false">F5*(1-F18)+F19-F20-F22</f>
        <v>105405463666.08</v>
      </c>
      <c r="G23" s="10"/>
      <c r="H23" s="10"/>
      <c r="I23" s="10"/>
    </row>
    <row r="24" s="15" customFormat="true" ht="12.8" hidden="false" customHeight="false" outlineLevel="0" collapsed="false">
      <c r="A24" s="1" t="s">
        <v>24</v>
      </c>
      <c r="B24" s="14" t="n">
        <v>1783617000</v>
      </c>
      <c r="C24" s="14" t="n">
        <v>1783617000</v>
      </c>
      <c r="D24" s="14" t="n">
        <v>1875721000</v>
      </c>
      <c r="E24" s="14" t="n">
        <v>1955558000</v>
      </c>
      <c r="F24" s="14" t="n">
        <v>1990694000</v>
      </c>
      <c r="G24" s="14" t="n">
        <v>1990196000</v>
      </c>
      <c r="H24" s="14"/>
      <c r="I24" s="14"/>
    </row>
    <row r="25" s="7" customFormat="true" ht="12.8" hidden="false" customHeight="false" outlineLevel="0" collapsed="false">
      <c r="A25" s="1" t="s">
        <v>25</v>
      </c>
      <c r="B25" s="7" t="n">
        <v>338.45</v>
      </c>
      <c r="C25" s="8" t="n">
        <v>337.4</v>
      </c>
      <c r="D25" s="8" t="n">
        <v>238</v>
      </c>
      <c r="E25" s="8" t="n">
        <v>276</v>
      </c>
      <c r="F25" s="8" t="n">
        <v>259</v>
      </c>
      <c r="G25" s="8" t="n">
        <v>433.9</v>
      </c>
      <c r="H25" s="8"/>
      <c r="I25" s="8"/>
    </row>
    <row r="26" s="11" customFormat="true" ht="12.8" hidden="false" customHeight="false" outlineLevel="0" collapsed="false">
      <c r="A26" s="9" t="s">
        <v>26</v>
      </c>
      <c r="B26" s="10" t="n">
        <f aca="false">B24*B25</f>
        <v>603665173650</v>
      </c>
      <c r="C26" s="10" t="n">
        <f aca="false">C24*C25</f>
        <v>601792375800</v>
      </c>
      <c r="D26" s="10" t="n">
        <f aca="false">D24*D25</f>
        <v>446421598000</v>
      </c>
      <c r="E26" s="10" t="n">
        <f aca="false">E24*E25</f>
        <v>539734008000</v>
      </c>
      <c r="F26" s="10" t="n">
        <f aca="false">F24*F25</f>
        <v>515589746000</v>
      </c>
      <c r="G26" s="10" t="n">
        <f aca="false">G24*G25</f>
        <v>863546044400</v>
      </c>
      <c r="H26" s="10"/>
      <c r="I26" s="10"/>
    </row>
    <row r="27" s="7" customFormat="true" ht="12.8" hidden="false" customHeight="false" outlineLevel="0" collapsed="false">
      <c r="A27" s="1" t="s">
        <v>27</v>
      </c>
      <c r="B27" s="7" t="n">
        <f aca="false">396560000000</f>
        <v>396560000000</v>
      </c>
      <c r="C27" s="8" t="n">
        <v>271573000000</v>
      </c>
      <c r="D27" s="8" t="n">
        <v>365072000000</v>
      </c>
      <c r="E27" s="8" t="n">
        <v>239096000000</v>
      </c>
      <c r="F27" s="8" t="n">
        <v>237113000000</v>
      </c>
      <c r="G27" s="8" t="n">
        <v>292168000000</v>
      </c>
      <c r="H27" s="8"/>
      <c r="I27" s="8"/>
    </row>
    <row r="28" s="7" customFormat="true" ht="12.8" hidden="false" customHeight="false" outlineLevel="0" collapsed="false">
      <c r="A28" s="1" t="s">
        <v>28</v>
      </c>
      <c r="B28" s="7" t="n">
        <f aca="false">12022000000</f>
        <v>12022000000</v>
      </c>
      <c r="C28" s="8" t="n">
        <v>71746000000</v>
      </c>
      <c r="D28" s="8" t="n">
        <v>3063000000</v>
      </c>
      <c r="E28" s="8" t="n">
        <v>64474000000</v>
      </c>
      <c r="F28" s="8" t="n">
        <v>47207000000</v>
      </c>
      <c r="G28" s="8" t="n">
        <v>53701000000</v>
      </c>
      <c r="H28" s="8"/>
      <c r="I28" s="8"/>
    </row>
    <row r="29" s="11" customFormat="true" ht="12.8" hidden="false" customHeight="false" outlineLevel="0" collapsed="false">
      <c r="A29" s="9" t="s">
        <v>29</v>
      </c>
      <c r="B29" s="10" t="n">
        <f aca="false">B27+B28</f>
        <v>408582000000</v>
      </c>
      <c r="C29" s="10" t="n">
        <f aca="false">C27+C28</f>
        <v>343319000000</v>
      </c>
      <c r="D29" s="10" t="n">
        <f aca="false">D27+D28</f>
        <v>368135000000</v>
      </c>
      <c r="E29" s="10" t="n">
        <f aca="false">E27+E28</f>
        <v>303570000000</v>
      </c>
      <c r="F29" s="10" t="n">
        <f aca="false">F27+F28</f>
        <v>284320000000</v>
      </c>
      <c r="G29" s="10" t="n">
        <f aca="false">G27+G28</f>
        <v>345869000000</v>
      </c>
      <c r="H29" s="10"/>
      <c r="I29" s="10"/>
    </row>
    <row r="30" s="7" customFormat="true" ht="12.8" hidden="false" customHeight="false" outlineLevel="0" collapsed="false">
      <c r="A30" s="1" t="s">
        <v>30</v>
      </c>
      <c r="B30" s="7" t="n">
        <f aca="false">98253000000+C30-51243000000</f>
        <v>85080000000</v>
      </c>
      <c r="C30" s="8" t="n">
        <v>38070000000</v>
      </c>
      <c r="D30" s="8" t="n">
        <v>84075000000</v>
      </c>
      <c r="E30" s="8" t="n">
        <v>30586000000</v>
      </c>
      <c r="F30" s="8" t="n">
        <v>18470000000</v>
      </c>
      <c r="G30" s="8" t="n">
        <v>33464000000</v>
      </c>
      <c r="H30" s="8"/>
      <c r="I30" s="8"/>
    </row>
    <row r="31" s="11" customFormat="true" ht="12.8" hidden="false" customHeight="false" outlineLevel="0" collapsed="false">
      <c r="A31" s="9" t="s">
        <v>31</v>
      </c>
      <c r="B31" s="10" t="n">
        <f aca="false">B29-B30</f>
        <v>323502000000</v>
      </c>
      <c r="C31" s="10" t="n">
        <f aca="false">C29-C30</f>
        <v>305249000000</v>
      </c>
      <c r="D31" s="10" t="n">
        <f aca="false">D29-D30</f>
        <v>284060000000</v>
      </c>
      <c r="E31" s="10" t="n">
        <f aca="false">E29-E30</f>
        <v>272984000000</v>
      </c>
      <c r="F31" s="10" t="n">
        <f aca="false">F29-F30</f>
        <v>265850000000</v>
      </c>
      <c r="G31" s="10" t="n">
        <f aca="false">G29-G30</f>
        <v>312405000000</v>
      </c>
      <c r="H31" s="10"/>
      <c r="I31" s="10"/>
    </row>
    <row r="32" s="11" customFormat="true" ht="12.8" hidden="false" customHeight="false" outlineLevel="0" collapsed="false">
      <c r="A32" s="9" t="s">
        <v>32</v>
      </c>
      <c r="B32" s="10" t="n">
        <f aca="false">B26+B31</f>
        <v>927167173650</v>
      </c>
      <c r="C32" s="10" t="n">
        <f aca="false">C26+C31</f>
        <v>907041375800</v>
      </c>
      <c r="D32" s="10" t="n">
        <f aca="false">D26+D31</f>
        <v>730481598000</v>
      </c>
      <c r="E32" s="10" t="n">
        <f aca="false">E26+E31</f>
        <v>812718008000</v>
      </c>
      <c r="F32" s="10" t="n">
        <f aca="false">F26+F31</f>
        <v>781439746000</v>
      </c>
      <c r="G32" s="10" t="n">
        <f aca="false">G26+G31</f>
        <v>1175951044400</v>
      </c>
      <c r="H32" s="10"/>
      <c r="I32" s="10"/>
    </row>
    <row r="33" s="11" customFormat="true" ht="12.8" hidden="false" customHeight="false" outlineLevel="0" collapsed="false">
      <c r="A33" s="9" t="s">
        <v>33</v>
      </c>
      <c r="B33" s="10" t="n">
        <f aca="false">B5+B19</f>
        <v>215364000000</v>
      </c>
      <c r="C33" s="10" t="n">
        <f aca="false">C5+C19</f>
        <v>221136000000</v>
      </c>
      <c r="D33" s="10" t="n">
        <f aca="false">D5+D19</f>
        <v>213609000000</v>
      </c>
      <c r="E33" s="10" t="n">
        <f aca="false">E5+E19</f>
        <v>176012000000</v>
      </c>
      <c r="F33" s="10" t="n">
        <f aca="false">F5+F19</f>
        <v>170928000000</v>
      </c>
      <c r="G33" s="10" t="n">
        <f aca="false">G5+G19</f>
        <v>176396000000</v>
      </c>
      <c r="H33" s="10"/>
      <c r="I33" s="10"/>
    </row>
    <row r="34" s="17" customFormat="true" ht="12.8" hidden="false" customHeight="false" outlineLevel="0" collapsed="false">
      <c r="A34" s="9" t="s">
        <v>34</v>
      </c>
      <c r="B34" s="16" t="n">
        <f aca="false">B32/B33</f>
        <v>4.30511679598262</v>
      </c>
      <c r="C34" s="16" t="n">
        <f aca="false">C32/C33</f>
        <v>4.10173547409739</v>
      </c>
      <c r="D34" s="16" t="n">
        <f aca="false">D32/D33</f>
        <v>3.41971357948401</v>
      </c>
      <c r="E34" s="16" t="n">
        <f aca="false">E32/E33</f>
        <v>4.61740113174102</v>
      </c>
      <c r="F34" s="16" t="n">
        <f aca="false">F32/F33</f>
        <v>4.57174802255921</v>
      </c>
      <c r="G34" s="16" t="n">
        <f aca="false">G32/G33</f>
        <v>6.66654030930407</v>
      </c>
      <c r="H34" s="16"/>
      <c r="I34" s="16"/>
    </row>
    <row r="35" s="17" customFormat="true" ht="12.8" hidden="false" customHeight="false" outlineLevel="0" collapsed="false">
      <c r="A35" s="9" t="s">
        <v>35</v>
      </c>
      <c r="B35" s="16" t="n">
        <f aca="false">B32/B2</f>
        <v>1.90209207512217</v>
      </c>
      <c r="C35" s="16" t="n">
        <f aca="false">C32/C2</f>
        <v>1.90512485832987</v>
      </c>
      <c r="D35" s="16" t="n">
        <f aca="false">D32/D2</f>
        <v>1.61802128620981</v>
      </c>
      <c r="E35" s="16" t="n">
        <f aca="false">E32/E2</f>
        <v>1.8349465423076</v>
      </c>
      <c r="F35" s="16" t="n">
        <f aca="false">F32/F2</f>
        <v>1.79356000569209</v>
      </c>
      <c r="G35" s="16" t="n">
        <f aca="false">G32/G2</f>
        <v>2.75631399004779</v>
      </c>
      <c r="H35" s="16"/>
      <c r="I35" s="16"/>
    </row>
    <row r="36" s="17" customFormat="true" ht="12.8" hidden="false" customHeight="false" outlineLevel="0" collapsed="false">
      <c r="A36" s="9" t="s">
        <v>36</v>
      </c>
      <c r="B36" s="16" t="n">
        <f aca="false">B26/B8</f>
        <v>11.1744321507904</v>
      </c>
      <c r="C36" s="16" t="n">
        <f aca="false">C26/C8</f>
        <v>11.7714605128807</v>
      </c>
      <c r="D36" s="16" t="n">
        <f aca="false">D26/D8</f>
        <v>7.23254484479295</v>
      </c>
      <c r="E36" s="16" t="n">
        <f aca="false">E26/E8</f>
        <v>9.53762162926312</v>
      </c>
      <c r="F36" s="16" t="n">
        <f aca="false">F26/F8</f>
        <v>9.82618486402013</v>
      </c>
      <c r="G36" s="16" t="n">
        <f aca="false">G26/G8</f>
        <v>16.2712172972566</v>
      </c>
      <c r="H36" s="16"/>
      <c r="I36" s="16"/>
    </row>
    <row r="37" s="17" customFormat="true" ht="12.8" hidden="false" customHeight="false" outlineLevel="0" collapsed="false">
      <c r="A37" s="9" t="s">
        <v>37</v>
      </c>
      <c r="B37" s="16" t="n">
        <f aca="false">B26/B2</f>
        <v>1.23842471504536</v>
      </c>
      <c r="C37" s="16" t="n">
        <f aca="false">C26/C2</f>
        <v>1.26398822069035</v>
      </c>
      <c r="D37" s="16" t="n">
        <f aca="false">D26/D2</f>
        <v>0.988826618172797</v>
      </c>
      <c r="E37" s="16" t="n">
        <f aca="false">E26/E2</f>
        <v>1.21860601339773</v>
      </c>
      <c r="F37" s="16" t="n">
        <f aca="false">F26/F2</f>
        <v>1.18338125556586</v>
      </c>
      <c r="G37" s="16" t="n">
        <f aca="false">G26/G2</f>
        <v>2.02406728967581</v>
      </c>
      <c r="H37" s="16"/>
      <c r="I37" s="16"/>
    </row>
    <row r="38" s="18" customFormat="true" ht="12.8" hidden="false" customHeight="false" outlineLevel="0" collapsed="false">
      <c r="A38" s="9" t="s">
        <v>38</v>
      </c>
      <c r="B38" s="16" t="n">
        <f aca="false">B29/B33</f>
        <v>1.89716944336101</v>
      </c>
      <c r="C38" s="16" t="n">
        <f aca="false">C29/C33</f>
        <v>1.55252423847768</v>
      </c>
      <c r="D38" s="16" t="n">
        <f aca="false">D29/D33</f>
        <v>1.72340584900449</v>
      </c>
      <c r="E38" s="16" t="n">
        <f aca="false">E29/E33</f>
        <v>1.72471195145786</v>
      </c>
      <c r="F38" s="16" t="n">
        <f aca="false">F29/F33</f>
        <v>1.66339043339886</v>
      </c>
      <c r="G38" s="16" t="n">
        <f aca="false">G29/G33</f>
        <v>1.9607530783011</v>
      </c>
      <c r="H38" s="16"/>
      <c r="I38" s="16"/>
    </row>
    <row r="39" s="18" customFormat="true" ht="12.8" hidden="false" customHeight="false" outlineLevel="0" collapsed="false">
      <c r="A39" s="9" t="s">
        <v>39</v>
      </c>
      <c r="B39" s="13" t="n">
        <f aca="false">B8/AVERAGE(B12:C12)</f>
        <v>0.0625850781473556</v>
      </c>
      <c r="C39" s="13" t="n">
        <f aca="false">C8/AVERAGE(C12:D12)</f>
        <v>0.0587653449646331</v>
      </c>
      <c r="D39" s="13" t="n">
        <f aca="false">D8/AVERAGE(D12:E12)</f>
        <v>0.0841463522698071</v>
      </c>
      <c r="E39" s="13" t="n">
        <f aca="false">E8/AVERAGE(E12:F12)</f>
        <v>0.103309783303211</v>
      </c>
      <c r="F39" s="13" t="n">
        <f aca="false">F8/AVERAGE(F12:G12)</f>
        <v>0.0876087784092806</v>
      </c>
      <c r="G39" s="13" t="n">
        <f aca="false">G8/AVERAGE(G12:H12)</f>
        <v>0.081227099779913</v>
      </c>
      <c r="H39" s="13"/>
      <c r="I39" s="13"/>
    </row>
    <row r="40" s="20" customFormat="true" ht="12.8" hidden="false" customHeight="false" outlineLevel="0" collapsed="false">
      <c r="A40" s="19" t="s">
        <v>40</v>
      </c>
      <c r="B40" s="2" t="n">
        <v>29.5</v>
      </c>
      <c r="C40" s="19" t="n">
        <v>49.91</v>
      </c>
      <c r="D40" s="19" t="n">
        <v>26</v>
      </c>
      <c r="E40" s="19" t="n">
        <v>26</v>
      </c>
      <c r="F40" s="19" t="n">
        <v>26</v>
      </c>
      <c r="G40" s="19" t="n">
        <v>25.17</v>
      </c>
      <c r="H40" s="19"/>
      <c r="I40" s="19"/>
    </row>
    <row r="41" customFormat="false" ht="12.8" hidden="false" customHeight="false" outlineLevel="0" collapsed="false">
      <c r="A41" s="0"/>
      <c r="C41" s="0"/>
      <c r="D41" s="0"/>
      <c r="E41" s="0"/>
      <c r="F41" s="0"/>
      <c r="G41" s="0"/>
      <c r="H41" s="0"/>
    </row>
    <row r="42" customFormat="false" ht="12.8" hidden="false" customHeight="false" outlineLevel="0" collapsed="false">
      <c r="A42" s="0"/>
      <c r="C42" s="0"/>
      <c r="D42" s="0"/>
      <c r="E42" s="0"/>
      <c r="F42" s="0"/>
      <c r="G42" s="0"/>
      <c r="H42" s="0"/>
    </row>
    <row r="43" s="7" customFormat="true" ht="12.8" hidden="false" customHeight="false" outlineLevel="0" collapsed="false">
      <c r="A43" s="8"/>
      <c r="B43" s="2"/>
      <c r="C43" s="8"/>
      <c r="D43" s="8"/>
      <c r="E43" s="8"/>
      <c r="F43" s="8"/>
      <c r="G43" s="8"/>
      <c r="H43" s="8"/>
    </row>
    <row r="44" s="7" customFormat="true" ht="12.8" hidden="false" customHeight="false" outlineLevel="0" collapsed="false">
      <c r="A44" s="8"/>
      <c r="B44" s="2"/>
      <c r="C44" s="8"/>
      <c r="D44" s="8"/>
      <c r="E44" s="8"/>
      <c r="F44" s="8"/>
      <c r="G44" s="8"/>
      <c r="H44" s="8"/>
    </row>
    <row r="45" s="7" customFormat="true" ht="12.8" hidden="false" customHeight="false" outlineLevel="0" collapsed="false">
      <c r="A45" s="8"/>
      <c r="B45" s="2"/>
      <c r="C45" s="8"/>
      <c r="D45" s="8"/>
      <c r="E45" s="8"/>
      <c r="F45" s="8"/>
      <c r="G45" s="8"/>
      <c r="H45" s="8"/>
    </row>
    <row r="46" s="7" customFormat="true" ht="12.8" hidden="false" customHeight="false" outlineLevel="0" collapsed="false">
      <c r="A46" s="8"/>
      <c r="B46" s="2"/>
      <c r="C46" s="8"/>
      <c r="D46" s="8"/>
      <c r="E46" s="8"/>
      <c r="F46" s="8"/>
      <c r="G46" s="8"/>
      <c r="H46" s="8"/>
    </row>
    <row r="47" s="7" customFormat="true" ht="12.8" hidden="false" customHeight="false" outlineLevel="0" collapsed="false">
      <c r="A47" s="8"/>
      <c r="B47" s="2"/>
      <c r="C47" s="8"/>
      <c r="D47" s="8"/>
      <c r="E47" s="8"/>
      <c r="F47" s="8"/>
      <c r="G47" s="8"/>
      <c r="H47" s="8"/>
    </row>
    <row r="48" s="7" customFormat="true" ht="12.8" hidden="false" customHeight="false" outlineLevel="0" collapsed="false">
      <c r="A48" s="8"/>
      <c r="B48" s="2"/>
      <c r="C48" s="8"/>
      <c r="D48" s="8"/>
      <c r="E48" s="8"/>
      <c r="F48" s="8"/>
      <c r="G48" s="8"/>
      <c r="H48" s="8"/>
    </row>
    <row r="49" s="7" customFormat="true" ht="12.8" hidden="false" customHeight="false" outlineLevel="0" collapsed="false">
      <c r="A49" s="8"/>
      <c r="B49" s="2"/>
      <c r="C49" s="8"/>
      <c r="D49" s="8"/>
      <c r="E49" s="8"/>
      <c r="F49" s="8"/>
      <c r="G49" s="8"/>
      <c r="H49" s="8"/>
    </row>
    <row r="50" s="7" customFormat="true" ht="12.8" hidden="false" customHeight="false" outlineLevel="0" collapsed="false">
      <c r="A50" s="8"/>
      <c r="B50" s="2"/>
      <c r="C50" s="8"/>
      <c r="D50" s="8"/>
      <c r="E50" s="8"/>
      <c r="F50" s="8"/>
      <c r="G50" s="8"/>
      <c r="H50" s="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72265625" defaultRowHeight="12.8" zeroHeight="false" outlineLevelRow="0" outlineLevelCol="0"/>
  <cols>
    <col collapsed="false" customWidth="true" hidden="false" outlineLevel="0" max="1" min="1" style="21" width="39.2"/>
  </cols>
  <sheetData>
    <row r="1" customFormat="false" ht="12.8" hidden="false" customHeight="false" outlineLevel="0" collapsed="false">
      <c r="A1" s="22" t="s">
        <v>41</v>
      </c>
      <c r="B1" s="23" t="n">
        <f aca="false">Data!$C$13/Data!$C$12</f>
        <v>0.0441723003726135</v>
      </c>
    </row>
    <row r="2" s="23" customFormat="true" ht="12.8" hidden="false" customHeight="false" outlineLevel="0" collapsed="false">
      <c r="A2" s="22" t="s">
        <v>42</v>
      </c>
      <c r="B2" s="23" t="n">
        <f aca="false">1-B1</f>
        <v>0.955827699627386</v>
      </c>
    </row>
    <row r="3" s="23" customFormat="true" ht="12.8" hidden="false" customHeight="false" outlineLevel="0" collapsed="false">
      <c r="A3" s="21" t="s">
        <v>7</v>
      </c>
      <c r="B3" s="23" t="n">
        <f aca="false">Data!$C$18</f>
        <v>0.235521062312144</v>
      </c>
    </row>
    <row r="4" customFormat="false" ht="12.8" hidden="false" customHeight="false" outlineLevel="0" collapsed="false">
      <c r="A4" s="21" t="s">
        <v>43</v>
      </c>
      <c r="B4" s="23" t="n">
        <v>0.056</v>
      </c>
    </row>
    <row r="5" customFormat="false" ht="12.8" hidden="false" customHeight="false" outlineLevel="0" collapsed="false">
      <c r="A5" s="21" t="s">
        <v>44</v>
      </c>
      <c r="B5" s="23" t="n">
        <v>0.198</v>
      </c>
    </row>
    <row r="6" customFormat="false" ht="12.8" hidden="false" customHeight="false" outlineLevel="0" collapsed="false">
      <c r="A6" s="24" t="s">
        <v>45</v>
      </c>
      <c r="B6" s="25" t="n">
        <v>0.57</v>
      </c>
    </row>
    <row r="7" customFormat="false" ht="12.8" hidden="false" customHeight="false" outlineLevel="0" collapsed="false">
      <c r="A7" s="21" t="s">
        <v>46</v>
      </c>
      <c r="B7" s="23" t="n">
        <f aca="false">B4+B6*(B5-B4)</f>
        <v>0.13694</v>
      </c>
    </row>
    <row r="8" customFormat="false" ht="12.8" hidden="false" customHeight="false" outlineLevel="0" collapsed="false">
      <c r="A8" s="21" t="s">
        <v>47</v>
      </c>
      <c r="B8" s="23" t="n">
        <v>0.1323</v>
      </c>
      <c r="C8" s="0" t="s">
        <v>48</v>
      </c>
    </row>
    <row r="9" customFormat="false" ht="12.8" hidden="false" customHeight="false" outlineLevel="0" collapsed="false">
      <c r="A9" s="21" t="s">
        <v>49</v>
      </c>
      <c r="B9" s="23" t="n">
        <f aca="false">B1*B7+B2*B8*(1-B3)</f>
        <v>0.102721906920291</v>
      </c>
    </row>
    <row r="11" customFormat="false" ht="12.8" hidden="false" customHeight="false" outlineLevel="0" collapsed="false">
      <c r="A11" s="26" t="s">
        <v>50</v>
      </c>
      <c r="B11" s="27" t="n">
        <v>5</v>
      </c>
      <c r="C11" s="27" t="n">
        <v>4</v>
      </c>
      <c r="D11" s="27" t="n">
        <v>3</v>
      </c>
      <c r="E11" s="27" t="n">
        <v>2</v>
      </c>
      <c r="F11" s="27" t="n">
        <v>1</v>
      </c>
    </row>
    <row r="12" customFormat="false" ht="12.8" hidden="false" customHeight="false" outlineLevel="0" collapsed="false">
      <c r="A12" s="28" t="s">
        <v>2</v>
      </c>
      <c r="B12" s="23" t="e">
        <f aca="false">(Data!$C$2/Data!$H$2)^(1/$B$11) - 1</f>
        <v>#DIV/0!</v>
      </c>
      <c r="C12" s="23" t="n">
        <f aca="false">(Data!$C$2/Data!$G$2)^(1/$C$11) - 1</f>
        <v>0.0278051168683862</v>
      </c>
      <c r="D12" s="23" t="n">
        <f aca="false">(Data!$C$2/Data!$F$2)^(1/$D$11) - 1</f>
        <v>0.0300097988121495</v>
      </c>
      <c r="E12" s="23" t="n">
        <f aca="false">(Data!$C$2/Data!$E$2)^(1/$E$11) - 1</f>
        <v>0.0367966710255467</v>
      </c>
      <c r="F12" s="23" t="n">
        <f aca="false">(Data!$C$2/Data!$D$2)^(1/$F$11) - 1</f>
        <v>0.054577753363487</v>
      </c>
    </row>
    <row r="13" customFormat="false" ht="12.8" hidden="false" customHeight="false" outlineLevel="0" collapsed="false">
      <c r="A13" s="28" t="s">
        <v>4</v>
      </c>
      <c r="B13" s="23" t="e">
        <f aca="false">(Data!$C$4/Data!$H$4)^(1/$B$11) - 1</f>
        <v>#DIV/0!</v>
      </c>
      <c r="C13" s="23" t="n">
        <f aca="false">(Data!$C$4/Data!$G$4)^(1/$C$11) - 1</f>
        <v>0.0307804739352351</v>
      </c>
      <c r="D13" s="23" t="n">
        <f aca="false">(Data!$C$4/Data!$F$4)^(1/$D$11) - 1</f>
        <v>0.0456623584182487</v>
      </c>
      <c r="E13" s="23" t="n">
        <f aca="false">(Data!$C$4/Data!$E$4)^(1/$E$11) - 1</f>
        <v>0.042448635655578</v>
      </c>
      <c r="F13" s="23" t="n">
        <f aca="false">(Data!$C$4/Data!$D$4)^(1/$F$11) - 1</f>
        <v>0.0492015080272801</v>
      </c>
    </row>
    <row r="14" customFormat="false" ht="12.8" hidden="false" customHeight="false" outlineLevel="0" collapsed="false">
      <c r="A14" s="28" t="s">
        <v>33</v>
      </c>
      <c r="B14" s="23" t="e">
        <f aca="false">(Data!$C$33/Data!$H$33)^(1/$B$11) - 1</f>
        <v>#DIV/0!</v>
      </c>
      <c r="C14" s="23" t="n">
        <f aca="false">(Data!$C$33/Data!$G$33)^(1/$C$11) - 1</f>
        <v>0.0581388968865297</v>
      </c>
      <c r="D14" s="23" t="n">
        <f aca="false">(Data!$C$33/Data!$F$33)^(1/$D$11) - 1</f>
        <v>0.0896375963591218</v>
      </c>
      <c r="E14" s="23" t="n">
        <f aca="false">(Data!$C$33/Data!$E$33)^(1/$E$11) - 1</f>
        <v>0.120878621412565</v>
      </c>
      <c r="F14" s="23" t="n">
        <f aca="false">(Data!$C$33/Data!$D$33)^(1/$F$11) - 1</f>
        <v>0.0352372793281182</v>
      </c>
    </row>
    <row r="15" customFormat="false" ht="12.8" hidden="false" customHeight="false" outlineLevel="0" collapsed="false">
      <c r="A15" s="28" t="s">
        <v>51</v>
      </c>
      <c r="B15" s="23" t="e">
        <f aca="false">((Data!$C$19/Data!$C$2)/(Data!$H$19/Data!$H$2))^(1/$B$11) - 1</f>
        <v>#DIV/0!</v>
      </c>
      <c r="C15" s="23" t="n">
        <f aca="false">((Data!$C$19/Data!$C$2)/(Data!$G$19/Data!$G$2))^(1/$C$11) - 1</f>
        <v>0.0382559849421569</v>
      </c>
      <c r="D15" s="23" t="n">
        <f aca="false">((Data!$C$19/Data!$C$2)/(Data!$F$19/Data!$F$2))^(1/$D$11) - 1</f>
        <v>0.0553725709024044</v>
      </c>
      <c r="E15" s="23" t="n">
        <f aca="false">((Data!$C$19/Data!$C$2)/(Data!$E$19/Data!$E$2))^(1/$E$11) - 1</f>
        <v>0.115800982657183</v>
      </c>
      <c r="F15" s="23" t="n">
        <f aca="false">((Data!$C$19/Data!$C$2)/(Data!$D$19/Data!$D$2))^(1/$F$11) - 1</f>
        <v>-0.0303562474004536</v>
      </c>
    </row>
    <row r="16" customFormat="false" ht="12.8" hidden="false" customHeight="false" outlineLevel="0" collapsed="false">
      <c r="A16" s="28" t="s">
        <v>52</v>
      </c>
      <c r="B16" s="23" t="e">
        <f aca="false">((Data!$C$20/Data!$C$2)/(Data!$H$20/Data!$H$2))^(1/$B$11) - 1</f>
        <v>#DIV/0!</v>
      </c>
      <c r="C16" s="23" t="n">
        <f aca="false">((Data!$C$20/Data!$C$2)/(Data!$G$20/Data!$G$2))^(1/$C$11) - 1</f>
        <v>-0.038988297148163</v>
      </c>
      <c r="D16" s="23" t="n">
        <f aca="false">((Data!$C$20/Data!$C$2)/(Data!$F$20/Data!$F$2))^(1/$D$11) - 1</f>
        <v>0.00065659205452917</v>
      </c>
      <c r="E16" s="23" t="n">
        <f aca="false">((Data!$C$20/Data!$C$2)/(Data!$E$20/Data!$E$2))^(1/$E$11) - 1</f>
        <v>0.0552055983671624</v>
      </c>
      <c r="F16" s="23" t="n">
        <f aca="false">((Data!$C$20/Data!$C$2)/(Data!$D$20/Data!$D$2))^(1/$F$11) - 1</f>
        <v>0.00305921749762628</v>
      </c>
    </row>
    <row r="17" customFormat="false" ht="12.8" hidden="false" customHeight="false" outlineLevel="0" collapsed="false">
      <c r="A17" s="28" t="s">
        <v>53</v>
      </c>
      <c r="B17" s="23" t="e">
        <f aca="false">((Data!$C$21/Data!$C$2)/(Data!$H$21/Data!$H$2))^(1/$B$11) - 1</f>
        <v>#DIV/0!</v>
      </c>
      <c r="C17" s="23" t="e">
        <f aca="false">((Data!$C$21/Data!$C$2)/(Data!$G$21/Data!$G$2))^(1/$C$11) - 1</f>
        <v>#NUM!</v>
      </c>
      <c r="D17" s="23" t="n">
        <f aca="false">((Data!$C$21/Data!$C$2)/(Data!$F$21/Data!$F$2))^(1/$D$11) - 1</f>
        <v>0.567626511791215</v>
      </c>
      <c r="E17" s="23" t="n">
        <f aca="false">((Data!$C$21/Data!$C$2)/(Data!$E$21/Data!$E$2))^(1/$E$11) - 1</f>
        <v>2.66801891985731</v>
      </c>
      <c r="F17" s="23" t="n">
        <f aca="false">((Data!$C$21/Data!$C$2)/(Data!$D$21/Data!$D$2))^(1/$F$11) - 1</f>
        <v>4.49820212497678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8.38"/>
    <col collapsed="false" customWidth="true" hidden="false" outlineLevel="0" max="2" min="2" style="0" width="17.86"/>
    <col collapsed="false" customWidth="true" hidden="false" outlineLevel="0" max="3" min="3" style="0" width="23.71"/>
    <col collapsed="false" customWidth="true" hidden="false" outlineLevel="0" max="8" min="4" style="0" width="17.86"/>
    <col collapsed="false" customWidth="true" hidden="false" outlineLevel="0" max="11" min="9" style="0" width="21.22"/>
  </cols>
  <sheetData>
    <row r="1" customFormat="false" ht="12.8" hidden="false" customHeight="false" outlineLevel="0" collapsed="false">
      <c r="A1" s="0" t="s">
        <v>0</v>
      </c>
      <c r="B1" s="0" t="n">
        <v>2019</v>
      </c>
      <c r="C1" s="0" t="n">
        <f aca="false">B1+1</f>
        <v>2020</v>
      </c>
      <c r="D1" s="0" t="n">
        <f aca="false">C1+1</f>
        <v>2021</v>
      </c>
      <c r="E1" s="0" t="n">
        <f aca="false">D1+1</f>
        <v>2022</v>
      </c>
      <c r="F1" s="0" t="n">
        <f aca="false">E1+1</f>
        <v>2023</v>
      </c>
      <c r="G1" s="0" t="n">
        <f aca="false">F1+1</f>
        <v>2024</v>
      </c>
      <c r="H1" s="0" t="s">
        <v>54</v>
      </c>
    </row>
    <row r="2" customFormat="false" ht="12.8" hidden="false" customHeight="false" outlineLevel="0" collapsed="false">
      <c r="A2" s="0" t="s">
        <v>2</v>
      </c>
      <c r="B2" s="7" t="n">
        <f aca="false">Data!$C$2</f>
        <v>476106000000</v>
      </c>
      <c r="C2" s="7" t="e">
        <f aca="false">B2*(1+MEDIAN(AnalysisVals!$B$12:$F$12))</f>
        <v>#DIV/0!</v>
      </c>
      <c r="D2" s="7" t="e">
        <f aca="false">C2*(1+MEDIAN(AnalysisVals!$B$12:$F$12))</f>
        <v>#DIV/0!</v>
      </c>
      <c r="E2" s="7" t="e">
        <f aca="false">D2*(1+MEDIAN(AnalysisVals!$B$12:$F$12))</f>
        <v>#DIV/0!</v>
      </c>
      <c r="F2" s="7" t="e">
        <f aca="false">E2*(1+MEDIAN(AnalysisVals!$B$12:$F$12))</f>
        <v>#DIV/0!</v>
      </c>
      <c r="G2" s="7" t="e">
        <f aca="false">F2*(1+MEDIAN(AnalysisVals!$B$12:$F$12))</f>
        <v>#DIV/0!</v>
      </c>
      <c r="H2" s="7" t="e">
        <f aca="false">G2*(1+MIN(AnalysisVals!$B$14:$D$14))</f>
        <v>#DIV/0!</v>
      </c>
    </row>
    <row r="3" customFormat="false" ht="12.8" hidden="false" customHeight="false" outlineLevel="0" collapsed="false">
      <c r="A3" s="0" t="s">
        <v>4</v>
      </c>
      <c r="B3" s="7" t="n">
        <f aca="false">Data!$C$4</f>
        <v>297222000000</v>
      </c>
      <c r="C3" s="7" t="e">
        <f aca="false">B3*(1+MEDIAN(AnalysisVals!$B$13:$F$13))</f>
        <v>#DIV/0!</v>
      </c>
      <c r="D3" s="7" t="e">
        <f aca="false">C3*(1+MEDIAN(AnalysisVals!$B$13:$F$13))</f>
        <v>#DIV/0!</v>
      </c>
      <c r="E3" s="7" t="e">
        <f aca="false">D3*(1+MEDIAN(AnalysisVals!$B$13:$F$13))</f>
        <v>#DIV/0!</v>
      </c>
      <c r="F3" s="7" t="e">
        <f aca="false">E3*(1+MEDIAN(AnalysisVals!$B$13:$F$13))</f>
        <v>#DIV/0!</v>
      </c>
      <c r="G3" s="7" t="e">
        <f aca="false">F3*(1+MEDIAN(AnalysisVals!$B$13:$F$13))</f>
        <v>#DIV/0!</v>
      </c>
      <c r="H3" s="7" t="e">
        <f aca="false">G3*(1+MIN(AnalysisVals!$B$15:$D$15))</f>
        <v>#DIV/0!</v>
      </c>
    </row>
    <row r="4" customFormat="false" ht="12.8" hidden="false" customHeight="false" outlineLevel="0" collapsed="false">
      <c r="A4" s="0" t="s">
        <v>33</v>
      </c>
      <c r="B4" s="7" t="n">
        <f aca="false">Data!$C$33</f>
        <v>221136000000</v>
      </c>
      <c r="C4" s="7" t="e">
        <f aca="false">B4*(1+MEDIAN(AnalysisVals!$B$14:$F$14))</f>
        <v>#DIV/0!</v>
      </c>
      <c r="D4" s="7" t="e">
        <f aca="false">C4*(1+MEDIAN(AnalysisVals!$B$14:$F$14))</f>
        <v>#DIV/0!</v>
      </c>
      <c r="E4" s="7" t="e">
        <f aca="false">D4*(1+MEDIAN(AnalysisVals!$B$14:$F$14))</f>
        <v>#DIV/0!</v>
      </c>
      <c r="F4" s="7" t="e">
        <f aca="false">E4*(1+MEDIAN(AnalysisVals!$B$14:$F$14))</f>
        <v>#DIV/0!</v>
      </c>
      <c r="G4" s="7" t="e">
        <f aca="false">F4*(1+MEDIAN(AnalysisVals!$B$14:$F$14))</f>
        <v>#DIV/0!</v>
      </c>
      <c r="H4" s="7" t="e">
        <f aca="false">G4*(1+MIN(AnalysisVals!$B$16:$D$16))</f>
        <v>#DIV/0!</v>
      </c>
    </row>
    <row r="5" customFormat="false" ht="12.8" hidden="false" customHeight="false" outlineLevel="0" collapsed="false">
      <c r="A5" s="0" t="s">
        <v>19</v>
      </c>
      <c r="B5" s="7" t="n">
        <f aca="false">Data!$C$19</f>
        <v>106948000000</v>
      </c>
      <c r="C5" s="7" t="e">
        <f aca="false">C2*(B$5/B$2)*(1+MEDIAN(AnalysisVals!$B$15:$F$15))</f>
        <v>#DIV/0!</v>
      </c>
      <c r="D5" s="7" t="e">
        <f aca="false">D2*(C$5/C$2)*(1+MEDIAN(AnalysisVals!$B$15:$F$15))</f>
        <v>#DIV/0!</v>
      </c>
      <c r="E5" s="7" t="e">
        <f aca="false">E2*(D$5/D$2)*(1+MEDIAN(AnalysisVals!$B$15:$F$15))</f>
        <v>#DIV/0!</v>
      </c>
      <c r="F5" s="7" t="e">
        <f aca="false">F2*(E$5/E$2)*(1+MEDIAN(AnalysisVals!$B$15:$F$15))</f>
        <v>#DIV/0!</v>
      </c>
      <c r="G5" s="7" t="e">
        <f aca="false">G2*(F$5/F$2)*(1+MEDIAN(AnalysisVals!$B$15:$F$15))</f>
        <v>#DIV/0!</v>
      </c>
      <c r="H5" s="7" t="e">
        <f aca="false">H2*(G$5/G$2)*(1+MAX(AnalysisVals!$B$17:$D$17))</f>
        <v>#DIV/0!</v>
      </c>
    </row>
    <row r="6" customFormat="false" ht="12.8" hidden="false" customHeight="false" outlineLevel="0" collapsed="false">
      <c r="A6" s="0" t="s">
        <v>20</v>
      </c>
      <c r="B6" s="7" t="n">
        <f aca="false">Data!$C$20</f>
        <v>91481000000</v>
      </c>
      <c r="C6" s="7" t="e">
        <f aca="false">C$2*(B$6/B$2)*(1+MEDIAN(AnalysisVals!$B$16:$F$16))</f>
        <v>#DIV/0!</v>
      </c>
      <c r="D6" s="7" t="e">
        <f aca="false">D$2*(C$6/C$2)*(1+MEDIAN(AnalysisVals!$B$16:$F$16))</f>
        <v>#DIV/0!</v>
      </c>
      <c r="E6" s="7" t="e">
        <f aca="false">E$2*(D$6/D$2)*(1+MEDIAN(AnalysisVals!$B$16:$F$16))</f>
        <v>#DIV/0!</v>
      </c>
      <c r="F6" s="7" t="e">
        <f aca="false">F$2*(E$6/E$2)*(1+MEDIAN(AnalysisVals!$B$16:$F$16))</f>
        <v>#DIV/0!</v>
      </c>
      <c r="G6" s="7" t="e">
        <f aca="false">G$2*(F$6/F$2)*(1+MEDIAN(AnalysisVals!$B$16:$F$16))</f>
        <v>#DIV/0!</v>
      </c>
      <c r="H6" s="7" t="e">
        <f aca="false">H$2*(G$6/G$2)*(1+MIN(AnalysisVals!$B$18:$D$18))</f>
        <v>#DIV/0!</v>
      </c>
    </row>
    <row r="7" customFormat="false" ht="12.8" hidden="false" customHeight="false" outlineLevel="0" collapsed="false">
      <c r="A7" s="0" t="s">
        <v>21</v>
      </c>
      <c r="B7" s="7" t="n">
        <f aca="false">Data!$C$21</f>
        <v>-153869000000</v>
      </c>
      <c r="C7" s="7" t="e">
        <f aca="false">C$2*(B$7/B$2)*(1+ MEDIAN(AnalysisVals!$B$17:$F$17))</f>
        <v>#DIV/0!</v>
      </c>
      <c r="D7" s="7" t="e">
        <f aca="false">D$2*(C$7/C$2)*(1+ MEDIAN(AnalysisVals!$B$17:$F$17))</f>
        <v>#DIV/0!</v>
      </c>
      <c r="E7" s="7" t="e">
        <f aca="false">E$2*(D$7/D$2)*(1+ MEDIAN(AnalysisVals!$B$17:$F$17))</f>
        <v>#DIV/0!</v>
      </c>
      <c r="F7" s="7" t="e">
        <f aca="false">F$2*(E$7/E$2)*(1+ MEDIAN(AnalysisVals!$B$17:$F$17))</f>
        <v>#DIV/0!</v>
      </c>
      <c r="G7" s="7" t="e">
        <f aca="false">G$2*(F$7/F$2)*(1+ MEDIAN(AnalysisVals!$B$17:$F$17))</f>
        <v>#DIV/0!</v>
      </c>
      <c r="H7" s="7" t="e">
        <f aca="false">H$2*(G$7/G$2)*(1+ MAX(AnalysisVals!$B$19:$D$19))</f>
        <v>#DIV/0!</v>
      </c>
    </row>
    <row r="8" customFormat="false" ht="12.8" hidden="false" customHeight="false" outlineLevel="0" collapsed="false">
      <c r="A8" s="0" t="s">
        <v>55</v>
      </c>
      <c r="B8" s="7" t="n">
        <f aca="false">Data!$C$21-Data!$D$21</f>
        <v>-127332000000</v>
      </c>
      <c r="C8" s="7" t="e">
        <f aca="false">C7-B7</f>
        <v>#DIV/0!</v>
      </c>
      <c r="D8" s="7" t="e">
        <f aca="false">D7-C7</f>
        <v>#DIV/0!</v>
      </c>
      <c r="E8" s="7" t="e">
        <f aca="false">E7-D7</f>
        <v>#DIV/0!</v>
      </c>
      <c r="F8" s="7" t="e">
        <f aca="false">F7-E7</f>
        <v>#DIV/0!</v>
      </c>
      <c r="G8" s="7" t="e">
        <f aca="false">G7-F7</f>
        <v>#DIV/0!</v>
      </c>
      <c r="H8" s="7" t="e">
        <f aca="false">H7-G7</f>
        <v>#DIV/0!</v>
      </c>
    </row>
    <row r="9" customFormat="false" ht="12.8" hidden="false" customHeight="false" outlineLevel="0" collapsed="false">
      <c r="A9" s="0" t="s">
        <v>5</v>
      </c>
      <c r="B9" s="7" t="n">
        <f aca="false">B4-B5</f>
        <v>114188000000</v>
      </c>
      <c r="C9" s="7" t="e">
        <f aca="false">C4-C5</f>
        <v>#DIV/0!</v>
      </c>
      <c r="D9" s="7" t="e">
        <f aca="false">D4-D5</f>
        <v>#DIV/0!</v>
      </c>
      <c r="E9" s="7" t="e">
        <f aca="false">E4-E5</f>
        <v>#DIV/0!</v>
      </c>
      <c r="F9" s="7" t="e">
        <f aca="false">F4-F5</f>
        <v>#DIV/0!</v>
      </c>
      <c r="G9" s="7" t="e">
        <f aca="false">G4-G5</f>
        <v>#DIV/0!</v>
      </c>
      <c r="H9" s="7" t="e">
        <f aca="false">H4-H5</f>
        <v>#DIV/0!</v>
      </c>
    </row>
    <row r="10" customFormat="false" ht="12.8" hidden="false" customHeight="false" outlineLevel="0" collapsed="false">
      <c r="A10" s="0" t="s">
        <v>23</v>
      </c>
      <c r="B10" s="7" t="n">
        <f aca="false">B9*(1-AnalysisVals!$B$3)+B5-B8-B6</f>
        <v>230093320936.701</v>
      </c>
      <c r="C10" s="7" t="e">
        <f aca="false">(C9*(1-AnalysisVals!$B$3)+C5-C8-C6)/( (1+AnalysisVals!$B$9)^COUNT($C1:C1) )</f>
        <v>#DIV/0!</v>
      </c>
      <c r="D10" s="7" t="e">
        <f aca="false">(D9*(1-AnalysisVals!$B$3)+D5-D8-D6)/( (1+AnalysisVals!$B$9)^COUNT($C1:D1) )</f>
        <v>#DIV/0!</v>
      </c>
      <c r="E10" s="7" t="e">
        <f aca="false">(E9*(1-AnalysisVals!$B$3)+E5-E8-E6)/( (1+AnalysisVals!$B$9)^COUNT($C1:E1) )</f>
        <v>#DIV/0!</v>
      </c>
      <c r="F10" s="7" t="e">
        <f aca="false">(F9*(1-AnalysisVals!$B$3)+F5-F8-F6)/( (1+AnalysisVals!$B$9)^COUNT($C1:F1) )</f>
        <v>#DIV/0!</v>
      </c>
      <c r="G10" s="7" t="e">
        <f aca="false">(G9*(1-AnalysisVals!$B$3)+G5-G8-G6)/( (1+AnalysisVals!$B$9)^COUNT($C1:G1) )</f>
        <v>#DIV/0!</v>
      </c>
      <c r="H10" s="29" t="n">
        <f aca="false">Data!$C$33*Data!C34/( (1+AnalysisVals!$B$9)^COUNT(C1:G1) )</f>
        <v>556284662618.169</v>
      </c>
    </row>
    <row r="12" customFormat="false" ht="12.8" hidden="false" customHeight="false" outlineLevel="0" collapsed="false">
      <c r="B12" s="0" t="s">
        <v>56</v>
      </c>
      <c r="C12" s="0" t="s">
        <v>54</v>
      </c>
    </row>
    <row r="13" customFormat="false" ht="12.8" hidden="false" customHeight="false" outlineLevel="0" collapsed="false">
      <c r="A13" s="0" t="s">
        <v>57</v>
      </c>
      <c r="B13" s="23" t="n">
        <v>0.01</v>
      </c>
      <c r="C13" s="2" t="e">
        <f aca="false">H9*(1+B13)/(AnalysisVals!B9-B13)</f>
        <v>#DIV/0!</v>
      </c>
    </row>
    <row r="15" customFormat="false" ht="12.8" hidden="false" customHeight="false" outlineLevel="0" collapsed="false">
      <c r="A15" s="0" t="s">
        <v>58</v>
      </c>
      <c r="B15" s="7" t="e">
        <f aca="false">SUM(B10:H10)/Data!$D$24</f>
        <v>#DIV/0!</v>
      </c>
    </row>
    <row r="16" customFormat="false" ht="12.8" hidden="false" customHeight="false" outlineLevel="0" collapsed="false">
      <c r="A16" s="0" t="s">
        <v>25</v>
      </c>
      <c r="B16" s="7" t="n">
        <f aca="false">Data!B25</f>
        <v>338.45</v>
      </c>
    </row>
    <row r="19" customFormat="false" ht="12.8" hidden="false" customHeight="false" outlineLevel="0" collapsed="false"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2.8" hidden="false" customHeight="false" outlineLevel="0" collapsed="false"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2.8" hidden="false" customHeight="false" outlineLevel="0" collapsed="false"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2.8" hidden="false" customHeight="false" outlineLevel="0" collapsed="false"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2.8" hidden="false" customHeight="false" outlineLevel="0" collapsed="false"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2.8" hidden="false" customHeight="false" outlineLevel="0" collapsed="false"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2.8" hidden="false" customHeight="false" outlineLevel="0" collapsed="false"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2.8" hidden="false" customHeight="false" outlineLevel="0" collapsed="false"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2.8" hidden="false" customHeight="false" outlineLevel="0" collapsed="false">
      <c r="B27" s="7"/>
      <c r="C27" s="7"/>
      <c r="D27" s="7"/>
      <c r="E27" s="7"/>
      <c r="F27" s="7"/>
      <c r="G27" s="7"/>
      <c r="H27" s="7"/>
      <c r="I27" s="7"/>
      <c r="J27" s="7"/>
      <c r="K2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2021-01-08T23:47:59Z</dcterms:modified>
  <cp:revision>291</cp:revision>
  <dc:subject/>
  <dc:title/>
</cp:coreProperties>
</file>