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nalysisVals" sheetId="2" state="visible" r:id="rId3"/>
    <sheet name="DCF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<sst xmlns="http://schemas.openxmlformats.org/spreadsheetml/2006/main" count="51" uniqueCount="43">
  <si>
    <t xml:space="preserve">Год</t>
  </si>
  <si>
    <t xml:space="preserve">LTM</t>
  </si>
  <si>
    <t xml:space="preserve">Операционная прибыль</t>
  </si>
  <si>
    <t xml:space="preserve">Прибыль до налогообложения</t>
  </si>
  <si>
    <t xml:space="preserve">Налог на прибыль</t>
  </si>
  <si>
    <t xml:space="preserve">Чистая прибыль</t>
  </si>
  <si>
    <t xml:space="preserve">Активы</t>
  </si>
  <si>
    <t xml:space="preserve">Капитал</t>
  </si>
  <si>
    <t xml:space="preserve">Обязательства</t>
  </si>
  <si>
    <t xml:space="preserve">Налог на прибыль, %</t>
  </si>
  <si>
    <t xml:space="preserve">Capex</t>
  </si>
  <si>
    <t xml:space="preserve">Количество акций</t>
  </si>
  <si>
    <t xml:space="preserve">Цена акции</t>
  </si>
  <si>
    <t xml:space="preserve">Капитализация</t>
  </si>
  <si>
    <t xml:space="preserve">P/E</t>
  </si>
  <si>
    <t xml:space="preserve">P/BV</t>
  </si>
  <si>
    <t xml:space="preserve">ROA</t>
  </si>
  <si>
    <t xml:space="preserve">ROE</t>
  </si>
  <si>
    <t xml:space="preserve">Дивиденды на акцию</t>
  </si>
  <si>
    <t xml:space="preserve">Доля собственного капитала</t>
  </si>
  <si>
    <t xml:space="preserve">Доля заёмного капитала</t>
  </si>
  <si>
    <t xml:space="preserve">Безрисковая ставка, ОФЗ на 10 лет (Rf)</t>
  </si>
  <si>
    <t xml:space="preserve">Средняя доходность фондового рынка (Rm)</t>
  </si>
  <si>
    <t xml:space="preserve">β</t>
  </si>
  <si>
    <t xml:space="preserve">Стоимость акционерного капитала (Re)</t>
  </si>
  <si>
    <t xml:space="preserve">Стоимость долгового капитала (Rd)</t>
  </si>
  <si>
    <t xml:space="preserve">WACC</t>
  </si>
  <si>
    <t xml:space="preserve">CAGR \ лет</t>
  </si>
  <si>
    <t xml:space="preserve">Выручка</t>
  </si>
  <si>
    <t xml:space="preserve">Валовая прибыль</t>
  </si>
  <si>
    <t xml:space="preserve">EBITDA</t>
  </si>
  <si>
    <t xml:space="preserve">Амортизация/Выручка</t>
  </si>
  <si>
    <t xml:space="preserve">Capex/Выручка</t>
  </si>
  <si>
    <t xml:space="preserve">Оборотный капитал/Выручка</t>
  </si>
  <si>
    <t xml:space="preserve">TV</t>
  </si>
  <si>
    <t xml:space="preserve">Амортизация</t>
  </si>
  <si>
    <t xml:space="preserve">Оборотный капитал</t>
  </si>
  <si>
    <t xml:space="preserve">Изменение оборотного капитала</t>
  </si>
  <si>
    <t xml:space="preserve">FCF</t>
  </si>
  <si>
    <t xml:space="preserve">g</t>
  </si>
  <si>
    <t xml:space="preserve">Формула Гордона</t>
  </si>
  <si>
    <t xml:space="preserve">Справедливая цена акции</t>
  </si>
  <si>
    <t xml:space="preserve">Цена акции, 26.08.20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</si>
</sst>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\ [$₽-419];[RED]\-#,##0\ [$₽-419]"/>
    <numFmt numFmtId="167" formatCode="0.00%"/>
    <numFmt numFmtId="168" formatCode="#,##0.00"/>
    <numFmt numFmtId="169" formatCode="#,##0.00\ [$₽-419];[RED]\-#,##0.00\ [$₽-419]"/>
    <numFmt numFmtId="170" formatCode="#,##0.00\ [$₽-419];[RED]\-#,##0.00\ [$₽-419]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Mangal"/>
      <family val="2"/>
      <charset val="204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FFB66C"/>
        <bgColor rgb="FFFF99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оловок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0" activeCellId="0" sqref="B10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33.57"/>
    <col collapsed="false" customWidth="true" hidden="false" outlineLevel="0" max="8" min="2" style="2" width="19.71"/>
  </cols>
  <sheetData>
    <row r="1" s="6" customFormat="true" ht="12.8" hidden="false" customHeight="false" outlineLevel="0" collapsed="false">
      <c r="A1" s="3" t="s">
        <v>0</v>
      </c>
      <c r="B1" s="4" t="s">
        <v>1</v>
      </c>
      <c r="C1" s="5" t="n">
        <v>2019</v>
      </c>
      <c r="D1" s="5" t="n">
        <v>2018</v>
      </c>
      <c r="E1" s="5" t="n">
        <v>2017</v>
      </c>
      <c r="F1" s="5" t="n">
        <v>2016</v>
      </c>
      <c r="G1" s="5" t="n">
        <v>2015</v>
      </c>
      <c r="H1" s="5" t="n">
        <v>2014</v>
      </c>
      <c r="I1" s="5" t="n">
        <v>2013</v>
      </c>
    </row>
    <row r="2" s="8" customFormat="true" ht="12.8" hidden="false" customHeight="false" outlineLevel="0" collapsed="false">
      <c r="A2" s="1" t="s">
        <v>2</v>
      </c>
      <c r="B2" s="7" t="n">
        <f aca="false">1217000000000+C2-1363400000000</f>
        <v>1716900000000</v>
      </c>
      <c r="C2" s="7" t="n">
        <v>1863300000000</v>
      </c>
      <c r="D2" s="7" t="n">
        <v>1703800000000</v>
      </c>
      <c r="E2" s="7" t="n">
        <v>1616000000000</v>
      </c>
      <c r="F2" s="7" t="n">
        <v>1355100000000</v>
      </c>
      <c r="G2" s="7" t="n">
        <v>954600000000</v>
      </c>
      <c r="H2" s="7" t="n">
        <v>939300000000</v>
      </c>
    </row>
    <row r="3" s="8" customFormat="true" ht="12.8" hidden="false" customHeight="false" outlineLevel="0" collapsed="false">
      <c r="A3" s="1" t="s">
        <v>3</v>
      </c>
      <c r="B3" s="7" t="n">
        <f aca="false">699900000000+C3-876800000000</f>
        <v>961800000000</v>
      </c>
      <c r="C3" s="7" t="n">
        <v>1138700000000</v>
      </c>
      <c r="D3" s="7" t="n">
        <v>1046200000000</v>
      </c>
      <c r="E3" s="7" t="n">
        <v>943200000000</v>
      </c>
      <c r="F3" s="7" t="n">
        <v>677500000000</v>
      </c>
      <c r="G3" s="7" t="n">
        <v>331200000000</v>
      </c>
      <c r="H3" s="7" t="n">
        <v>374200000000</v>
      </c>
    </row>
    <row r="4" s="8" customFormat="true" ht="12.8" hidden="false" customHeight="false" outlineLevel="0" collapsed="false">
      <c r="A4" s="1" t="s">
        <v>4</v>
      </c>
      <c r="B4" s="7" t="n">
        <f aca="false">147100000000+C4-174000000000</f>
        <v>197000000000</v>
      </c>
      <c r="C4" s="7" t="n">
        <v>223900000000</v>
      </c>
      <c r="D4" s="7" t="n">
        <v>215000000000</v>
      </c>
      <c r="E4" s="7" t="n">
        <v>194500000000</v>
      </c>
      <c r="F4" s="7" t="n">
        <v>135600000000</v>
      </c>
      <c r="G4" s="7" t="n">
        <v>108300000000</v>
      </c>
      <c r="H4" s="7" t="n">
        <v>83900000000</v>
      </c>
    </row>
    <row r="5" s="8" customFormat="true" ht="12.8" hidden="false" customHeight="false" outlineLevel="0" collapsed="false">
      <c r="A5" s="9" t="s">
        <v>5</v>
      </c>
      <c r="B5" s="7" t="n">
        <f aca="false">644200000000+C5-758700000000</f>
        <v>730500000000</v>
      </c>
      <c r="C5" s="7" t="n">
        <v>845000000000</v>
      </c>
      <c r="D5" s="7" t="n">
        <v>831700000000</v>
      </c>
      <c r="E5" s="7" t="n">
        <v>750500000000</v>
      </c>
      <c r="F5" s="7" t="n">
        <v>492400000000</v>
      </c>
      <c r="G5" s="7" t="n">
        <v>365800000000</v>
      </c>
      <c r="H5" s="7" t="n">
        <v>214600000000</v>
      </c>
    </row>
    <row r="6" s="8" customFormat="true" ht="12.8" hidden="false" customHeight="false" outlineLevel="0" collapsed="false">
      <c r="A6" s="9" t="s">
        <v>6</v>
      </c>
      <c r="B6" s="7" t="n">
        <v>35123800000000</v>
      </c>
      <c r="C6" s="7" t="n">
        <v>29958900000000</v>
      </c>
      <c r="D6" s="7" t="n">
        <v>31197500000000</v>
      </c>
      <c r="E6" s="7" t="n">
        <v>27112200000000</v>
      </c>
      <c r="F6" s="7" t="n">
        <v>25368500000000</v>
      </c>
      <c r="G6" s="7" t="n">
        <v>27334700000000</v>
      </c>
      <c r="H6" s="7" t="n">
        <v>25200800000000</v>
      </c>
    </row>
    <row r="7" s="8" customFormat="true" ht="12.8" hidden="false" customHeight="false" outlineLevel="0" collapsed="false">
      <c r="A7" s="1" t="s">
        <v>7</v>
      </c>
      <c r="B7" s="7" t="n">
        <f aca="false">B6-B8</f>
        <v>4849000000000</v>
      </c>
      <c r="C7" s="7" t="n">
        <f aca="false">C6-C8</f>
        <v>4486700000000</v>
      </c>
      <c r="D7" s="7" t="n">
        <f aca="false">D6-D8</f>
        <v>3855800000000</v>
      </c>
      <c r="E7" s="7" t="n">
        <f aca="false">E6-E8</f>
        <v>3436000000000</v>
      </c>
      <c r="F7" s="7" t="n">
        <f aca="false">F6-F8</f>
        <v>2821600000000</v>
      </c>
      <c r="G7" s="7" t="n">
        <f aca="false">G6-G8</f>
        <v>2375000000000</v>
      </c>
      <c r="H7" s="7" t="n">
        <f aca="false">H6-H8</f>
        <v>2020100000000</v>
      </c>
    </row>
    <row r="8" s="8" customFormat="true" ht="12.8" hidden="false" customHeight="false" outlineLevel="0" collapsed="false">
      <c r="A8" s="9" t="s">
        <v>8</v>
      </c>
      <c r="B8" s="7" t="n">
        <v>30274800000000</v>
      </c>
      <c r="C8" s="7" t="n">
        <v>25472200000000</v>
      </c>
      <c r="D8" s="7" t="n">
        <v>27341700000000</v>
      </c>
      <c r="E8" s="7" t="n">
        <v>23676200000000</v>
      </c>
      <c r="F8" s="7" t="n">
        <v>22546900000000</v>
      </c>
      <c r="G8" s="7" t="n">
        <v>24959700000000</v>
      </c>
      <c r="H8" s="7" t="n">
        <v>23180700000000</v>
      </c>
    </row>
    <row r="9" s="12" customFormat="true" ht="12.8" hidden="false" customHeight="false" outlineLevel="0" collapsed="false">
      <c r="A9" s="10" t="s">
        <v>9</v>
      </c>
      <c r="B9" s="11" t="n">
        <f aca="false">B4/B3</f>
        <v>0.20482428779372</v>
      </c>
      <c r="C9" s="11" t="n">
        <f aca="false">C4/C3</f>
        <v>0.19662773338017</v>
      </c>
      <c r="D9" s="11" t="n">
        <f aca="false">D4/D3</f>
        <v>0.205505639457083</v>
      </c>
      <c r="E9" s="11" t="n">
        <f aca="false">E4/E3</f>
        <v>0.206212892281595</v>
      </c>
      <c r="F9" s="11" t="n">
        <f aca="false">F4/F3</f>
        <v>0.200147601476015</v>
      </c>
      <c r="G9" s="11" t="n">
        <f aca="false">G4/G3</f>
        <v>0.326992753623188</v>
      </c>
      <c r="H9" s="11" t="n">
        <f aca="false">H4/H3</f>
        <v>0.22421165152325</v>
      </c>
    </row>
    <row r="10" s="8" customFormat="true" ht="12.8" hidden="false" customHeight="false" outlineLevel="0" collapsed="false">
      <c r="A10" s="1" t="s">
        <v>10</v>
      </c>
      <c r="B10" s="7" t="n">
        <v>116000000000</v>
      </c>
      <c r="C10" s="7" t="n">
        <v>205800000000</v>
      </c>
      <c r="D10" s="7" t="n">
        <v>177900000000</v>
      </c>
      <c r="E10" s="7" t="n">
        <v>116300000000</v>
      </c>
      <c r="F10" s="7" t="n">
        <v>112100000000</v>
      </c>
      <c r="G10" s="7" t="n">
        <v>74300000000</v>
      </c>
      <c r="H10" s="7" t="n">
        <v>127000000000</v>
      </c>
    </row>
    <row r="11" s="8" customFormat="true" ht="12.8" hidden="false" customHeight="false" outlineLevel="0" collapsed="false">
      <c r="A11" s="1" t="s">
        <v>11</v>
      </c>
      <c r="B11" s="7" t="n">
        <v>21500000000</v>
      </c>
      <c r="C11" s="7" t="n">
        <v>21500000000</v>
      </c>
      <c r="D11" s="7" t="n">
        <v>21500000000</v>
      </c>
      <c r="E11" s="7" t="n">
        <v>21500000000</v>
      </c>
      <c r="F11" s="7" t="n">
        <v>21500000000</v>
      </c>
      <c r="G11" s="7" t="n">
        <v>21500000000</v>
      </c>
      <c r="H11" s="7" t="n">
        <v>21500000000</v>
      </c>
    </row>
    <row r="12" s="8" customFormat="true" ht="12.8" hidden="false" customHeight="false" outlineLevel="0" collapsed="false">
      <c r="A12" s="1" t="s">
        <v>12</v>
      </c>
      <c r="B12" s="7" t="n">
        <v>207.72</v>
      </c>
      <c r="C12" s="7" t="n">
        <v>207</v>
      </c>
      <c r="D12" s="7" t="n">
        <v>186.3</v>
      </c>
      <c r="E12" s="7" t="n">
        <v>225</v>
      </c>
      <c r="F12" s="7" t="n">
        <v>173.3</v>
      </c>
      <c r="G12" s="7" t="n">
        <v>101.3</v>
      </c>
      <c r="H12" s="7" t="n">
        <v>60.24</v>
      </c>
    </row>
    <row r="13" s="12" customFormat="true" ht="12.8" hidden="false" customHeight="false" outlineLevel="0" collapsed="false">
      <c r="A13" s="10" t="s">
        <v>13</v>
      </c>
      <c r="B13" s="13" t="n">
        <f aca="false">B11*B12</f>
        <v>4465980000000</v>
      </c>
      <c r="C13" s="13" t="n">
        <f aca="false">C11*C12</f>
        <v>4450500000000</v>
      </c>
      <c r="D13" s="13" t="n">
        <f aca="false">D11*D12</f>
        <v>4005450000000</v>
      </c>
      <c r="E13" s="13" t="n">
        <f aca="false">E11*E12</f>
        <v>4837500000000</v>
      </c>
      <c r="F13" s="13" t="n">
        <f aca="false">F11*F12</f>
        <v>3725950000000</v>
      </c>
      <c r="G13" s="13" t="n">
        <f aca="false">G11*G12</f>
        <v>2177950000000</v>
      </c>
      <c r="H13" s="13" t="n">
        <f aca="false">H11*H12</f>
        <v>1295160000000</v>
      </c>
    </row>
    <row r="14" s="15" customFormat="true" ht="12.8" hidden="false" customHeight="false" outlineLevel="0" collapsed="false">
      <c r="A14" s="10" t="s">
        <v>14</v>
      </c>
      <c r="B14" s="14" t="n">
        <f aca="false">B13/B5</f>
        <v>6.11359342915811</v>
      </c>
      <c r="C14" s="14" t="n">
        <f aca="false">C13/C5</f>
        <v>5.26686390532544</v>
      </c>
      <c r="D14" s="14" t="n">
        <f aca="false">D13/D5</f>
        <v>4.81597931946615</v>
      </c>
      <c r="E14" s="14" t="n">
        <f aca="false">E13/E5</f>
        <v>6.44570286475683</v>
      </c>
      <c r="F14" s="14" t="n">
        <f aca="false">F13/F5</f>
        <v>7.56691714053615</v>
      </c>
      <c r="G14" s="14" t="n">
        <f aca="false">G13/G5</f>
        <v>5.95393657736468</v>
      </c>
      <c r="H14" s="14" t="n">
        <f aca="false">H13/H5</f>
        <v>6.03522833178006</v>
      </c>
    </row>
    <row r="15" s="12" customFormat="true" ht="12.8" hidden="false" customHeight="false" outlineLevel="0" collapsed="false">
      <c r="A15" s="10" t="s">
        <v>15</v>
      </c>
      <c r="B15" s="14" t="n">
        <f aca="false">B13/B7</f>
        <v>0.921010517632502</v>
      </c>
      <c r="C15" s="14" t="n">
        <f aca="false">C13/C7</f>
        <v>0.991931709274077</v>
      </c>
      <c r="D15" s="14" t="n">
        <f aca="false">D13/D7</f>
        <v>1.03881166035583</v>
      </c>
      <c r="E15" s="14" t="n">
        <f aca="false">E13/E7</f>
        <v>1.40788707799767</v>
      </c>
      <c r="F15" s="14" t="n">
        <f aca="false">F13/F7</f>
        <v>1.32050963992061</v>
      </c>
      <c r="G15" s="14" t="n">
        <f aca="false">G13/G7</f>
        <v>0.917031578947368</v>
      </c>
      <c r="H15" s="14" t="n">
        <f aca="false">H13/H7</f>
        <v>0.641136577397159</v>
      </c>
    </row>
    <row r="16" s="16" customFormat="true" ht="12.8" hidden="false" customHeight="false" outlineLevel="0" collapsed="false">
      <c r="A16" s="10" t="s">
        <v>16</v>
      </c>
      <c r="B16" s="11" t="n">
        <f aca="false">B5/AVERAGE(B6:C6)</f>
        <v>0.0224483618534572</v>
      </c>
      <c r="C16" s="11" t="n">
        <f aca="false">C5/AVERAGE(C6:D6)</f>
        <v>0.027634066099378</v>
      </c>
      <c r="D16" s="11" t="n">
        <f aca="false">D5/AVERAGE(D6:E6)</f>
        <v>0.0285269860760731</v>
      </c>
      <c r="E16" s="11" t="n">
        <f aca="false">E5/AVERAGE(E6:F6)</f>
        <v>0.0286009904593498</v>
      </c>
      <c r="F16" s="11" t="n">
        <f aca="false">F5/AVERAGE(F6:G6)</f>
        <v>0.0186857724009168</v>
      </c>
      <c r="G16" s="11" t="n">
        <f aca="false">G5/AVERAGE(G6:H6)</f>
        <v>0.0139258215873076</v>
      </c>
      <c r="H16" s="11" t="n">
        <f aca="false">H5/AVERAGE(H6:I6)</f>
        <v>0.00851560267928002</v>
      </c>
    </row>
    <row r="17" s="17" customFormat="true" ht="12.8" hidden="false" customHeight="false" outlineLevel="0" collapsed="false">
      <c r="A17" s="17" t="s">
        <v>17</v>
      </c>
      <c r="B17" s="18" t="n">
        <f aca="false">B5/B7</f>
        <v>0.150649618478037</v>
      </c>
      <c r="C17" s="18" t="n">
        <f aca="false">C5/C7</f>
        <v>0.188334410591303</v>
      </c>
      <c r="D17" s="18" t="n">
        <f aca="false">D5/D7</f>
        <v>0.215701021837232</v>
      </c>
      <c r="E17" s="18" t="n">
        <f aca="false">E5/E7</f>
        <v>0.218422584400466</v>
      </c>
      <c r="F17" s="18" t="n">
        <f aca="false">F5/F7</f>
        <v>0.174510915792458</v>
      </c>
      <c r="G17" s="18" t="n">
        <f aca="false">G5/G7</f>
        <v>0.154021052631579</v>
      </c>
      <c r="H17" s="18" t="n">
        <f aca="false">H5/H7</f>
        <v>0.106232364734419</v>
      </c>
    </row>
    <row r="18" s="19" customFormat="true" ht="12.8" hidden="false" customHeight="false" outlineLevel="0" collapsed="false">
      <c r="A18" s="1" t="s">
        <v>18</v>
      </c>
      <c r="B18" s="7" t="n">
        <v>18.7</v>
      </c>
      <c r="C18" s="7" t="n">
        <v>16</v>
      </c>
      <c r="D18" s="7" t="n">
        <v>12</v>
      </c>
      <c r="E18" s="7" t="n">
        <v>6</v>
      </c>
      <c r="F18" s="7" t="n">
        <v>1.97</v>
      </c>
      <c r="G18" s="7" t="n">
        <v>0.45</v>
      </c>
      <c r="H18" s="7" t="n">
        <v>3.2</v>
      </c>
      <c r="I18" s="8"/>
      <c r="J18" s="8"/>
    </row>
    <row r="20" s="22" customFormat="true" ht="12.8" hidden="false" customHeight="false" outlineLevel="0" collapsed="false">
      <c r="A20" s="20"/>
      <c r="B20" s="21"/>
      <c r="C20" s="21"/>
      <c r="D20" s="21"/>
      <c r="E20" s="21"/>
      <c r="F20" s="21"/>
      <c r="G20" s="21"/>
      <c r="H20" s="21"/>
    </row>
    <row r="21" s="22" customFormat="true" ht="12.8" hidden="false" customHeight="false" outlineLevel="0" collapsed="false">
      <c r="A21" s="20"/>
      <c r="B21" s="21"/>
      <c r="C21" s="21"/>
      <c r="D21" s="21"/>
      <c r="E21" s="21"/>
      <c r="F21" s="21"/>
      <c r="G21" s="21"/>
      <c r="H21" s="21"/>
    </row>
    <row r="22" s="22" customFormat="true" ht="12.8" hidden="false" customHeight="false" outlineLevel="0" collapsed="false">
      <c r="A22" s="20"/>
      <c r="B22" s="21"/>
      <c r="C22" s="23"/>
      <c r="D22" s="23"/>
      <c r="E22" s="21"/>
      <c r="F22" s="21"/>
      <c r="G22" s="21"/>
      <c r="H22" s="21"/>
    </row>
    <row r="26" s="22" customFormat="true" ht="12.8" hidden="false" customHeight="false" outlineLevel="0" collapsed="false">
      <c r="A26" s="24"/>
      <c r="B26" s="21"/>
      <c r="C26" s="21"/>
      <c r="D26" s="21"/>
      <c r="E26" s="21"/>
      <c r="F26" s="21"/>
      <c r="G26" s="21"/>
      <c r="H26" s="21"/>
    </row>
    <row r="27" s="22" customFormat="true" ht="12.8" hidden="false" customHeight="false" outlineLevel="0" collapsed="false">
      <c r="A27" s="24"/>
      <c r="B27" s="21"/>
      <c r="C27" s="21"/>
      <c r="D27" s="21"/>
      <c r="E27" s="21"/>
      <c r="F27" s="21"/>
      <c r="G27" s="21"/>
      <c r="H27" s="21"/>
    </row>
    <row r="28" s="22" customFormat="true" ht="12.8" hidden="false" customHeight="false" outlineLevel="0" collapsed="false">
      <c r="A28" s="20"/>
      <c r="B28" s="21"/>
      <c r="C28" s="21"/>
      <c r="D28" s="21"/>
      <c r="E28" s="21"/>
      <c r="F28" s="21"/>
      <c r="G28" s="21"/>
      <c r="H28" s="21"/>
    </row>
    <row r="29" s="22" customFormat="true" ht="12.8" hidden="false" customHeight="false" outlineLevel="0" collapsed="false">
      <c r="A29" s="24"/>
      <c r="B29" s="21"/>
      <c r="C29" s="21"/>
      <c r="D29" s="21"/>
      <c r="E29" s="21"/>
      <c r="F29" s="21"/>
      <c r="G29" s="21"/>
      <c r="H29" s="21"/>
    </row>
    <row r="30" s="22" customFormat="true" ht="12.8" hidden="false" customHeight="false" outlineLevel="0" collapsed="false">
      <c r="A30" s="20"/>
      <c r="B30" s="21"/>
      <c r="C30" s="21"/>
      <c r="D30" s="21"/>
      <c r="E30" s="21"/>
      <c r="F30" s="21"/>
      <c r="G30" s="21"/>
      <c r="H30" s="21"/>
    </row>
    <row r="31" s="22" customFormat="true" ht="12.8" hidden="false" customHeight="false" outlineLevel="0" collapsed="false">
      <c r="A31" s="20"/>
      <c r="B31" s="21"/>
      <c r="C31" s="21"/>
      <c r="D31" s="21"/>
      <c r="E31" s="21"/>
      <c r="F31" s="21"/>
      <c r="G31" s="21"/>
      <c r="H31" s="21"/>
    </row>
    <row r="32" s="22" customFormat="true" ht="12.8" hidden="false" customHeight="false" outlineLevel="0" collapsed="false">
      <c r="A32" s="20"/>
      <c r="B32" s="21"/>
      <c r="C32" s="21"/>
      <c r="D32" s="21"/>
      <c r="E32" s="21"/>
      <c r="F32" s="21"/>
      <c r="G32" s="21"/>
      <c r="H32" s="21"/>
    </row>
    <row r="33" s="26" customFormat="true" ht="12.8" hidden="false" customHeight="false" outlineLevel="0" collapsed="false">
      <c r="A33" s="20"/>
      <c r="B33" s="25"/>
      <c r="C33" s="25"/>
      <c r="D33" s="25"/>
      <c r="E33" s="25"/>
      <c r="F33" s="25"/>
      <c r="G33" s="25"/>
      <c r="H33" s="25"/>
    </row>
    <row r="34" s="26" customFormat="true" ht="12.8" hidden="false" customHeight="false" outlineLevel="0" collapsed="false">
      <c r="A34" s="20"/>
      <c r="B34" s="25"/>
      <c r="C34" s="21"/>
      <c r="D34" s="21"/>
      <c r="E34" s="25"/>
      <c r="F34" s="25"/>
      <c r="G34" s="25"/>
      <c r="H34" s="25"/>
    </row>
    <row r="37" s="28" customFormat="true" ht="12.8" hidden="false" customHeight="false" outlineLevel="0" collapsed="false">
      <c r="A37" s="20"/>
      <c r="B37" s="25"/>
      <c r="C37" s="25"/>
      <c r="D37" s="25"/>
      <c r="E37" s="25"/>
      <c r="F37" s="27"/>
      <c r="G37" s="27"/>
      <c r="H37" s="27"/>
    </row>
    <row r="40" s="30" customFormat="true" ht="12.8" hidden="false" customHeight="false" outlineLevel="0" collapsed="false">
      <c r="A40" s="1"/>
      <c r="B40" s="29"/>
      <c r="C40" s="29"/>
      <c r="D40" s="29"/>
      <c r="E40" s="29"/>
      <c r="F40" s="29"/>
      <c r="G40" s="29"/>
      <c r="H40" s="2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31" width="39.2"/>
  </cols>
  <sheetData>
    <row r="1" customFormat="false" ht="12.8" hidden="false" customHeight="false" outlineLevel="0" collapsed="false">
      <c r="A1" s="32" t="s">
        <v>19</v>
      </c>
      <c r="B1" s="33" t="n">
        <f aca="false">Data!$B$8/Data!$B$6</f>
        <v>0.861945461481958</v>
      </c>
    </row>
    <row r="2" s="33" customFormat="true" ht="12.8" hidden="false" customHeight="false" outlineLevel="0" collapsed="false">
      <c r="A2" s="32" t="s">
        <v>20</v>
      </c>
      <c r="B2" s="33" t="n">
        <f aca="false">1-B1</f>
        <v>0.138054538518042</v>
      </c>
    </row>
    <row r="3" s="33" customFormat="true" ht="12.8" hidden="false" customHeight="false" outlineLevel="0" collapsed="false">
      <c r="A3" s="31" t="s">
        <v>4</v>
      </c>
      <c r="B3" s="33" t="n">
        <f aca="false">Data!$B$9</f>
        <v>0.20482428779372</v>
      </c>
    </row>
    <row r="4" customFormat="false" ht="12.8" hidden="false" customHeight="false" outlineLevel="0" collapsed="false">
      <c r="A4" s="31" t="s">
        <v>21</v>
      </c>
      <c r="B4" s="33" t="n">
        <v>0.056</v>
      </c>
    </row>
    <row r="5" customFormat="false" ht="12.8" hidden="false" customHeight="false" outlineLevel="0" collapsed="false">
      <c r="A5" s="31" t="s">
        <v>22</v>
      </c>
      <c r="B5" s="33" t="n">
        <v>0.198</v>
      </c>
    </row>
    <row r="6" customFormat="false" ht="12.8" hidden="false" customHeight="false" outlineLevel="0" collapsed="false">
      <c r="A6" s="34" t="s">
        <v>23</v>
      </c>
      <c r="B6" s="4" t="n">
        <v>0.17</v>
      </c>
    </row>
    <row r="7" customFormat="false" ht="12.8" hidden="false" customHeight="false" outlineLevel="0" collapsed="false">
      <c r="A7" s="31" t="s">
        <v>24</v>
      </c>
      <c r="B7" s="33" t="n">
        <f aca="false">B4+B6*(B5-B4)</f>
        <v>0.08014</v>
      </c>
    </row>
    <row r="8" customFormat="false" ht="12.8" hidden="false" customHeight="false" outlineLevel="0" collapsed="false">
      <c r="A8" s="31" t="s">
        <v>25</v>
      </c>
      <c r="B8" s="33" t="n">
        <v>0.0898</v>
      </c>
    </row>
    <row r="9" customFormat="false" ht="12.8" hidden="false" customHeight="false" outlineLevel="0" collapsed="false">
      <c r="A9" s="31" t="s">
        <v>26</v>
      </c>
      <c r="B9" s="33" t="n">
        <f aca="false">B1*B7+B2*B8*(1-B3)</f>
        <v>0.0789343391990116</v>
      </c>
    </row>
    <row r="11" customFormat="false" ht="12.8" hidden="false" customHeight="false" outlineLevel="0" collapsed="false">
      <c r="A11" s="35" t="s">
        <v>27</v>
      </c>
      <c r="B11" s="36" t="n">
        <v>6</v>
      </c>
      <c r="C11" s="36" t="n">
        <f aca="false">B11-1</f>
        <v>5</v>
      </c>
      <c r="D11" s="36" t="n">
        <f aca="false">C11-1</f>
        <v>4</v>
      </c>
    </row>
    <row r="12" customFormat="false" ht="12.8" hidden="false" customHeight="false" outlineLevel="0" collapsed="false">
      <c r="A12" s="37" t="s">
        <v>28</v>
      </c>
      <c r="B12" s="33" t="n">
        <f aca="false">(Data!$B$2/Data!$H$2)^(1/$B$11) - 1</f>
        <v>0.10574957142703</v>
      </c>
      <c r="C12" s="33" t="n">
        <f aca="false">(Data!$B$2/Data!$G$2)^(1/$C$11) - 1</f>
        <v>0.124565391896789</v>
      </c>
      <c r="D12" s="33" t="n">
        <f aca="false">(Data!$B$2/Data!$F$2)^(1/$D$11) - 1</f>
        <v>0.0609463275498428</v>
      </c>
    </row>
    <row r="13" customFormat="false" ht="12.8" hidden="false" customHeight="false" outlineLevel="0" collapsed="false">
      <c r="A13" s="37" t="s">
        <v>29</v>
      </c>
      <c r="B13" s="33" t="n">
        <f aca="false">(Data!$B$4/Data!$H$4)^(1/$B$11) - 1</f>
        <v>0.152879838208101</v>
      </c>
      <c r="C13" s="33" t="n">
        <f aca="false">(Data!$B$4/Data!$G$4)^(1/$C$11) - 1</f>
        <v>0.127113246523822</v>
      </c>
      <c r="D13" s="33" t="n">
        <f aca="false">(Data!$B$4/Data!$F$4)^(1/$D$11) - 1</f>
        <v>0.0978718107357019</v>
      </c>
    </row>
    <row r="14" customFormat="false" ht="12.8" hidden="false" customHeight="false" outlineLevel="0" collapsed="false">
      <c r="A14" s="37" t="s">
        <v>30</v>
      </c>
      <c r="B14" s="33" t="e">
        <f aca="false">(Data!$B$32/Data!$H$32)^(1/$B$11) - 1</f>
        <v>#DIV/0!</v>
      </c>
      <c r="C14" s="33" t="e">
        <f aca="false">(Data!$B$32/Data!$G$32)^(1/$C$11) - 1</f>
        <v>#DIV/0!</v>
      </c>
      <c r="D14" s="33" t="e">
        <f aca="false">(Data!$B$32/Data!$F$32)^(1/$D$11) - 1</f>
        <v>#DIV/0!</v>
      </c>
    </row>
    <row r="15" customFormat="false" ht="12.8" hidden="false" customHeight="false" outlineLevel="0" collapsed="false">
      <c r="A15" s="37" t="s">
        <v>31</v>
      </c>
      <c r="B15" s="33" t="n">
        <f aca="false">((Data!$B$18/Data!$B$2)/(Data!$H$18/Data!$H$2))^(1/$B$11) - 1</f>
        <v>0.213738584579527</v>
      </c>
      <c r="C15" s="33" t="n">
        <f aca="false">((Data!$B$18/Data!$B$2)/(Data!$G$18/Data!$G$2))^(1/$C$11) - 1</f>
        <v>0.873877102419684</v>
      </c>
      <c r="D15" s="33" t="n">
        <f aca="false">((Data!$B$18/Data!$B$2)/(Data!$F$18/Data!$F$2))^(1/$D$11) - 1</f>
        <v>0.65443775095519</v>
      </c>
    </row>
    <row r="16" customFormat="false" ht="12.8" hidden="false" customHeight="false" outlineLevel="0" collapsed="false">
      <c r="A16" s="37" t="s">
        <v>32</v>
      </c>
      <c r="B16" s="33" t="n">
        <f aca="false">((Data!$B$10/Data!$B$2)/(Data!$H$10/Data!$H$2))^(1/$B$11) - 1</f>
        <v>-0.109188944337511</v>
      </c>
      <c r="C16" s="33" t="n">
        <f aca="false">((Data!$B$10/Data!$B$2)/(Data!$G$10/Data!$G$2))^(1/$C$11) - 1</f>
        <v>-0.0279040786028633</v>
      </c>
      <c r="D16" s="33" t="n">
        <f aca="false">((Data!$B$10/Data!$B$2)/(Data!$F$10/Data!$F$2))^(1/$D$11) - 1</f>
        <v>-0.0493521281274802</v>
      </c>
    </row>
    <row r="17" customFormat="false" ht="12.8" hidden="false" customHeight="false" outlineLevel="0" collapsed="false">
      <c r="A17" s="37" t="s">
        <v>33</v>
      </c>
      <c r="B17" s="33" t="e">
        <f aca="false">((Data!$B$20/Data!$B$2)/(Data!$H$20/Data!$H$2))^(1/$B$11) - 1</f>
        <v>#DIV/0!</v>
      </c>
      <c r="C17" s="33" t="e">
        <f aca="false">((Data!$B$20/Data!$B$2)/(Data!$G$20/Data!$G$2))^(1/$C$11) - 1</f>
        <v>#DIV/0!</v>
      </c>
      <c r="D17" s="33" t="e">
        <f aca="false">((Data!$B$20/Data!$B$2)/(Data!$F$20/Data!$F$2))^(1/$D$11) - 1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4" width="28.38"/>
    <col collapsed="false" customWidth="true" hidden="false" outlineLevel="0" max="8" min="2" style="4" width="17.86"/>
    <col collapsed="false" customWidth="true" hidden="false" outlineLevel="0" max="11" min="9" style="4" width="21.22"/>
  </cols>
  <sheetData>
    <row r="1" customFormat="false" ht="12.8" hidden="false" customHeight="false" outlineLevel="0" collapsed="false">
      <c r="A1" s="4" t="s">
        <v>0</v>
      </c>
      <c r="B1" s="4" t="n">
        <f aca="false">Data!$C$1</f>
        <v>2019</v>
      </c>
      <c r="C1" s="4" t="n">
        <f aca="false">B1+1</f>
        <v>2020</v>
      </c>
      <c r="D1" s="4" t="n">
        <f aca="false">C1+1</f>
        <v>2021</v>
      </c>
      <c r="E1" s="4" t="n">
        <f aca="false">D1+1</f>
        <v>2022</v>
      </c>
      <c r="F1" s="4" t="n">
        <f aca="false">E1+1</f>
        <v>2023</v>
      </c>
      <c r="G1" s="4" t="n">
        <f aca="false">F1+1</f>
        <v>2024</v>
      </c>
      <c r="H1" s="4" t="s">
        <v>34</v>
      </c>
    </row>
    <row r="2" customFormat="false" ht="12.8" hidden="false" customHeight="false" outlineLevel="0" collapsed="false">
      <c r="A2" s="4" t="s">
        <v>28</v>
      </c>
      <c r="B2" s="8" t="n">
        <f aca="false">Data!$B$2</f>
        <v>1716900000000</v>
      </c>
      <c r="C2" s="8" t="n">
        <f aca="false">B2*(1+MIN(AnalysisVals!$B$12:$D$12))</f>
        <v>1821538749770.33</v>
      </c>
      <c r="D2" s="8" t="n">
        <f aca="false">C2*(1+MIN(AnalysisVals!$B$12:$D$12))</f>
        <v>1932554847058.56</v>
      </c>
      <c r="E2" s="8" t="n">
        <f aca="false">D2*(1+MIN(AnalysisVals!$B$12:$D$12))</f>
        <v>2050336967775.43</v>
      </c>
      <c r="F2" s="8" t="n">
        <f aca="false">E2*(1+MIN(AnalysisVals!$B$12:$D$12))</f>
        <v>2175297476201.02</v>
      </c>
      <c r="G2" s="8" t="n">
        <f aca="false">F2*(1+MIN(AnalysisVals!$B$12:$D$12))</f>
        <v>2307873868703.91</v>
      </c>
      <c r="H2" s="8" t="n">
        <f aca="false">G2*(1+MIN(AnalysisVals!$B$12:$D$12))</f>
        <v>2448530305449.66</v>
      </c>
    </row>
    <row r="3" customFormat="false" ht="12.8" hidden="false" customHeight="false" outlineLevel="0" collapsed="false">
      <c r="A3" s="4" t="s">
        <v>29</v>
      </c>
      <c r="B3" s="8" t="n">
        <f aca="false">Data!$B$4</f>
        <v>197000000000</v>
      </c>
      <c r="C3" s="8" t="n">
        <f aca="false">B3*(1+MIN(AnalysisVals!$B$13:$D$13))</f>
        <v>216280746714.933</v>
      </c>
      <c r="D3" s="8" t="n">
        <f aca="false">C3*(1+MIN(AnalysisVals!$B$13:$D$13))</f>
        <v>237448535023.194</v>
      </c>
      <c r="E3" s="8" t="n">
        <f aca="false">D3*(1+MIN(AnalysisVals!$B$13:$D$13))</f>
        <v>260688053102.453</v>
      </c>
      <c r="F3" s="8" t="n">
        <f aca="false">E3*(1+MIN(AnalysisVals!$B$13:$D$13))</f>
        <v>286202064896.755</v>
      </c>
      <c r="G3" s="8" t="n">
        <f aca="false">F3*(1+MIN(AnalysisVals!$B$13:$D$13))</f>
        <v>314213179224.497</v>
      </c>
      <c r="H3" s="8" t="n">
        <f aca="false">G3*(1+MIN(AnalysisVals!$B$13:$D$13))</f>
        <v>344965792032.221</v>
      </c>
    </row>
    <row r="4" customFormat="false" ht="12.8" hidden="false" customHeight="false" outlineLevel="0" collapsed="false">
      <c r="A4" s="4" t="s">
        <v>30</v>
      </c>
      <c r="B4" s="8" t="n">
        <f aca="false">Data!$B$32</f>
        <v>0</v>
      </c>
      <c r="C4" s="8" t="e">
        <f aca="false">B4*(1+MIN(AnalysisVals!$B$14:$D$14))</f>
        <v>#DIV/0!</v>
      </c>
      <c r="D4" s="8" t="e">
        <f aca="false">C4*(1+MIN(AnalysisVals!$B$14:$D$14))</f>
        <v>#DIV/0!</v>
      </c>
      <c r="E4" s="8" t="e">
        <f aca="false">D4*(1+MIN(AnalysisVals!$B$14:$D$14))</f>
        <v>#DIV/0!</v>
      </c>
      <c r="F4" s="8" t="e">
        <f aca="false">E4*(1+MIN(AnalysisVals!$B$14:$D$14))</f>
        <v>#DIV/0!</v>
      </c>
      <c r="G4" s="8" t="e">
        <f aca="false">F4*(1+MIN(AnalysisVals!$B$14:$D$14))</f>
        <v>#DIV/0!</v>
      </c>
      <c r="H4" s="8" t="e">
        <f aca="false">G4*(1+MIN(AnalysisVals!$B$14:$D$14))</f>
        <v>#DIV/0!</v>
      </c>
    </row>
    <row r="5" customFormat="false" ht="12.8" hidden="false" customHeight="false" outlineLevel="0" collapsed="false">
      <c r="A5" s="4" t="s">
        <v>35</v>
      </c>
      <c r="B5" s="8" t="n">
        <f aca="false">Data!$B$18</f>
        <v>18.7</v>
      </c>
      <c r="C5" s="8" t="n">
        <f aca="false">C2*(B$5/B$2)*(1+MAX(AnalysisVals!$B$15:$D$15))</f>
        <v>37.1771526627186</v>
      </c>
      <c r="D5" s="8" t="n">
        <f aca="false">D2*(C$5/C$2)*(1+MAX(AnalysisVals!$B$15:$D$15))</f>
        <v>73.9112663158869</v>
      </c>
      <c r="E5" s="8" t="n">
        <f aca="false">E2*(D$5/D$2)*(1+MAX(AnalysisVals!$B$15:$D$15))</f>
        <v>146.941734295218</v>
      </c>
      <c r="F5" s="8" t="n">
        <f aca="false">F2*(E$5/E$2)*(1+MAX(AnalysisVals!$B$15:$D$15))</f>
        <v>292.132368364597</v>
      </c>
      <c r="G5" s="8" t="n">
        <f aca="false">G2*(F$5/F$2)*(1+MAX(AnalysisVals!$B$15:$D$15))</f>
        <v>580.783404086212</v>
      </c>
      <c r="H5" s="8" t="n">
        <f aca="false">H2*(G$5/G$2)*(1+MAX(AnalysisVals!$B$15:$D$15))</f>
        <v>1154.64562982281</v>
      </c>
    </row>
    <row r="6" customFormat="false" ht="12.8" hidden="false" customHeight="false" outlineLevel="0" collapsed="false">
      <c r="A6" s="4" t="s">
        <v>10</v>
      </c>
      <c r="B6" s="8" t="n">
        <f aca="false">Data!$B$10</f>
        <v>116000000000</v>
      </c>
      <c r="C6" s="8" t="n">
        <f aca="false">C$2*(B$6/B$2)*(1+MIN(AnalysisVals!$B$16:$D$16))</f>
        <v>109631915293.326</v>
      </c>
      <c r="D6" s="8" t="n">
        <f aca="false">D$2*(C$6/C$2)*(1+MIN(AnalysisVals!$B$16:$D$16))</f>
        <v>103613421128.302</v>
      </c>
      <c r="E6" s="8" t="n">
        <f aca="false">E$2*(D$6/D$2)*(1+MIN(AnalysisVals!$B$16:$D$16))</f>
        <v>97925325934.3946</v>
      </c>
      <c r="F6" s="8" t="n">
        <f aca="false">F$2*(E$6/E$2)*(1+MIN(AnalysisVals!$B$16:$D$16))</f>
        <v>92549491706.1285</v>
      </c>
      <c r="G6" s="8" t="n">
        <f aca="false">G$2*(F$6/F$2)*(1+MIN(AnalysisVals!$B$16:$D$16))</f>
        <v>87468776165.23</v>
      </c>
      <c r="H6" s="8" t="n">
        <f aca="false">H$2*(G$6/G$2)*(1+MIN(AnalysisVals!$B$16:$D$16))</f>
        <v>82666978097.9087</v>
      </c>
    </row>
    <row r="7" customFormat="false" ht="12.8" hidden="false" customHeight="false" outlineLevel="0" collapsed="false">
      <c r="A7" s="4" t="s">
        <v>36</v>
      </c>
      <c r="B7" s="8" t="n">
        <f aca="false">Data!$B$20</f>
        <v>0</v>
      </c>
      <c r="C7" s="8" t="e">
        <f aca="false">C$2*(B$7/B$2)*(1+ MAX(AnalysisVals!$B$17:$D$17))</f>
        <v>#DIV/0!</v>
      </c>
      <c r="D7" s="8" t="e">
        <f aca="false">D$2*(C$7/C$2)*(1+ MAX(AnalysisVals!$B$17:$D$17))</f>
        <v>#DIV/0!</v>
      </c>
      <c r="E7" s="8" t="e">
        <f aca="false">E$2*(D$7/D$2)*(1+ MAX(AnalysisVals!$B$17:$D$17))</f>
        <v>#DIV/0!</v>
      </c>
      <c r="F7" s="8" t="e">
        <f aca="false">F$2*(E$7/E$2)*(1+ MAX(AnalysisVals!$B$17:$D$17))</f>
        <v>#DIV/0!</v>
      </c>
      <c r="G7" s="8" t="e">
        <f aca="false">G$2*(F$7/F$2)*(1+ MAX(AnalysisVals!$B$17:$D$17))</f>
        <v>#DIV/0!</v>
      </c>
      <c r="H7" s="8" t="e">
        <f aca="false">H$2*(G$7/G$2)*(1+ MAX(AnalysisVals!$B$17:$D$17))</f>
        <v>#DIV/0!</v>
      </c>
    </row>
    <row r="8" customFormat="false" ht="12.8" hidden="false" customHeight="false" outlineLevel="0" collapsed="false">
      <c r="A8" s="4" t="s">
        <v>37</v>
      </c>
      <c r="B8" s="8" t="n">
        <f aca="false">Data!$B$20-Data!$C$20</f>
        <v>0</v>
      </c>
      <c r="C8" s="8" t="e">
        <f aca="false">C7-B7</f>
        <v>#DIV/0!</v>
      </c>
      <c r="D8" s="8" t="e">
        <f aca="false">D7-C7</f>
        <v>#DIV/0!</v>
      </c>
      <c r="E8" s="8" t="e">
        <f aca="false">E7-D7</f>
        <v>#DIV/0!</v>
      </c>
      <c r="F8" s="8" t="e">
        <f aca="false">F7-E7</f>
        <v>#DIV/0!</v>
      </c>
      <c r="G8" s="8" t="e">
        <f aca="false">G7-F7</f>
        <v>#DIV/0!</v>
      </c>
      <c r="H8" s="8" t="e">
        <f aca="false">H7-G7</f>
        <v>#DIV/0!</v>
      </c>
    </row>
    <row r="9" customFormat="false" ht="12.8" hidden="false" customHeight="false" outlineLevel="0" collapsed="false">
      <c r="A9" s="4" t="s">
        <v>2</v>
      </c>
      <c r="B9" s="8" t="n">
        <f aca="false">B4-B5</f>
        <v>-18.7</v>
      </c>
      <c r="C9" s="8" t="e">
        <f aca="false">C4-C5</f>
        <v>#DIV/0!</v>
      </c>
      <c r="D9" s="8" t="e">
        <f aca="false">D4-D5</f>
        <v>#DIV/0!</v>
      </c>
      <c r="E9" s="8" t="e">
        <f aca="false">E4-E5</f>
        <v>#DIV/0!</v>
      </c>
      <c r="F9" s="8" t="e">
        <f aca="false">F4-F5</f>
        <v>#DIV/0!</v>
      </c>
      <c r="G9" s="8" t="e">
        <f aca="false">G4-G5</f>
        <v>#DIV/0!</v>
      </c>
      <c r="H9" s="8" t="e">
        <f aca="false">H4-H5</f>
        <v>#DIV/0!</v>
      </c>
    </row>
    <row r="10" customFormat="false" ht="12.8" hidden="false" customHeight="false" outlineLevel="0" collapsed="false">
      <c r="A10" s="4" t="s">
        <v>38</v>
      </c>
      <c r="B10" s="8" t="n">
        <f aca="false">B9*(1-AnalysisVals!$B$3)+B5-B8-B6</f>
        <v>-115999999996.17</v>
      </c>
      <c r="C10" s="8" t="e">
        <f aca="false">(C9*(1-AnalysisVals!$B$3)+C5-C8-C6)/( (1+AnalysisVals!$B$9)^COUNT($C1:C1) )</f>
        <v>#DIV/0!</v>
      </c>
      <c r="D10" s="8" t="e">
        <f aca="false">(D9*(1-AnalysisVals!$B$3)+D5-D8-D6)/( (1+AnalysisVals!$B$9)^COUNT($C1:D1) )</f>
        <v>#DIV/0!</v>
      </c>
      <c r="E10" s="8" t="e">
        <f aca="false">(E9*(1-AnalysisVals!$B$3)+E5-E8-E6)/( (1+AnalysisVals!$B$9)^COUNT($C1:E1) )</f>
        <v>#DIV/0!</v>
      </c>
      <c r="F10" s="8" t="e">
        <f aca="false">(F9*(1-AnalysisVals!$B$3)+F5-F8-F6)/( (1+AnalysisVals!$B$9)^COUNT($C1:F1) )</f>
        <v>#DIV/0!</v>
      </c>
      <c r="G10" s="8" t="e">
        <f aca="false">(G9*(1-AnalysisVals!$B$3)+G5-G8-G6)/( (1+AnalysisVals!$B$9)^COUNT($C1:G1) )</f>
        <v>#DIV/0!</v>
      </c>
      <c r="H10" s="38" t="n">
        <f aca="false">Data!$B$31/( (1-AnalysisVals!$B$8)^COUNT(C1:G1) )</f>
        <v>0</v>
      </c>
    </row>
    <row r="12" customFormat="false" ht="12.8" hidden="false" customHeight="false" outlineLevel="0" collapsed="false">
      <c r="B12" s="4" t="s">
        <v>39</v>
      </c>
      <c r="C12" s="4" t="s">
        <v>34</v>
      </c>
    </row>
    <row r="13" customFormat="false" ht="12.8" hidden="false" customHeight="false" outlineLevel="0" collapsed="false">
      <c r="A13" s="4" t="s">
        <v>40</v>
      </c>
      <c r="B13" s="33" t="n">
        <v>0.01</v>
      </c>
      <c r="C13" s="19" t="e">
        <f aca="false">H9*(1+B13)/(AnalysisVals!B9-B13)</f>
        <v>#DIV/0!</v>
      </c>
    </row>
    <row r="15" customFormat="false" ht="12.8" hidden="false" customHeight="false" outlineLevel="0" collapsed="false">
      <c r="A15" s="4" t="s">
        <v>41</v>
      </c>
      <c r="B15" s="8" t="e">
        <f aca="false">SUM(B10:H10)/Data!$B$11</f>
        <v>#DIV/0!</v>
      </c>
    </row>
    <row r="16" customFormat="false" ht="12.8" hidden="false" customHeight="false" outlineLevel="0" collapsed="false">
      <c r="A16" s="4" t="s">
        <v>42</v>
      </c>
      <c r="B16" s="8" t="n">
        <v>1306</v>
      </c>
    </row>
    <row r="19" customFormat="false" ht="12.8" hidden="false" customHeight="false" outlineLevel="0" collapsed="false">
      <c r="B19" s="8"/>
      <c r="C19" s="8"/>
      <c r="D19" s="8"/>
      <c r="E19" s="8"/>
      <c r="F19" s="8"/>
      <c r="G19" s="8"/>
      <c r="H19" s="8"/>
      <c r="I19" s="8"/>
      <c r="J19" s="8"/>
      <c r="K19" s="8"/>
    </row>
    <row r="20" customFormat="false" ht="12.8" hidden="false" customHeight="false" outlineLevel="0" collapsed="false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customFormat="false" ht="12.8" hidden="false" customHeight="false" outlineLevel="0" collapsed="false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customFormat="false" ht="12.8" hidden="false" customHeight="false" outlineLevel="0" collapsed="false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customFormat="false" ht="12.8" hidden="false" customHeight="false" outlineLevel="0" collapsed="false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customFormat="false" ht="12.8" hidden="false" customHeight="false" outlineLevel="0" collapsed="false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customFormat="false" ht="12.8" hidden="false" customHeight="false" outlineLevel="0" collapsed="false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customFormat="false" ht="12.8" hidden="false" customHeight="false" outlineLevel="0" collapsed="false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customFormat="false" ht="12.8" hidden="false" customHeight="false" outlineLevel="0" collapsed="false">
      <c r="B27" s="8"/>
      <c r="C27" s="8"/>
      <c r="D27" s="8"/>
      <c r="E27" s="8"/>
      <c r="F27" s="8"/>
      <c r="G27" s="8"/>
      <c r="H27" s="8"/>
      <c r="I27" s="8"/>
      <c r="J27" s="8"/>
      <c r="K27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478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2020-11-03T19:01:36Z</dcterms:modified>
  <cp:revision>140</cp:revision>
  <dc:subject/>
  <dc:title/>
</cp:coreProperties>
</file>